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30" windowWidth="18810" windowHeight="11670" tabRatio="764"/>
  </bookViews>
  <sheets>
    <sheet name="Cover" sheetId="36" r:id="rId1"/>
    <sheet name="Inputs&gt;&gt;" sheetId="26" r:id="rId2"/>
    <sheet name="Updated Volumes" sheetId="24" r:id="rId3"/>
    <sheet name="2017 Determination - Revenue" sheetId="14" r:id="rId4"/>
    <sheet name="2017 Determination - charges" sheetId="25" r:id="rId5"/>
    <sheet name="Outputs" sheetId="19" r:id="rId6"/>
    <sheet name=" Calculations&gt;&gt;" sheetId="20" r:id="rId7"/>
    <sheet name="MDB calcs" sheetId="17" r:id="rId8"/>
    <sheet name="FRWS calcs" sheetId="33" r:id="rId9"/>
  </sheets>
  <calcPr calcId="145621"/>
</workbook>
</file>

<file path=xl/calcChain.xml><?xml version="1.0" encoding="utf-8"?>
<calcChain xmlns="http://schemas.openxmlformats.org/spreadsheetml/2006/main">
  <c r="J18" i="25" l="1"/>
  <c r="G101" i="25" l="1"/>
  <c r="G102" i="25"/>
  <c r="G103" i="25"/>
  <c r="F102" i="25"/>
  <c r="F103" i="25"/>
  <c r="F101" i="25"/>
  <c r="I149" i="19"/>
  <c r="I126" i="19"/>
  <c r="I119" i="19"/>
  <c r="I93" i="19"/>
  <c r="I96" i="19"/>
  <c r="I80" i="19"/>
  <c r="I81" i="19"/>
  <c r="I84" i="19"/>
  <c r="I79" i="19"/>
  <c r="I69" i="19"/>
  <c r="I72" i="19"/>
  <c r="I76" i="19"/>
  <c r="I68" i="19"/>
  <c r="J92" i="25"/>
  <c r="J93" i="25"/>
  <c r="I150" i="19" s="1"/>
  <c r="J96" i="25"/>
  <c r="I153" i="19" s="1"/>
  <c r="J97" i="25"/>
  <c r="I154" i="19" s="1"/>
  <c r="J98" i="25"/>
  <c r="J103" i="25" s="1"/>
  <c r="I160" i="19" s="1"/>
  <c r="J91" i="25"/>
  <c r="J101" i="25" s="1"/>
  <c r="I158" i="19" s="1"/>
  <c r="J70" i="25"/>
  <c r="I114" i="19" s="1"/>
  <c r="J71" i="25"/>
  <c r="I115" i="19" s="1"/>
  <c r="J74" i="25"/>
  <c r="J75" i="25"/>
  <c r="I125" i="19" s="1"/>
  <c r="J76" i="25"/>
  <c r="J79" i="25"/>
  <c r="I130" i="19" s="1"/>
  <c r="J80" i="25"/>
  <c r="I136" i="19" s="1"/>
  <c r="J81" i="25"/>
  <c r="I137" i="19" s="1"/>
  <c r="J69" i="25"/>
  <c r="I108" i="19" s="1"/>
  <c r="J53" i="25"/>
  <c r="I91" i="19" s="1"/>
  <c r="J54" i="25"/>
  <c r="I92" i="19" s="1"/>
  <c r="J55" i="25"/>
  <c r="J56" i="25"/>
  <c r="I94" i="19" s="1"/>
  <c r="J57" i="25"/>
  <c r="I95" i="19" s="1"/>
  <c r="J58" i="25"/>
  <c r="J59" i="25"/>
  <c r="I97" i="19" s="1"/>
  <c r="J60" i="25"/>
  <c r="I98" i="19" s="1"/>
  <c r="J52" i="25"/>
  <c r="I90" i="19" s="1"/>
  <c r="J36" i="25"/>
  <c r="J37" i="25"/>
  <c r="J38" i="25"/>
  <c r="I82" i="19" s="1"/>
  <c r="J39" i="25"/>
  <c r="I83" i="19" s="1"/>
  <c r="J40" i="25"/>
  <c r="J41" i="25"/>
  <c r="I85" i="19" s="1"/>
  <c r="J42" i="25"/>
  <c r="I86" i="19" s="1"/>
  <c r="J43" i="25"/>
  <c r="I87" i="19" s="1"/>
  <c r="J35" i="25"/>
  <c r="J19" i="25"/>
  <c r="J20" i="25"/>
  <c r="I70" i="19" s="1"/>
  <c r="J21" i="25"/>
  <c r="I71" i="19" s="1"/>
  <c r="J22" i="25"/>
  <c r="J23" i="25"/>
  <c r="I73" i="19" s="1"/>
  <c r="J24" i="25"/>
  <c r="I74" i="19" s="1"/>
  <c r="J25" i="25"/>
  <c r="I75" i="19" s="1"/>
  <c r="J26" i="25"/>
  <c r="F68" i="19"/>
  <c r="I155" i="19" l="1"/>
  <c r="J102" i="25"/>
  <c r="I159" i="19" s="1"/>
  <c r="I148" i="19"/>
  <c r="J98" i="19"/>
  <c r="F108" i="19" l="1"/>
  <c r="Z11" i="24" l="1"/>
  <c r="B11" i="24"/>
  <c r="K146" i="19" l="1"/>
  <c r="K145" i="19"/>
  <c r="K144" i="19"/>
  <c r="K106" i="19"/>
  <c r="K105" i="19"/>
  <c r="K104" i="19"/>
  <c r="K66" i="19"/>
  <c r="K65" i="19"/>
  <c r="K64" i="19"/>
  <c r="J24" i="19"/>
  <c r="I24" i="19"/>
  <c r="J146" i="19"/>
  <c r="I144" i="19"/>
  <c r="G145" i="19"/>
  <c r="J145" i="19" s="1"/>
  <c r="F145" i="19"/>
  <c r="I145" i="19" s="1"/>
  <c r="G105" i="19"/>
  <c r="J105" i="19" s="1"/>
  <c r="F105" i="19"/>
  <c r="I105" i="19" s="1"/>
  <c r="J106" i="19"/>
  <c r="I104" i="19"/>
  <c r="I25" i="19"/>
  <c r="I106" i="19" s="1"/>
  <c r="G65" i="19"/>
  <c r="J65" i="19" s="1"/>
  <c r="F65" i="19"/>
  <c r="I65" i="19" s="1"/>
  <c r="I146" i="19" l="1"/>
  <c r="I66" i="19"/>
  <c r="G22" i="33" l="1"/>
  <c r="G21" i="33"/>
  <c r="G20" i="33"/>
  <c r="F22" i="33"/>
  <c r="F21" i="33"/>
  <c r="F20" i="33"/>
  <c r="C287" i="19" l="1"/>
  <c r="C288" i="19"/>
  <c r="C286" i="19"/>
  <c r="C274" i="19"/>
  <c r="C269" i="19"/>
  <c r="C264" i="19"/>
  <c r="C258" i="19"/>
  <c r="C253" i="19"/>
  <c r="C248" i="19"/>
  <c r="C231" i="19"/>
  <c r="C220" i="19"/>
  <c r="C209" i="19"/>
  <c r="C192" i="19"/>
  <c r="C181" i="19"/>
  <c r="C170" i="19"/>
  <c r="B23" i="14"/>
  <c r="G16" i="14"/>
  <c r="F15" i="14"/>
  <c r="F16" i="14" s="1"/>
  <c r="F336" i="19"/>
  <c r="F337" i="19"/>
  <c r="F338" i="19"/>
  <c r="F339" i="19"/>
  <c r="F340" i="19"/>
  <c r="F341" i="19"/>
  <c r="F342" i="19"/>
  <c r="F343" i="19"/>
  <c r="F344" i="19"/>
  <c r="F364" i="19"/>
  <c r="F365" i="19"/>
  <c r="F366" i="19"/>
  <c r="AA15" i="24" l="1"/>
  <c r="Z15" i="24" s="1"/>
  <c r="Y15" i="24" s="1"/>
  <c r="F369" i="19"/>
  <c r="B16" i="19"/>
  <c r="B11" i="19"/>
  <c r="B6" i="19"/>
  <c r="G283" i="19"/>
  <c r="F283" i="19"/>
  <c r="G246" i="19"/>
  <c r="F246" i="19"/>
  <c r="G207" i="19"/>
  <c r="F207" i="19"/>
  <c r="I283" i="19"/>
  <c r="I246" i="19"/>
  <c r="I207" i="19"/>
  <c r="C65" i="14"/>
  <c r="C66" i="14"/>
  <c r="AA16" i="24" l="1"/>
  <c r="AA116" i="24" s="1"/>
  <c r="Z16" i="24"/>
  <c r="Z38" i="24" s="1"/>
  <c r="X15" i="24"/>
  <c r="Y16" i="24"/>
  <c r="AA76" i="24" l="1"/>
  <c r="AA38" i="24"/>
  <c r="Z76" i="24"/>
  <c r="Z116" i="24"/>
  <c r="W15" i="24"/>
  <c r="X16" i="24"/>
  <c r="Y76" i="24"/>
  <c r="Y116" i="24"/>
  <c r="Y38" i="24"/>
  <c r="B66" i="14"/>
  <c r="B65" i="14"/>
  <c r="B64" i="14"/>
  <c r="B126" i="24"/>
  <c r="B125" i="24"/>
  <c r="B124" i="24"/>
  <c r="X38" i="24" l="1"/>
  <c r="X76" i="24"/>
  <c r="X116" i="24"/>
  <c r="V15" i="24"/>
  <c r="W16" i="24"/>
  <c r="W38" i="24" l="1"/>
  <c r="W76" i="24"/>
  <c r="W116" i="24"/>
  <c r="U15" i="24"/>
  <c r="V16" i="24"/>
  <c r="V76" i="24" l="1"/>
  <c r="V38" i="24"/>
  <c r="V116" i="24"/>
  <c r="T15" i="24"/>
  <c r="U16" i="24"/>
  <c r="U76" i="24" l="1"/>
  <c r="U38" i="24"/>
  <c r="U116" i="24"/>
  <c r="S15" i="24"/>
  <c r="T16" i="24"/>
  <c r="T38" i="24" l="1"/>
  <c r="T116" i="24"/>
  <c r="T76" i="24"/>
  <c r="R15" i="24"/>
  <c r="S16" i="24"/>
  <c r="S116" i="24" l="1"/>
  <c r="S38" i="24"/>
  <c r="S76" i="24"/>
  <c r="Q15" i="24"/>
  <c r="R16" i="24"/>
  <c r="R38" i="24" l="1"/>
  <c r="R116" i="24"/>
  <c r="R76" i="24"/>
  <c r="P15" i="24"/>
  <c r="Q16" i="24"/>
  <c r="Q76" i="24" l="1"/>
  <c r="Q38" i="24"/>
  <c r="Q116" i="24"/>
  <c r="O15" i="24"/>
  <c r="P16" i="24"/>
  <c r="N15" i="24" l="1"/>
  <c r="O16" i="24"/>
  <c r="P76" i="24"/>
  <c r="P38" i="24"/>
  <c r="P116" i="24"/>
  <c r="O76" i="24" l="1"/>
  <c r="O116" i="24"/>
  <c r="O38" i="24"/>
  <c r="M15" i="24"/>
  <c r="N16" i="24"/>
  <c r="N116" i="24" l="1"/>
  <c r="N76" i="24"/>
  <c r="N38" i="24"/>
  <c r="L15" i="24"/>
  <c r="M16" i="24"/>
  <c r="M116" i="24" l="1"/>
  <c r="M38" i="24"/>
  <c r="M76" i="24"/>
  <c r="K15" i="24"/>
  <c r="L16" i="24"/>
  <c r="J15" i="24" l="1"/>
  <c r="K16" i="24"/>
  <c r="L76" i="24"/>
  <c r="L116" i="24"/>
  <c r="L38" i="24"/>
  <c r="K116" i="24" l="1"/>
  <c r="K38" i="24"/>
  <c r="K76" i="24"/>
  <c r="I15" i="24"/>
  <c r="J16" i="24"/>
  <c r="J38" i="24" l="1"/>
  <c r="J116" i="24"/>
  <c r="J76" i="24"/>
  <c r="H15" i="24"/>
  <c r="I16" i="24"/>
  <c r="I76" i="24" l="1"/>
  <c r="I116" i="24"/>
  <c r="I38" i="24"/>
  <c r="G15" i="24"/>
  <c r="H16" i="24"/>
  <c r="F15" i="24" l="1"/>
  <c r="F16" i="24" s="1"/>
  <c r="G16" i="24"/>
  <c r="H76" i="24"/>
  <c r="H116" i="24"/>
  <c r="H38" i="24"/>
  <c r="G76" i="24" l="1"/>
  <c r="G116" i="24"/>
  <c r="G38" i="24"/>
  <c r="F38" i="24"/>
  <c r="F116" i="24"/>
  <c r="F76" i="24"/>
  <c r="I10" i="19" l="1"/>
  <c r="B10" i="19"/>
  <c r="B6" i="33"/>
  <c r="F57" i="19"/>
  <c r="F35" i="19"/>
  <c r="F136" i="19"/>
  <c r="F137" i="19"/>
  <c r="F130" i="19"/>
  <c r="F126" i="19"/>
  <c r="F125" i="19"/>
  <c r="F119" i="19"/>
  <c r="F114" i="19"/>
  <c r="F115" i="19"/>
  <c r="F91" i="19"/>
  <c r="F92" i="19"/>
  <c r="F93" i="19"/>
  <c r="F94" i="19"/>
  <c r="F95" i="19"/>
  <c r="F96" i="19"/>
  <c r="F97" i="19"/>
  <c r="F90" i="19"/>
  <c r="F80" i="19"/>
  <c r="F81" i="19"/>
  <c r="F82" i="19"/>
  <c r="F83" i="19"/>
  <c r="F84" i="19"/>
  <c r="F85" i="19"/>
  <c r="F86" i="19"/>
  <c r="F87" i="19"/>
  <c r="F79" i="19"/>
  <c r="F69" i="19"/>
  <c r="F70" i="19"/>
  <c r="F71" i="19"/>
  <c r="F72" i="19"/>
  <c r="F73" i="19"/>
  <c r="F74" i="19"/>
  <c r="F75" i="19"/>
  <c r="G146" i="19"/>
  <c r="F146" i="19"/>
  <c r="G106" i="19"/>
  <c r="F106" i="19"/>
  <c r="G66" i="19"/>
  <c r="F66" i="19"/>
  <c r="G25" i="19"/>
  <c r="F25" i="19"/>
  <c r="J66" i="19"/>
  <c r="I64" i="19"/>
  <c r="B144" i="19"/>
  <c r="C144" i="19"/>
  <c r="B148" i="19"/>
  <c r="F148" i="19"/>
  <c r="B150" i="19"/>
  <c r="C150" i="19"/>
  <c r="F150" i="19"/>
  <c r="B149" i="19"/>
  <c r="C149" i="19"/>
  <c r="F149" i="19"/>
  <c r="B153" i="19"/>
  <c r="C153" i="19"/>
  <c r="F153" i="19"/>
  <c r="B155" i="19"/>
  <c r="C155" i="19"/>
  <c r="F155" i="19"/>
  <c r="B154" i="19"/>
  <c r="C154" i="19"/>
  <c r="F154" i="19"/>
  <c r="B158" i="19"/>
  <c r="C158" i="19"/>
  <c r="B160" i="19"/>
  <c r="C160" i="19"/>
  <c r="B159" i="19"/>
  <c r="C159" i="19"/>
  <c r="C121" i="24"/>
  <c r="C120" i="24"/>
  <c r="AA117" i="24"/>
  <c r="B121" i="24"/>
  <c r="B120" i="24"/>
  <c r="C116" i="24"/>
  <c r="B116" i="24"/>
  <c r="G16" i="33"/>
  <c r="G351" i="19" s="1"/>
  <c r="G15" i="33"/>
  <c r="G350" i="19" s="1"/>
  <c r="G14" i="33"/>
  <c r="G349" i="19" s="1"/>
  <c r="F16" i="33"/>
  <c r="F15" i="33"/>
  <c r="F14" i="33"/>
  <c r="B15" i="33"/>
  <c r="B16" i="33"/>
  <c r="B14" i="33"/>
  <c r="C125" i="24"/>
  <c r="C126" i="24"/>
  <c r="C124" i="24"/>
  <c r="F28" i="19" l="1"/>
  <c r="F31" i="19"/>
  <c r="F43" i="19"/>
  <c r="F39" i="19"/>
  <c r="F54" i="19"/>
  <c r="F50" i="19"/>
  <c r="F32" i="19"/>
  <c r="F30" i="19"/>
  <c r="F46" i="19"/>
  <c r="F42" i="19"/>
  <c r="F53" i="19"/>
  <c r="F40" i="19"/>
  <c r="F51" i="19"/>
  <c r="F29" i="19"/>
  <c r="F41" i="19"/>
  <c r="F52" i="19"/>
  <c r="F34" i="19"/>
  <c r="F44" i="19"/>
  <c r="F55" i="19"/>
  <c r="F33" i="19"/>
  <c r="F45" i="19"/>
  <c r="F56" i="19"/>
  <c r="F158" i="19"/>
  <c r="F43" i="33"/>
  <c r="F160" i="19"/>
  <c r="F45" i="33"/>
  <c r="F159" i="19"/>
  <c r="F44" i="33"/>
  <c r="Z10" i="24"/>
  <c r="Z9" i="24"/>
  <c r="B10" i="24"/>
  <c r="B9" i="24"/>
  <c r="Z8" i="24"/>
  <c r="B8" i="24"/>
  <c r="AA39" i="24"/>
  <c r="AA77" i="24" s="1"/>
  <c r="F39" i="24"/>
  <c r="F77" i="24" s="1"/>
  <c r="H17" i="24"/>
  <c r="H39" i="24" s="1"/>
  <c r="H77" i="24" s="1"/>
  <c r="I17" i="24"/>
  <c r="I39" i="24" s="1"/>
  <c r="I77" i="24" s="1"/>
  <c r="J17" i="24"/>
  <c r="J39" i="24" s="1"/>
  <c r="J77" i="24" s="1"/>
  <c r="K17" i="24"/>
  <c r="K39" i="24" s="1"/>
  <c r="K77" i="24" s="1"/>
  <c r="L17" i="24"/>
  <c r="L39" i="24" s="1"/>
  <c r="L77" i="24" s="1"/>
  <c r="M17" i="24"/>
  <c r="M39" i="24" s="1"/>
  <c r="M77" i="24" s="1"/>
  <c r="N17" i="24"/>
  <c r="N39" i="24" s="1"/>
  <c r="N77" i="24" s="1"/>
  <c r="O17" i="24"/>
  <c r="O39" i="24" s="1"/>
  <c r="O77" i="24" s="1"/>
  <c r="P17" i="24"/>
  <c r="P39" i="24" s="1"/>
  <c r="P77" i="24" s="1"/>
  <c r="Q17" i="24"/>
  <c r="Q39" i="24" s="1"/>
  <c r="Q77" i="24" s="1"/>
  <c r="R17" i="24"/>
  <c r="R39" i="24" s="1"/>
  <c r="R77" i="24" s="1"/>
  <c r="S17" i="24"/>
  <c r="S39" i="24" s="1"/>
  <c r="S77" i="24" s="1"/>
  <c r="T17" i="24"/>
  <c r="T39" i="24" s="1"/>
  <c r="T77" i="24" s="1"/>
  <c r="U17" i="24"/>
  <c r="U39" i="24" s="1"/>
  <c r="U77" i="24" s="1"/>
  <c r="V17" i="24"/>
  <c r="V39" i="24" s="1"/>
  <c r="V77" i="24" s="1"/>
  <c r="W17" i="24"/>
  <c r="W39" i="24" s="1"/>
  <c r="W77" i="24" s="1"/>
  <c r="X17" i="24"/>
  <c r="X39" i="24" s="1"/>
  <c r="X77" i="24" s="1"/>
  <c r="Y17" i="24"/>
  <c r="Y39" i="24" s="1"/>
  <c r="Y77" i="24" s="1"/>
  <c r="Z17" i="24"/>
  <c r="Z39" i="24" s="1"/>
  <c r="Z77" i="24" s="1"/>
  <c r="G17" i="24"/>
  <c r="G39" i="24" s="1"/>
  <c r="G77" i="24" s="1"/>
  <c r="C137" i="14"/>
  <c r="C136" i="14"/>
  <c r="C135" i="14"/>
  <c r="C126" i="14"/>
  <c r="C127" i="14"/>
  <c r="C125" i="14"/>
  <c r="F190" i="17" l="1"/>
  <c r="I15" i="19" l="1"/>
  <c r="B15" i="19"/>
  <c r="I284" i="19"/>
  <c r="I247" i="19"/>
  <c r="I208" i="19"/>
  <c r="I169" i="19"/>
  <c r="C282" i="19"/>
  <c r="B282" i="19"/>
  <c r="I43" i="19" l="1"/>
  <c r="I46" i="19"/>
  <c r="I39" i="19"/>
  <c r="I40" i="19"/>
  <c r="I41" i="19"/>
  <c r="I42" i="19"/>
  <c r="I38" i="19"/>
  <c r="I44" i="19"/>
  <c r="I45" i="19"/>
  <c r="I29" i="19"/>
  <c r="I53" i="19"/>
  <c r="I27" i="19"/>
  <c r="I28" i="19"/>
  <c r="I55" i="19"/>
  <c r="I33" i="19"/>
  <c r="I50" i="19"/>
  <c r="I32" i="19"/>
  <c r="I31" i="19"/>
  <c r="I51" i="19"/>
  <c r="K98" i="19"/>
  <c r="I57" i="19"/>
  <c r="K57" i="19" s="1"/>
  <c r="I35" i="19"/>
  <c r="K35" i="19" s="1"/>
  <c r="K76" i="19"/>
  <c r="I52" i="19"/>
  <c r="I56" i="19"/>
  <c r="I49" i="19"/>
  <c r="I30" i="19"/>
  <c r="I34" i="19"/>
  <c r="I54" i="19"/>
  <c r="F194" i="19"/>
  <c r="F261" i="19"/>
  <c r="F256" i="19"/>
  <c r="F251" i="19"/>
  <c r="F259" i="19"/>
  <c r="F254" i="19"/>
  <c r="F249" i="19"/>
  <c r="F277" i="19"/>
  <c r="F272" i="19"/>
  <c r="F267" i="19"/>
  <c r="F275" i="19"/>
  <c r="F265" i="19"/>
  <c r="F270" i="19"/>
  <c r="F250" i="19"/>
  <c r="F260" i="19"/>
  <c r="F255" i="19"/>
  <c r="F179" i="19"/>
  <c r="F276" i="19"/>
  <c r="F271" i="19"/>
  <c r="F266" i="19"/>
  <c r="F176" i="19"/>
  <c r="F187" i="19"/>
  <c r="F198" i="19"/>
  <c r="F238" i="19"/>
  <c r="F227" i="19"/>
  <c r="F216" i="19"/>
  <c r="F195" i="19"/>
  <c r="F184" i="19"/>
  <c r="F173" i="19"/>
  <c r="F234" i="19"/>
  <c r="F223" i="19"/>
  <c r="F212" i="19"/>
  <c r="F214" i="19"/>
  <c r="F236" i="19"/>
  <c r="F225" i="19"/>
  <c r="F177" i="19"/>
  <c r="F188" i="19"/>
  <c r="F199" i="19"/>
  <c r="F239" i="19"/>
  <c r="F228" i="19"/>
  <c r="F217" i="19"/>
  <c r="F183" i="19"/>
  <c r="F197" i="19"/>
  <c r="F175" i="19"/>
  <c r="F186" i="19"/>
  <c r="F233" i="19"/>
  <c r="F222" i="19"/>
  <c r="F211" i="19"/>
  <c r="F235" i="19"/>
  <c r="F213" i="19"/>
  <c r="F224" i="19"/>
  <c r="F240" i="19"/>
  <c r="F229" i="19"/>
  <c r="F218" i="19"/>
  <c r="F226" i="19"/>
  <c r="F215" i="19"/>
  <c r="F237" i="19"/>
  <c r="F190" i="19"/>
  <c r="F201" i="19"/>
  <c r="F196" i="19"/>
  <c r="F185" i="19"/>
  <c r="F174" i="19"/>
  <c r="F193" i="19"/>
  <c r="F182" i="19"/>
  <c r="F171" i="19"/>
  <c r="F172" i="19"/>
  <c r="F178" i="19"/>
  <c r="F189" i="19"/>
  <c r="F200" i="19"/>
  <c r="F232" i="19"/>
  <c r="F221" i="19"/>
  <c r="F210" i="19"/>
  <c r="I47" i="19" l="1"/>
  <c r="I58" i="19"/>
  <c r="I36" i="19"/>
  <c r="J88" i="25"/>
  <c r="J66" i="25"/>
  <c r="J15" i="25"/>
  <c r="J32" i="25"/>
  <c r="C53" i="25"/>
  <c r="C54" i="25"/>
  <c r="C55" i="25"/>
  <c r="C56" i="25"/>
  <c r="C57" i="25"/>
  <c r="C58" i="25"/>
  <c r="C59" i="25"/>
  <c r="C60" i="25"/>
  <c r="C52" i="25"/>
  <c r="C80" i="25"/>
  <c r="C81" i="25"/>
  <c r="C75" i="25"/>
  <c r="C76" i="25"/>
  <c r="C70" i="25"/>
  <c r="C71" i="25"/>
  <c r="C79" i="25"/>
  <c r="C74" i="25"/>
  <c r="C69" i="25"/>
  <c r="C26" i="25"/>
  <c r="C25" i="25"/>
  <c r="C24" i="25"/>
  <c r="C23" i="25"/>
  <c r="C22" i="25"/>
  <c r="C21" i="25"/>
  <c r="C20" i="25"/>
  <c r="C19" i="25"/>
  <c r="C18" i="25"/>
  <c r="C36" i="25"/>
  <c r="C37" i="25"/>
  <c r="C38" i="25"/>
  <c r="C39" i="25"/>
  <c r="C40" i="25"/>
  <c r="C41" i="25"/>
  <c r="C42" i="25"/>
  <c r="C43" i="25"/>
  <c r="C35" i="25"/>
  <c r="B71" i="25"/>
  <c r="B70" i="25"/>
  <c r="B69" i="25"/>
  <c r="E9" i="25"/>
  <c r="B9" i="25"/>
  <c r="B81" i="25"/>
  <c r="B80" i="25"/>
  <c r="B79" i="25"/>
  <c r="B76" i="25"/>
  <c r="B75" i="25"/>
  <c r="B74" i="25"/>
  <c r="G66" i="25"/>
  <c r="F66" i="25"/>
  <c r="C65" i="25"/>
  <c r="B65" i="25"/>
  <c r="B365" i="19" l="1"/>
  <c r="B366" i="19"/>
  <c r="B364" i="19"/>
  <c r="B360" i="19"/>
  <c r="B361" i="19"/>
  <c r="B359" i="19"/>
  <c r="B355" i="19"/>
  <c r="B356" i="19"/>
  <c r="B354" i="19"/>
  <c r="B350" i="19"/>
  <c r="B351" i="19"/>
  <c r="B349" i="19"/>
  <c r="C365" i="19" l="1"/>
  <c r="C366" i="19"/>
  <c r="C364" i="19"/>
  <c r="C360" i="19"/>
  <c r="C361" i="19"/>
  <c r="C359" i="19"/>
  <c r="C355" i="19"/>
  <c r="C356" i="19"/>
  <c r="C354" i="19"/>
  <c r="C351" i="19"/>
  <c r="C350" i="19"/>
  <c r="C349" i="19"/>
  <c r="C344" i="19" l="1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03" i="19"/>
  <c r="C304" i="19"/>
  <c r="C305" i="19"/>
  <c r="C306" i="19"/>
  <c r="C307" i="19"/>
  <c r="C308" i="19"/>
  <c r="C309" i="19"/>
  <c r="C310" i="19"/>
  <c r="C302" i="19"/>
  <c r="B310" i="19"/>
  <c r="B309" i="19"/>
  <c r="B308" i="19"/>
  <c r="B307" i="19"/>
  <c r="B306" i="19"/>
  <c r="B305" i="19"/>
  <c r="B304" i="19"/>
  <c r="B303" i="19"/>
  <c r="B302" i="19"/>
  <c r="I17" i="19"/>
  <c r="B17" i="19"/>
  <c r="C295" i="19"/>
  <c r="B295" i="19"/>
  <c r="I14" i="19"/>
  <c r="I13" i="19"/>
  <c r="I12" i="19"/>
  <c r="B14" i="19"/>
  <c r="B13" i="19"/>
  <c r="B12" i="19"/>
  <c r="C277" i="19"/>
  <c r="B277" i="19"/>
  <c r="C276" i="19"/>
  <c r="B276" i="19"/>
  <c r="C275" i="19"/>
  <c r="B275" i="19"/>
  <c r="B274" i="19"/>
  <c r="C272" i="19"/>
  <c r="B272" i="19"/>
  <c r="C271" i="19"/>
  <c r="B271" i="19"/>
  <c r="C270" i="19"/>
  <c r="B270" i="19"/>
  <c r="B269" i="19"/>
  <c r="C267" i="19"/>
  <c r="B267" i="19"/>
  <c r="C266" i="19"/>
  <c r="B266" i="19"/>
  <c r="C265" i="19"/>
  <c r="B265" i="19"/>
  <c r="B264" i="19"/>
  <c r="C261" i="19"/>
  <c r="B261" i="19"/>
  <c r="C260" i="19"/>
  <c r="B260" i="19"/>
  <c r="C259" i="19"/>
  <c r="B259" i="19"/>
  <c r="B258" i="19"/>
  <c r="C256" i="19"/>
  <c r="B256" i="19"/>
  <c r="C255" i="19"/>
  <c r="B255" i="19"/>
  <c r="C254" i="19"/>
  <c r="B254" i="19"/>
  <c r="B253" i="19"/>
  <c r="C251" i="19"/>
  <c r="B251" i="19"/>
  <c r="C250" i="19"/>
  <c r="B250" i="19"/>
  <c r="C249" i="19"/>
  <c r="B249" i="19"/>
  <c r="B248" i="19"/>
  <c r="C245" i="19"/>
  <c r="B245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B231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B220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B209" i="19"/>
  <c r="C206" i="19"/>
  <c r="B206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B192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B181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B171" i="19"/>
  <c r="B170" i="19"/>
  <c r="C167" i="19"/>
  <c r="B167" i="19"/>
  <c r="C31" i="33" l="1"/>
  <c r="B31" i="33"/>
  <c r="C32" i="33"/>
  <c r="B32" i="33"/>
  <c r="C30" i="33"/>
  <c r="B30" i="33"/>
  <c r="C26" i="33"/>
  <c r="B26" i="33"/>
  <c r="C27" i="33"/>
  <c r="B27" i="33"/>
  <c r="C25" i="33"/>
  <c r="B25" i="33"/>
  <c r="B142" i="14"/>
  <c r="B141" i="14"/>
  <c r="B140" i="14"/>
  <c r="B137" i="14"/>
  <c r="B136" i="14"/>
  <c r="B135" i="14"/>
  <c r="B132" i="14"/>
  <c r="B131" i="14"/>
  <c r="B130" i="14"/>
  <c r="F10" i="14"/>
  <c r="B10" i="14"/>
  <c r="C141" i="14"/>
  <c r="C142" i="14"/>
  <c r="C131" i="14"/>
  <c r="C132" i="14"/>
  <c r="C140" i="14"/>
  <c r="C130" i="14"/>
  <c r="C120" i="14"/>
  <c r="B120" i="14"/>
  <c r="F22" i="17" l="1"/>
  <c r="G22" i="17"/>
  <c r="G303" i="19" s="1"/>
  <c r="F23" i="17"/>
  <c r="G23" i="17"/>
  <c r="G304" i="19" s="1"/>
  <c r="F24" i="17"/>
  <c r="G24" i="17"/>
  <c r="G305" i="19" s="1"/>
  <c r="F25" i="17"/>
  <c r="G25" i="17"/>
  <c r="G306" i="19" s="1"/>
  <c r="F26" i="17"/>
  <c r="G26" i="17"/>
  <c r="G307" i="19" s="1"/>
  <c r="F27" i="17"/>
  <c r="G27" i="17"/>
  <c r="G308" i="19" s="1"/>
  <c r="F28" i="17"/>
  <c r="G28" i="17"/>
  <c r="G309" i="19" s="1"/>
  <c r="F29" i="17"/>
  <c r="G29" i="17"/>
  <c r="G21" i="17"/>
  <c r="G302" i="19" s="1"/>
  <c r="F21" i="17"/>
  <c r="F46" i="17"/>
  <c r="G46" i="17"/>
  <c r="G325" i="19" s="1"/>
  <c r="F47" i="17"/>
  <c r="G47" i="17"/>
  <c r="G326" i="19" s="1"/>
  <c r="F48" i="17"/>
  <c r="G48" i="17"/>
  <c r="G327" i="19" s="1"/>
  <c r="F49" i="17"/>
  <c r="G49" i="17"/>
  <c r="G328" i="19" s="1"/>
  <c r="F50" i="17"/>
  <c r="G50" i="17"/>
  <c r="G329" i="19" s="1"/>
  <c r="F51" i="17"/>
  <c r="G51" i="17"/>
  <c r="G330" i="19" s="1"/>
  <c r="F52" i="17"/>
  <c r="G52" i="17"/>
  <c r="G331" i="19" s="1"/>
  <c r="F53" i="17"/>
  <c r="G53" i="17"/>
  <c r="G45" i="17"/>
  <c r="F45" i="17"/>
  <c r="F34" i="17"/>
  <c r="G34" i="17"/>
  <c r="G314" i="19" s="1"/>
  <c r="F35" i="17"/>
  <c r="G35" i="17"/>
  <c r="G315" i="19" s="1"/>
  <c r="F36" i="17"/>
  <c r="G36" i="17"/>
  <c r="G316" i="19" s="1"/>
  <c r="F37" i="17"/>
  <c r="G37" i="17"/>
  <c r="G317" i="19" s="1"/>
  <c r="F38" i="17"/>
  <c r="G38" i="17"/>
  <c r="G318" i="19" s="1"/>
  <c r="F39" i="17"/>
  <c r="G39" i="17"/>
  <c r="G319" i="19" s="1"/>
  <c r="F40" i="17"/>
  <c r="G40" i="17"/>
  <c r="G320" i="19" s="1"/>
  <c r="F41" i="17"/>
  <c r="G41" i="17"/>
  <c r="G321" i="19" s="1"/>
  <c r="G344" i="19" s="1"/>
  <c r="G33" i="17"/>
  <c r="G313" i="19" s="1"/>
  <c r="F33" i="17"/>
  <c r="I344" i="19" l="1"/>
  <c r="G324" i="19"/>
  <c r="G336" i="19" s="1"/>
  <c r="G343" i="19"/>
  <c r="G342" i="19"/>
  <c r="G341" i="19"/>
  <c r="G340" i="19"/>
  <c r="G339" i="19"/>
  <c r="G338" i="19"/>
  <c r="G337" i="19"/>
  <c r="B6" i="17"/>
  <c r="G6" i="17"/>
  <c r="B7" i="17"/>
  <c r="G7" i="17"/>
  <c r="B8" i="17"/>
  <c r="G8" i="17"/>
  <c r="B9" i="17"/>
  <c r="G9" i="17"/>
  <c r="B10" i="17"/>
  <c r="G10" i="17"/>
  <c r="B11" i="17"/>
  <c r="G11" i="17"/>
  <c r="B17" i="17"/>
  <c r="C17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3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F139" i="17"/>
  <c r="B58" i="17"/>
  <c r="C58" i="17"/>
  <c r="B61" i="17"/>
  <c r="B62" i="17"/>
  <c r="F62" i="17"/>
  <c r="G62" i="17"/>
  <c r="B63" i="17"/>
  <c r="F63" i="17"/>
  <c r="G63" i="17"/>
  <c r="B64" i="17"/>
  <c r="F64" i="17"/>
  <c r="G64" i="17"/>
  <c r="B65" i="17"/>
  <c r="F65" i="17"/>
  <c r="G65" i="17"/>
  <c r="B66" i="17"/>
  <c r="F66" i="17"/>
  <c r="G66" i="17"/>
  <c r="B67" i="17"/>
  <c r="F67" i="17"/>
  <c r="G67" i="17"/>
  <c r="B68" i="17"/>
  <c r="F68" i="17"/>
  <c r="G68" i="17"/>
  <c r="B69" i="17"/>
  <c r="F69" i="17"/>
  <c r="G69" i="17"/>
  <c r="B70" i="17"/>
  <c r="B72" i="17"/>
  <c r="B73" i="17"/>
  <c r="F73" i="17"/>
  <c r="F102" i="17" s="1"/>
  <c r="G73" i="17"/>
  <c r="B74" i="17"/>
  <c r="F74" i="17"/>
  <c r="G74" i="17"/>
  <c r="B75" i="17"/>
  <c r="F75" i="17"/>
  <c r="G75" i="17"/>
  <c r="B76" i="17"/>
  <c r="F76" i="17"/>
  <c r="G76" i="17"/>
  <c r="B77" i="17"/>
  <c r="F77" i="17"/>
  <c r="G77" i="17"/>
  <c r="B78" i="17"/>
  <c r="F78" i="17"/>
  <c r="G78" i="17"/>
  <c r="B79" i="17"/>
  <c r="F79" i="17"/>
  <c r="G79" i="17"/>
  <c r="B80" i="17"/>
  <c r="F80" i="17"/>
  <c r="G80" i="17"/>
  <c r="B81" i="17"/>
  <c r="F81" i="17"/>
  <c r="G81" i="17"/>
  <c r="B83" i="17"/>
  <c r="B84" i="17"/>
  <c r="F84" i="17"/>
  <c r="G84" i="17"/>
  <c r="B85" i="17"/>
  <c r="F85" i="17"/>
  <c r="G85" i="17"/>
  <c r="B86" i="17"/>
  <c r="F86" i="17"/>
  <c r="G86" i="17"/>
  <c r="B87" i="17"/>
  <c r="F87" i="17"/>
  <c r="G87" i="17"/>
  <c r="B88" i="17"/>
  <c r="F88" i="17"/>
  <c r="G88" i="17"/>
  <c r="B89" i="17"/>
  <c r="F89" i="17"/>
  <c r="G89" i="17"/>
  <c r="B90" i="17"/>
  <c r="F90" i="17"/>
  <c r="G90" i="17"/>
  <c r="B91" i="17"/>
  <c r="F91" i="17"/>
  <c r="G91" i="17"/>
  <c r="B92" i="17"/>
  <c r="F92" i="17"/>
  <c r="G92" i="17"/>
  <c r="B98" i="17"/>
  <c r="C98" i="17"/>
  <c r="B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8" i="17"/>
  <c r="C128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39" i="17"/>
  <c r="C139" i="17"/>
  <c r="G139" i="17"/>
  <c r="B145" i="17"/>
  <c r="C145" i="17"/>
  <c r="B148" i="17"/>
  <c r="C148" i="17"/>
  <c r="F148" i="17"/>
  <c r="G148" i="17"/>
  <c r="G160" i="17" s="1"/>
  <c r="B149" i="17"/>
  <c r="C149" i="17"/>
  <c r="F149" i="17"/>
  <c r="F161" i="17" s="1"/>
  <c r="G149" i="17"/>
  <c r="G173" i="17" s="1"/>
  <c r="G69" i="19" s="1"/>
  <c r="J69" i="19" s="1"/>
  <c r="B150" i="17"/>
  <c r="C150" i="17"/>
  <c r="F150" i="17"/>
  <c r="F174" i="17" s="1"/>
  <c r="G150" i="17"/>
  <c r="G162" i="17" s="1"/>
  <c r="B151" i="17"/>
  <c r="C151" i="17"/>
  <c r="F151" i="17"/>
  <c r="F163" i="17" s="1"/>
  <c r="G151" i="17"/>
  <c r="G163" i="17" s="1"/>
  <c r="B152" i="17"/>
  <c r="C152" i="17"/>
  <c r="F152" i="17"/>
  <c r="F176" i="17" s="1"/>
  <c r="G152" i="17"/>
  <c r="G176" i="17" s="1"/>
  <c r="G72" i="19" s="1"/>
  <c r="J72" i="19" s="1"/>
  <c r="B153" i="17"/>
  <c r="C153" i="17"/>
  <c r="F153" i="17"/>
  <c r="F165" i="17" s="1"/>
  <c r="G153" i="17"/>
  <c r="G165" i="17" s="1"/>
  <c r="B154" i="17"/>
  <c r="C154" i="17"/>
  <c r="F154" i="17"/>
  <c r="F166" i="17" s="1"/>
  <c r="G154" i="17"/>
  <c r="G166" i="17" s="1"/>
  <c r="B155" i="17"/>
  <c r="C155" i="17"/>
  <c r="F155" i="17"/>
  <c r="F167" i="17" s="1"/>
  <c r="G155" i="17"/>
  <c r="G167" i="17" s="1"/>
  <c r="B156" i="17"/>
  <c r="C156" i="17"/>
  <c r="F156" i="17"/>
  <c r="G156" i="17"/>
  <c r="B160" i="17"/>
  <c r="C160" i="17"/>
  <c r="B161" i="17"/>
  <c r="C161" i="17"/>
  <c r="B162" i="17"/>
  <c r="C162" i="17"/>
  <c r="B163" i="17"/>
  <c r="C163" i="17"/>
  <c r="B164" i="17"/>
  <c r="C164" i="17"/>
  <c r="B165" i="17"/>
  <c r="C165" i="17"/>
  <c r="B166" i="17"/>
  <c r="C166" i="17"/>
  <c r="B167" i="17"/>
  <c r="C167" i="17"/>
  <c r="B168" i="17"/>
  <c r="C168" i="17"/>
  <c r="B172" i="17"/>
  <c r="C172" i="17"/>
  <c r="B173" i="17"/>
  <c r="C173" i="17"/>
  <c r="B174" i="17"/>
  <c r="C174" i="17"/>
  <c r="B175" i="17"/>
  <c r="C175" i="17"/>
  <c r="B176" i="17"/>
  <c r="C176" i="17"/>
  <c r="B177" i="17"/>
  <c r="C177" i="17"/>
  <c r="B178" i="17"/>
  <c r="C178" i="17"/>
  <c r="B179" i="17"/>
  <c r="C179" i="17"/>
  <c r="B180" i="17"/>
  <c r="C180" i="17"/>
  <c r="B187" i="17"/>
  <c r="C187" i="17"/>
  <c r="B190" i="17"/>
  <c r="C190" i="17"/>
  <c r="G190" i="17"/>
  <c r="B191" i="17"/>
  <c r="C191" i="17"/>
  <c r="F191" i="17"/>
  <c r="G191" i="17"/>
  <c r="B192" i="17"/>
  <c r="C192" i="17"/>
  <c r="F192" i="17"/>
  <c r="G192" i="17"/>
  <c r="B193" i="17"/>
  <c r="C193" i="17"/>
  <c r="F193" i="17"/>
  <c r="G193" i="17"/>
  <c r="B194" i="17"/>
  <c r="C194" i="17"/>
  <c r="F194" i="17"/>
  <c r="G194" i="17"/>
  <c r="B195" i="17"/>
  <c r="C195" i="17"/>
  <c r="F195" i="17"/>
  <c r="G195" i="17"/>
  <c r="B196" i="17"/>
  <c r="C196" i="17"/>
  <c r="F196" i="17"/>
  <c r="G196" i="17"/>
  <c r="B197" i="17"/>
  <c r="C197" i="17"/>
  <c r="F197" i="17"/>
  <c r="G197" i="17"/>
  <c r="B198" i="17"/>
  <c r="C198" i="17"/>
  <c r="F198" i="17"/>
  <c r="G198" i="17"/>
  <c r="B202" i="17"/>
  <c r="C202" i="17"/>
  <c r="F202" i="17"/>
  <c r="G202" i="17"/>
  <c r="G108" i="19" s="1"/>
  <c r="J108" i="19" s="1"/>
  <c r="B203" i="17"/>
  <c r="C203" i="17"/>
  <c r="F203" i="17"/>
  <c r="G203" i="17"/>
  <c r="G109" i="19" s="1"/>
  <c r="B204" i="17"/>
  <c r="C204" i="17"/>
  <c r="F204" i="17"/>
  <c r="G204" i="17"/>
  <c r="G110" i="19" s="1"/>
  <c r="B205" i="17"/>
  <c r="C205" i="17"/>
  <c r="F205" i="17"/>
  <c r="G205" i="17"/>
  <c r="G111" i="19" s="1"/>
  <c r="B206" i="17"/>
  <c r="C206" i="17"/>
  <c r="F206" i="17"/>
  <c r="G206" i="17"/>
  <c r="G112" i="19" s="1"/>
  <c r="B207" i="17"/>
  <c r="C207" i="17"/>
  <c r="F207" i="17"/>
  <c r="G207" i="17"/>
  <c r="G113" i="19" s="1"/>
  <c r="B208" i="17"/>
  <c r="C208" i="17"/>
  <c r="F208" i="17"/>
  <c r="G208" i="17"/>
  <c r="G114" i="19" s="1"/>
  <c r="J114" i="19" s="1"/>
  <c r="B209" i="17"/>
  <c r="C209" i="17"/>
  <c r="F209" i="17"/>
  <c r="G209" i="17"/>
  <c r="G115" i="19" s="1"/>
  <c r="J115" i="19" s="1"/>
  <c r="B210" i="17"/>
  <c r="C210" i="17"/>
  <c r="F210" i="17"/>
  <c r="G210" i="17"/>
  <c r="G116" i="19" s="1"/>
  <c r="B7" i="19"/>
  <c r="I7" i="19"/>
  <c r="B8" i="19"/>
  <c r="I8" i="19"/>
  <c r="B9" i="19"/>
  <c r="I9" i="19"/>
  <c r="B23" i="19"/>
  <c r="C23" i="19"/>
  <c r="B27" i="19"/>
  <c r="B28" i="19"/>
  <c r="C28" i="19"/>
  <c r="B29" i="19"/>
  <c r="C29" i="19"/>
  <c r="B30" i="19"/>
  <c r="C30" i="19"/>
  <c r="B31" i="19"/>
  <c r="C31" i="19"/>
  <c r="B32" i="19"/>
  <c r="C32" i="19"/>
  <c r="B33" i="19"/>
  <c r="C33" i="19"/>
  <c r="B34" i="19"/>
  <c r="C34" i="19"/>
  <c r="B35" i="19"/>
  <c r="C35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9" i="19"/>
  <c r="C49" i="19"/>
  <c r="B50" i="19"/>
  <c r="C50" i="19"/>
  <c r="B51" i="19"/>
  <c r="C51" i="19"/>
  <c r="B52" i="19"/>
  <c r="C52" i="19"/>
  <c r="B53" i="19"/>
  <c r="C53" i="19"/>
  <c r="B54" i="19"/>
  <c r="C54" i="19"/>
  <c r="B55" i="19"/>
  <c r="C55" i="19"/>
  <c r="B56" i="19"/>
  <c r="C56" i="19"/>
  <c r="B57" i="19"/>
  <c r="C57" i="19"/>
  <c r="B64" i="19"/>
  <c r="C64" i="19"/>
  <c r="B67" i="19"/>
  <c r="B68" i="19"/>
  <c r="C68" i="19"/>
  <c r="B69" i="19"/>
  <c r="C69" i="19"/>
  <c r="B70" i="19"/>
  <c r="C70" i="19"/>
  <c r="B71" i="19"/>
  <c r="C71" i="19"/>
  <c r="B72" i="19"/>
  <c r="C72" i="19"/>
  <c r="B73" i="19"/>
  <c r="C73" i="19"/>
  <c r="B74" i="19"/>
  <c r="C74" i="19"/>
  <c r="B75" i="19"/>
  <c r="C75" i="19"/>
  <c r="B76" i="19"/>
  <c r="C76" i="19"/>
  <c r="B78" i="19"/>
  <c r="B79" i="19"/>
  <c r="C79" i="19"/>
  <c r="B80" i="19"/>
  <c r="C80" i="19"/>
  <c r="B81" i="19"/>
  <c r="C81" i="19"/>
  <c r="B82" i="19"/>
  <c r="C82" i="19"/>
  <c r="B83" i="19"/>
  <c r="C83" i="19"/>
  <c r="B84" i="19"/>
  <c r="C84" i="19"/>
  <c r="B85" i="19"/>
  <c r="C85" i="19"/>
  <c r="B86" i="19"/>
  <c r="C86" i="19"/>
  <c r="B87" i="19"/>
  <c r="C87" i="19"/>
  <c r="B89" i="19"/>
  <c r="B90" i="19"/>
  <c r="C90" i="19"/>
  <c r="B91" i="19"/>
  <c r="C91" i="19"/>
  <c r="B92" i="19"/>
  <c r="C92" i="19"/>
  <c r="B93" i="19"/>
  <c r="C93" i="19"/>
  <c r="B94" i="19"/>
  <c r="C94" i="19"/>
  <c r="B95" i="19"/>
  <c r="C95" i="19"/>
  <c r="B96" i="19"/>
  <c r="C96" i="19"/>
  <c r="B97" i="19"/>
  <c r="C97" i="19"/>
  <c r="B98" i="19"/>
  <c r="C98" i="19"/>
  <c r="B104" i="19"/>
  <c r="C104" i="19"/>
  <c r="B107" i="19"/>
  <c r="B108" i="19"/>
  <c r="C108" i="19"/>
  <c r="B109" i="19"/>
  <c r="C109" i="19"/>
  <c r="B110" i="19"/>
  <c r="C110" i="19"/>
  <c r="B111" i="19"/>
  <c r="C111" i="19"/>
  <c r="B112" i="19"/>
  <c r="C112" i="19"/>
  <c r="B113" i="19"/>
  <c r="C113" i="19"/>
  <c r="B114" i="19"/>
  <c r="C114" i="19"/>
  <c r="B115" i="19"/>
  <c r="C115" i="19"/>
  <c r="B116" i="19"/>
  <c r="C116" i="19"/>
  <c r="B118" i="19"/>
  <c r="B119" i="19"/>
  <c r="C119" i="19"/>
  <c r="B120" i="19"/>
  <c r="C120" i="19"/>
  <c r="B121" i="19"/>
  <c r="C121" i="19"/>
  <c r="B122" i="19"/>
  <c r="C122" i="19"/>
  <c r="B123" i="19"/>
  <c r="C123" i="19"/>
  <c r="B124" i="19"/>
  <c r="C124" i="19"/>
  <c r="B125" i="19"/>
  <c r="C125" i="19"/>
  <c r="B126" i="19"/>
  <c r="C126" i="19"/>
  <c r="B127" i="19"/>
  <c r="C127" i="19"/>
  <c r="B129" i="19"/>
  <c r="B130" i="19"/>
  <c r="C130" i="19"/>
  <c r="B131" i="19"/>
  <c r="C131" i="19"/>
  <c r="B132" i="19"/>
  <c r="C132" i="19"/>
  <c r="B133" i="19"/>
  <c r="C133" i="19"/>
  <c r="B134" i="19"/>
  <c r="C134" i="19"/>
  <c r="B135" i="19"/>
  <c r="C135" i="19"/>
  <c r="B136" i="19"/>
  <c r="C136" i="19"/>
  <c r="B137" i="19"/>
  <c r="C137" i="19"/>
  <c r="B138" i="19"/>
  <c r="C138" i="19"/>
  <c r="J116" i="19" l="1"/>
  <c r="K116" i="19" s="1"/>
  <c r="J110" i="19"/>
  <c r="K110" i="19" s="1"/>
  <c r="J109" i="19"/>
  <c r="K109" i="19" s="1"/>
  <c r="J112" i="19"/>
  <c r="K112" i="19" s="1"/>
  <c r="J111" i="19"/>
  <c r="K111" i="19" s="1"/>
  <c r="J113" i="19"/>
  <c r="K113" i="19" s="1"/>
  <c r="I339" i="19"/>
  <c r="I343" i="19"/>
  <c r="I340" i="19"/>
  <c r="I336" i="19"/>
  <c r="I337" i="19"/>
  <c r="I341" i="19"/>
  <c r="I338" i="19"/>
  <c r="I342" i="19"/>
  <c r="F27" i="33"/>
  <c r="F32" i="33"/>
  <c r="F50" i="33"/>
  <c r="F55" i="33"/>
  <c r="F26" i="33"/>
  <c r="F31" i="33"/>
  <c r="F49" i="33"/>
  <c r="F54" i="33"/>
  <c r="F48" i="33"/>
  <c r="F53" i="33"/>
  <c r="F25" i="33"/>
  <c r="F30" i="33"/>
  <c r="G127" i="19"/>
  <c r="F178" i="17"/>
  <c r="F107" i="17"/>
  <c r="F119" i="17" s="1"/>
  <c r="F136" i="17" s="1"/>
  <c r="H306" i="19"/>
  <c r="H303" i="19"/>
  <c r="G168" i="17"/>
  <c r="G87" i="19"/>
  <c r="J87" i="19" s="1"/>
  <c r="G175" i="17"/>
  <c r="G71" i="19" s="1"/>
  <c r="J71" i="19" s="1"/>
  <c r="F168" i="17"/>
  <c r="F106" i="17"/>
  <c r="F118" i="17" s="1"/>
  <c r="F135" i="17" s="1"/>
  <c r="G109" i="17"/>
  <c r="G121" i="17" s="1"/>
  <c r="G138" i="17" s="1"/>
  <c r="G86" i="19" s="1"/>
  <c r="J86" i="19" s="1"/>
  <c r="F104" i="17"/>
  <c r="F105" i="17"/>
  <c r="F117" i="17" s="1"/>
  <c r="F134" i="17" s="1"/>
  <c r="F114" i="17"/>
  <c r="F108" i="17"/>
  <c r="F120" i="17" s="1"/>
  <c r="F137" i="17" s="1"/>
  <c r="F173" i="17"/>
  <c r="G180" i="17"/>
  <c r="G76" i="19" s="1"/>
  <c r="J76" i="19" s="1"/>
  <c r="F175" i="17"/>
  <c r="F199" i="17"/>
  <c r="G172" i="17"/>
  <c r="G68" i="19" s="1"/>
  <c r="J68" i="19" s="1"/>
  <c r="G199" i="17"/>
  <c r="G105" i="17"/>
  <c r="G117" i="17" s="1"/>
  <c r="G134" i="17" s="1"/>
  <c r="G122" i="19" s="1"/>
  <c r="G103" i="17"/>
  <c r="G115" i="17" s="1"/>
  <c r="G132" i="17" s="1"/>
  <c r="G120" i="19" s="1"/>
  <c r="G107" i="17"/>
  <c r="G119" i="17" s="1"/>
  <c r="G136" i="17" s="1"/>
  <c r="G124" i="19" s="1"/>
  <c r="G106" i="17"/>
  <c r="G118" i="17" s="1"/>
  <c r="G135" i="17" s="1"/>
  <c r="G123" i="19" s="1"/>
  <c r="G104" i="17"/>
  <c r="G116" i="17" s="1"/>
  <c r="G133" i="17" s="1"/>
  <c r="G121" i="19" s="1"/>
  <c r="G102" i="17"/>
  <c r="G114" i="17" s="1"/>
  <c r="F103" i="17"/>
  <c r="F115" i="17" s="1"/>
  <c r="F132" i="17" s="1"/>
  <c r="F109" i="17"/>
  <c r="F121" i="17" s="1"/>
  <c r="F138" i="17" s="1"/>
  <c r="G108" i="17"/>
  <c r="G120" i="17" s="1"/>
  <c r="G137" i="17" s="1"/>
  <c r="G125" i="19" s="1"/>
  <c r="J125" i="19" s="1"/>
  <c r="G177" i="17"/>
  <c r="G73" i="19" s="1"/>
  <c r="J73" i="19" s="1"/>
  <c r="G178" i="17"/>
  <c r="G74" i="19" s="1"/>
  <c r="J74" i="19" s="1"/>
  <c r="F157" i="17"/>
  <c r="G161" i="17"/>
  <c r="G164" i="17"/>
  <c r="G157" i="17"/>
  <c r="F164" i="17"/>
  <c r="F162" i="17"/>
  <c r="F179" i="17"/>
  <c r="G179" i="17"/>
  <c r="G75" i="19" s="1"/>
  <c r="J75" i="19" s="1"/>
  <c r="F211" i="17"/>
  <c r="F180" i="17"/>
  <c r="F160" i="17"/>
  <c r="F172" i="17"/>
  <c r="G211" i="17"/>
  <c r="F177" i="17"/>
  <c r="G174" i="17"/>
  <c r="G70" i="19" s="1"/>
  <c r="J70" i="19" s="1"/>
  <c r="J121" i="19" l="1"/>
  <c r="K121" i="19" s="1"/>
  <c r="J123" i="19"/>
  <c r="K123" i="19" s="1"/>
  <c r="J124" i="19"/>
  <c r="K124" i="19" s="1"/>
  <c r="J122" i="19"/>
  <c r="K122" i="19" s="1"/>
  <c r="J120" i="19"/>
  <c r="K120" i="19" s="1"/>
  <c r="J127" i="19"/>
  <c r="K127" i="19" s="1"/>
  <c r="K114" i="19"/>
  <c r="K115" i="19"/>
  <c r="K108" i="19"/>
  <c r="J28" i="19"/>
  <c r="K69" i="19"/>
  <c r="J31" i="19"/>
  <c r="K72" i="19"/>
  <c r="F34" i="33"/>
  <c r="G26" i="33"/>
  <c r="G31" i="33"/>
  <c r="G27" i="33"/>
  <c r="G32" i="33"/>
  <c r="G25" i="33"/>
  <c r="G30" i="33"/>
  <c r="F33" i="33"/>
  <c r="F35" i="33"/>
  <c r="G131" i="17"/>
  <c r="G79" i="19" s="1"/>
  <c r="J79" i="19" s="1"/>
  <c r="H302" i="19"/>
  <c r="F116" i="17"/>
  <c r="F133" i="17" s="1"/>
  <c r="F131" i="17"/>
  <c r="G126" i="19"/>
  <c r="J126" i="19" s="1"/>
  <c r="G83" i="19"/>
  <c r="J83" i="19" s="1"/>
  <c r="G80" i="19"/>
  <c r="J80" i="19" s="1"/>
  <c r="H305" i="19"/>
  <c r="H304" i="19"/>
  <c r="H309" i="19"/>
  <c r="H321" i="19"/>
  <c r="H307" i="19"/>
  <c r="H320" i="19"/>
  <c r="H308" i="19"/>
  <c r="G81" i="19"/>
  <c r="J81" i="19" s="1"/>
  <c r="G82" i="19"/>
  <c r="J82" i="19" s="1"/>
  <c r="G84" i="19"/>
  <c r="J84" i="19" s="1"/>
  <c r="G85" i="19"/>
  <c r="J85" i="19" s="1"/>
  <c r="G181" i="17"/>
  <c r="F181" i="17"/>
  <c r="J46" i="19" l="1"/>
  <c r="K87" i="19"/>
  <c r="J34" i="19"/>
  <c r="K75" i="19"/>
  <c r="K86" i="19"/>
  <c r="J33" i="19"/>
  <c r="K74" i="19"/>
  <c r="J32" i="19"/>
  <c r="K73" i="19"/>
  <c r="J30" i="19"/>
  <c r="K71" i="19"/>
  <c r="J29" i="19"/>
  <c r="K70" i="19"/>
  <c r="J27" i="19"/>
  <c r="K68" i="19"/>
  <c r="K31" i="19"/>
  <c r="J35" i="19"/>
  <c r="G201" i="19"/>
  <c r="G179" i="19"/>
  <c r="G190" i="19"/>
  <c r="K28" i="19"/>
  <c r="G271" i="19"/>
  <c r="K125" i="19"/>
  <c r="G229" i="19"/>
  <c r="G359" i="19"/>
  <c r="G361" i="19"/>
  <c r="G356" i="19"/>
  <c r="G360" i="19"/>
  <c r="G355" i="19"/>
  <c r="G354" i="19"/>
  <c r="G119" i="19"/>
  <c r="J119" i="19" s="1"/>
  <c r="H313" i="19"/>
  <c r="G90" i="19"/>
  <c r="J90" i="19" s="1"/>
  <c r="G276" i="19"/>
  <c r="G266" i="19"/>
  <c r="H317" i="19"/>
  <c r="G239" i="19"/>
  <c r="H314" i="19"/>
  <c r="G228" i="19"/>
  <c r="G217" i="19"/>
  <c r="G221" i="19"/>
  <c r="F288" i="19"/>
  <c r="G240" i="19"/>
  <c r="G218" i="19"/>
  <c r="H319" i="19"/>
  <c r="H315" i="19"/>
  <c r="H318" i="19"/>
  <c r="H316" i="19"/>
  <c r="G34" i="33"/>
  <c r="G210" i="19" l="1"/>
  <c r="J45" i="19"/>
  <c r="G232" i="19"/>
  <c r="K45" i="19"/>
  <c r="J44" i="19"/>
  <c r="K85" i="19"/>
  <c r="J42" i="19"/>
  <c r="K83" i="19"/>
  <c r="K29" i="19"/>
  <c r="J41" i="19"/>
  <c r="K82" i="19"/>
  <c r="J43" i="19"/>
  <c r="K84" i="19"/>
  <c r="J39" i="19"/>
  <c r="K80" i="19"/>
  <c r="H324" i="19"/>
  <c r="J36" i="19"/>
  <c r="K27" i="19"/>
  <c r="K79" i="19"/>
  <c r="K33" i="19"/>
  <c r="K34" i="19"/>
  <c r="K32" i="19"/>
  <c r="K46" i="19"/>
  <c r="J40" i="19"/>
  <c r="K81" i="19"/>
  <c r="K30" i="19"/>
  <c r="G272" i="19"/>
  <c r="K126" i="19"/>
  <c r="G213" i="19"/>
  <c r="G237" i="19"/>
  <c r="G238" i="19"/>
  <c r="G225" i="19"/>
  <c r="G234" i="19"/>
  <c r="G233" i="19"/>
  <c r="G366" i="19"/>
  <c r="G130" i="19"/>
  <c r="J130" i="19" s="1"/>
  <c r="G277" i="19"/>
  <c r="G211" i="19"/>
  <c r="G236" i="19"/>
  <c r="G267" i="19"/>
  <c r="G214" i="19"/>
  <c r="G222" i="19"/>
  <c r="G212" i="19"/>
  <c r="G223" i="19"/>
  <c r="G227" i="19"/>
  <c r="G216" i="19"/>
  <c r="G224" i="19"/>
  <c r="G226" i="19"/>
  <c r="G215" i="19"/>
  <c r="G235" i="19"/>
  <c r="J38" i="19" l="1"/>
  <c r="J47" i="19" s="1"/>
  <c r="K119" i="19"/>
  <c r="G275" i="19"/>
  <c r="G265" i="19"/>
  <c r="G270" i="19"/>
  <c r="K43" i="19"/>
  <c r="K44" i="19"/>
  <c r="K40" i="19"/>
  <c r="K39" i="19"/>
  <c r="K42" i="19"/>
  <c r="K41" i="19"/>
  <c r="F38" i="19"/>
  <c r="F27" i="19"/>
  <c r="K38" i="19" l="1"/>
  <c r="F36" i="19"/>
  <c r="F49" i="19"/>
  <c r="F47" i="19"/>
  <c r="F58" i="19" l="1"/>
  <c r="G133" i="19"/>
  <c r="G132" i="19"/>
  <c r="G138" i="19"/>
  <c r="J138" i="19" s="1"/>
  <c r="G135" i="19"/>
  <c r="G134" i="19"/>
  <c r="G35" i="19"/>
  <c r="G131" i="19"/>
  <c r="J134" i="19" l="1"/>
  <c r="K134" i="19" s="1"/>
  <c r="J135" i="19"/>
  <c r="K135" i="19" s="1"/>
  <c r="J132" i="19"/>
  <c r="K132" i="19" s="1"/>
  <c r="J133" i="19"/>
  <c r="K133" i="19" s="1"/>
  <c r="J131" i="19"/>
  <c r="K131" i="19" s="1"/>
  <c r="G57" i="19"/>
  <c r="H344" i="19"/>
  <c r="I211" i="19"/>
  <c r="I222" i="19"/>
  <c r="I233" i="19"/>
  <c r="I234" i="19"/>
  <c r="I223" i="19"/>
  <c r="I212" i="19"/>
  <c r="I221" i="19"/>
  <c r="I232" i="19"/>
  <c r="I210" i="19"/>
  <c r="I236" i="19"/>
  <c r="I214" i="19"/>
  <c r="I225" i="19"/>
  <c r="I216" i="19"/>
  <c r="I227" i="19"/>
  <c r="I238" i="19"/>
  <c r="I229" i="19"/>
  <c r="I218" i="19"/>
  <c r="I240" i="19"/>
  <c r="I239" i="19"/>
  <c r="I217" i="19"/>
  <c r="I228" i="19"/>
  <c r="I237" i="19"/>
  <c r="I215" i="19"/>
  <c r="I226" i="19"/>
  <c r="I224" i="19"/>
  <c r="I235" i="19"/>
  <c r="I213" i="19"/>
  <c r="G28" i="19"/>
  <c r="G137" i="19"/>
  <c r="J137" i="19" s="1"/>
  <c r="G136" i="19"/>
  <c r="J136" i="19" s="1"/>
  <c r="G46" i="19"/>
  <c r="G31" i="19"/>
  <c r="G34" i="19"/>
  <c r="G32" i="19"/>
  <c r="G42" i="19"/>
  <c r="G94" i="19"/>
  <c r="J94" i="19" s="1"/>
  <c r="G96" i="19"/>
  <c r="J96" i="19" s="1"/>
  <c r="G44" i="19"/>
  <c r="G97" i="19"/>
  <c r="J97" i="19" s="1"/>
  <c r="G45" i="19"/>
  <c r="G43" i="19"/>
  <c r="G95" i="19"/>
  <c r="J95" i="19" s="1"/>
  <c r="G77" i="19"/>
  <c r="G27" i="19"/>
  <c r="G33" i="19"/>
  <c r="G93" i="19"/>
  <c r="J93" i="19" s="1"/>
  <c r="G41" i="19"/>
  <c r="G29" i="19"/>
  <c r="G117" i="19"/>
  <c r="G39" i="19"/>
  <c r="G91" i="19"/>
  <c r="J91" i="19" s="1"/>
  <c r="G92" i="19"/>
  <c r="J92" i="19" s="1"/>
  <c r="G40" i="19"/>
  <c r="G38" i="19"/>
  <c r="G30" i="19"/>
  <c r="K138" i="19" l="1"/>
  <c r="J57" i="19"/>
  <c r="J344" i="19"/>
  <c r="H327" i="19"/>
  <c r="H339" i="19" s="1"/>
  <c r="H329" i="19"/>
  <c r="H341" i="19" s="1"/>
  <c r="H336" i="19"/>
  <c r="H331" i="19"/>
  <c r="H343" i="19" s="1"/>
  <c r="H326" i="19"/>
  <c r="H338" i="19" s="1"/>
  <c r="H330" i="19"/>
  <c r="H342" i="19" s="1"/>
  <c r="H325" i="19"/>
  <c r="H337" i="19" s="1"/>
  <c r="H328" i="19"/>
  <c r="H340" i="19" s="1"/>
  <c r="I272" i="19"/>
  <c r="I277" i="19"/>
  <c r="I267" i="19"/>
  <c r="I276" i="19"/>
  <c r="I266" i="19"/>
  <c r="I265" i="19"/>
  <c r="I275" i="19"/>
  <c r="I270" i="19"/>
  <c r="I271" i="19"/>
  <c r="G139" i="19"/>
  <c r="G56" i="19"/>
  <c r="G53" i="19"/>
  <c r="G52" i="19"/>
  <c r="G51" i="19"/>
  <c r="G54" i="19"/>
  <c r="G50" i="19"/>
  <c r="G55" i="19"/>
  <c r="G47" i="19"/>
  <c r="G49" i="19"/>
  <c r="G99" i="19"/>
  <c r="G36" i="19"/>
  <c r="K130" i="19" l="1"/>
  <c r="K137" i="19"/>
  <c r="K136" i="19"/>
  <c r="J49" i="19"/>
  <c r="K90" i="19"/>
  <c r="J53" i="19"/>
  <c r="K94" i="19"/>
  <c r="J55" i="19"/>
  <c r="K96" i="19"/>
  <c r="J56" i="19"/>
  <c r="K97" i="19"/>
  <c r="J54" i="19"/>
  <c r="K95" i="19"/>
  <c r="J52" i="19"/>
  <c r="K93" i="19"/>
  <c r="J50" i="19"/>
  <c r="K91" i="19"/>
  <c r="J51" i="19"/>
  <c r="K92" i="19"/>
  <c r="J337" i="19"/>
  <c r="J339" i="19"/>
  <c r="J342" i="19"/>
  <c r="J338" i="19"/>
  <c r="J340" i="19"/>
  <c r="J343" i="19"/>
  <c r="J341" i="19"/>
  <c r="G174" i="19"/>
  <c r="G194" i="19"/>
  <c r="G184" i="19"/>
  <c r="G197" i="19"/>
  <c r="G199" i="19"/>
  <c r="G178" i="19"/>
  <c r="G198" i="19"/>
  <c r="G58" i="19"/>
  <c r="G193" i="19"/>
  <c r="G171" i="19"/>
  <c r="G200" i="19"/>
  <c r="G185" i="19"/>
  <c r="G189" i="19"/>
  <c r="G182" i="19"/>
  <c r="G249" i="19"/>
  <c r="G254" i="19"/>
  <c r="G188" i="19"/>
  <c r="G172" i="19"/>
  <c r="G187" i="19"/>
  <c r="G259" i="19"/>
  <c r="G250" i="19"/>
  <c r="G255" i="19"/>
  <c r="G260" i="19"/>
  <c r="G176" i="19"/>
  <c r="G195" i="19"/>
  <c r="G175" i="19"/>
  <c r="G173" i="19"/>
  <c r="G183" i="19"/>
  <c r="G261" i="19"/>
  <c r="G251" i="19"/>
  <c r="G256" i="19"/>
  <c r="G196" i="19"/>
  <c r="G186" i="19"/>
  <c r="G177" i="19"/>
  <c r="J336" i="19"/>
  <c r="C52" i="14"/>
  <c r="I177" i="19" l="1"/>
  <c r="I251" i="19"/>
  <c r="I175" i="19"/>
  <c r="I255" i="19"/>
  <c r="I172" i="19"/>
  <c r="I182" i="19"/>
  <c r="I171" i="19"/>
  <c r="I178" i="19"/>
  <c r="I194" i="19"/>
  <c r="K50" i="19"/>
  <c r="K55" i="19"/>
  <c r="I186" i="19"/>
  <c r="I261" i="19"/>
  <c r="I195" i="19"/>
  <c r="I250" i="19"/>
  <c r="I188" i="19"/>
  <c r="I189" i="19"/>
  <c r="I193" i="19"/>
  <c r="I199" i="19"/>
  <c r="I174" i="19"/>
  <c r="K51" i="19"/>
  <c r="K56" i="19"/>
  <c r="I196" i="19"/>
  <c r="I176" i="19"/>
  <c r="I254" i="19"/>
  <c r="I197" i="19"/>
  <c r="K54" i="19"/>
  <c r="J58" i="19"/>
  <c r="K49" i="19"/>
  <c r="I183" i="19"/>
  <c r="I259" i="19"/>
  <c r="I185" i="19"/>
  <c r="I256" i="19"/>
  <c r="I173" i="19"/>
  <c r="I260" i="19"/>
  <c r="I187" i="19"/>
  <c r="I249" i="19"/>
  <c r="I200" i="19"/>
  <c r="I198" i="19"/>
  <c r="I184" i="19"/>
  <c r="K52" i="19"/>
  <c r="K53" i="19"/>
  <c r="F6" i="14"/>
  <c r="B6" i="14"/>
  <c r="F72" i="14"/>
  <c r="G72" i="14"/>
  <c r="G24" i="14"/>
  <c r="C15" i="14"/>
  <c r="G88" i="25"/>
  <c r="F88" i="25"/>
  <c r="G15" i="25"/>
  <c r="F15" i="25"/>
  <c r="F32" i="25"/>
  <c r="G32" i="25"/>
  <c r="G49" i="25"/>
  <c r="F49" i="25"/>
  <c r="B11" i="33" l="1"/>
  <c r="B40" i="33"/>
  <c r="C40" i="33"/>
  <c r="C11" i="33"/>
  <c r="E10" i="25"/>
  <c r="E6" i="25"/>
  <c r="E7" i="25"/>
  <c r="E8" i="25"/>
  <c r="B10" i="25"/>
  <c r="B6" i="25"/>
  <c r="B7" i="25"/>
  <c r="B8" i="25"/>
  <c r="B102" i="25" l="1"/>
  <c r="B103" i="25"/>
  <c r="B101" i="25"/>
  <c r="B97" i="25"/>
  <c r="B98" i="25"/>
  <c r="B96" i="25"/>
  <c r="B92" i="25"/>
  <c r="B93" i="25"/>
  <c r="B91" i="25"/>
  <c r="E7" i="33"/>
  <c r="E6" i="33"/>
  <c r="B7" i="33"/>
  <c r="C102" i="25" l="1"/>
  <c r="C103" i="25"/>
  <c r="C101" i="25"/>
  <c r="C97" i="25"/>
  <c r="C98" i="25"/>
  <c r="C96" i="25"/>
  <c r="C92" i="25"/>
  <c r="C93" i="25"/>
  <c r="C91" i="25"/>
  <c r="C87" i="25"/>
  <c r="B87" i="25"/>
  <c r="C59" i="33"/>
  <c r="C60" i="33"/>
  <c r="C58" i="33"/>
  <c r="C54" i="33"/>
  <c r="C55" i="33"/>
  <c r="C53" i="33"/>
  <c r="C49" i="33"/>
  <c r="C50" i="33"/>
  <c r="C48" i="33"/>
  <c r="C44" i="33"/>
  <c r="C45" i="33"/>
  <c r="C43" i="33"/>
  <c r="B59" i="33"/>
  <c r="B60" i="33"/>
  <c r="B58" i="33"/>
  <c r="B54" i="33"/>
  <c r="B55" i="33"/>
  <c r="B53" i="33"/>
  <c r="B49" i="33"/>
  <c r="B50" i="33"/>
  <c r="B48" i="33"/>
  <c r="B44" i="33"/>
  <c r="B45" i="33"/>
  <c r="B43" i="33"/>
  <c r="C21" i="33"/>
  <c r="B21" i="33"/>
  <c r="C22" i="33"/>
  <c r="B22" i="33"/>
  <c r="C20" i="33"/>
  <c r="B20" i="33"/>
  <c r="C15" i="33"/>
  <c r="C16" i="33"/>
  <c r="C14" i="33"/>
  <c r="G45" i="33" l="1"/>
  <c r="G150" i="19" s="1"/>
  <c r="J150" i="19" s="1"/>
  <c r="G48" i="33"/>
  <c r="G49" i="33"/>
  <c r="G54" i="33"/>
  <c r="G43" i="33"/>
  <c r="G148" i="19" s="1"/>
  <c r="J148" i="19" s="1"/>
  <c r="G53" i="33"/>
  <c r="G44" i="33"/>
  <c r="G149" i="19" s="1"/>
  <c r="J149" i="19" s="1"/>
  <c r="G364" i="19"/>
  <c r="G365" i="19"/>
  <c r="F287" i="19"/>
  <c r="G33" i="33"/>
  <c r="F286" i="19"/>
  <c r="G35" i="33"/>
  <c r="F58" i="33"/>
  <c r="F59" i="33"/>
  <c r="H350" i="19" l="1"/>
  <c r="H349" i="19"/>
  <c r="H351" i="19"/>
  <c r="F63" i="33"/>
  <c r="F61" i="33"/>
  <c r="I365" i="19"/>
  <c r="G58" i="33"/>
  <c r="G153" i="19" s="1"/>
  <c r="J153" i="19" s="1"/>
  <c r="G59" i="33"/>
  <c r="G154" i="19" s="1"/>
  <c r="J154" i="19" s="1"/>
  <c r="G369" i="19"/>
  <c r="C14" i="25"/>
  <c r="B14" i="25"/>
  <c r="C31" i="25"/>
  <c r="B31" i="25"/>
  <c r="B48" i="25"/>
  <c r="C48" i="25"/>
  <c r="B18" i="25"/>
  <c r="B26" i="25"/>
  <c r="B25" i="25"/>
  <c r="B24" i="25"/>
  <c r="B23" i="25"/>
  <c r="B22" i="25"/>
  <c r="B21" i="25"/>
  <c r="B20" i="25"/>
  <c r="B19" i="25"/>
  <c r="B43" i="25"/>
  <c r="B42" i="25"/>
  <c r="B41" i="25"/>
  <c r="B40" i="25"/>
  <c r="B39" i="25"/>
  <c r="B38" i="25"/>
  <c r="B37" i="25"/>
  <c r="B36" i="25"/>
  <c r="B35" i="25"/>
  <c r="B60" i="25"/>
  <c r="B59" i="25"/>
  <c r="B58" i="25"/>
  <c r="B57" i="25"/>
  <c r="B56" i="25"/>
  <c r="B55" i="25"/>
  <c r="B54" i="25"/>
  <c r="B53" i="25"/>
  <c r="B52" i="25"/>
  <c r="C108" i="14"/>
  <c r="C109" i="14"/>
  <c r="C110" i="14"/>
  <c r="C111" i="14"/>
  <c r="C112" i="14"/>
  <c r="C113" i="14"/>
  <c r="C114" i="14"/>
  <c r="C107" i="14"/>
  <c r="C101" i="14"/>
  <c r="C88" i="14"/>
  <c r="C89" i="14"/>
  <c r="C90" i="14"/>
  <c r="C91" i="14"/>
  <c r="C92" i="14"/>
  <c r="C93" i="14"/>
  <c r="C94" i="14"/>
  <c r="C95" i="14"/>
  <c r="B95" i="14"/>
  <c r="B92" i="14"/>
  <c r="B91" i="14"/>
  <c r="B90" i="14"/>
  <c r="B89" i="14"/>
  <c r="B88" i="14"/>
  <c r="C76" i="14"/>
  <c r="C77" i="14"/>
  <c r="C78" i="14"/>
  <c r="C79" i="14"/>
  <c r="C80" i="14"/>
  <c r="C81" i="14"/>
  <c r="C82" i="14"/>
  <c r="C83" i="14"/>
  <c r="B83" i="14"/>
  <c r="B80" i="14"/>
  <c r="B79" i="14"/>
  <c r="B78" i="14"/>
  <c r="B77" i="14"/>
  <c r="B76" i="14"/>
  <c r="B81" i="14"/>
  <c r="B110" i="24"/>
  <c r="B109" i="24"/>
  <c r="B108" i="24"/>
  <c r="B107" i="24"/>
  <c r="B106" i="24"/>
  <c r="B105" i="24"/>
  <c r="B104" i="24"/>
  <c r="B103" i="24"/>
  <c r="B102" i="24"/>
  <c r="B99" i="24"/>
  <c r="B98" i="24"/>
  <c r="B97" i="24"/>
  <c r="B96" i="24"/>
  <c r="B95" i="24"/>
  <c r="B94" i="24"/>
  <c r="B93" i="24"/>
  <c r="B92" i="24"/>
  <c r="B91" i="24"/>
  <c r="B88" i="24"/>
  <c r="B87" i="24"/>
  <c r="B86" i="24"/>
  <c r="B85" i="24"/>
  <c r="B84" i="24"/>
  <c r="B83" i="24"/>
  <c r="B82" i="24"/>
  <c r="B81" i="24"/>
  <c r="B80" i="24"/>
  <c r="B71" i="24"/>
  <c r="B70" i="24"/>
  <c r="B69" i="24"/>
  <c r="B68" i="24"/>
  <c r="B67" i="24"/>
  <c r="B66" i="24"/>
  <c r="B65" i="24"/>
  <c r="B64" i="24"/>
  <c r="B63" i="24"/>
  <c r="B60" i="24"/>
  <c r="B59" i="24"/>
  <c r="B58" i="24"/>
  <c r="B57" i="24"/>
  <c r="B56" i="24"/>
  <c r="B55" i="24"/>
  <c r="B54" i="24"/>
  <c r="B53" i="24"/>
  <c r="B52" i="24"/>
  <c r="B49" i="24"/>
  <c r="B48" i="24"/>
  <c r="B47" i="24"/>
  <c r="B46" i="24"/>
  <c r="B45" i="24"/>
  <c r="B44" i="24"/>
  <c r="B43" i="24"/>
  <c r="B42" i="24"/>
  <c r="B41" i="24"/>
  <c r="B28" i="24"/>
  <c r="B27" i="24"/>
  <c r="B26" i="24"/>
  <c r="B25" i="24"/>
  <c r="B24" i="24"/>
  <c r="B23" i="24"/>
  <c r="B22" i="24"/>
  <c r="B21" i="24"/>
  <c r="B20" i="24"/>
  <c r="C76" i="24"/>
  <c r="B76" i="24"/>
  <c r="C38" i="24"/>
  <c r="B38" i="24"/>
  <c r="C110" i="24"/>
  <c r="C109" i="24"/>
  <c r="C108" i="24"/>
  <c r="C107" i="24"/>
  <c r="C106" i="24"/>
  <c r="C105" i="24"/>
  <c r="C104" i="24"/>
  <c r="C103" i="24"/>
  <c r="C102" i="24"/>
  <c r="C99" i="24"/>
  <c r="C98" i="24"/>
  <c r="C97" i="24"/>
  <c r="C96" i="24"/>
  <c r="C95" i="24"/>
  <c r="C94" i="24"/>
  <c r="C93" i="24"/>
  <c r="C92" i="24"/>
  <c r="C91" i="24"/>
  <c r="C81" i="24"/>
  <c r="C82" i="24"/>
  <c r="C83" i="24"/>
  <c r="C84" i="24"/>
  <c r="C85" i="24"/>
  <c r="C86" i="24"/>
  <c r="C87" i="24"/>
  <c r="C88" i="24"/>
  <c r="C80" i="24"/>
  <c r="C71" i="24"/>
  <c r="C70" i="24"/>
  <c r="C69" i="24"/>
  <c r="C68" i="24"/>
  <c r="C67" i="24"/>
  <c r="C66" i="24"/>
  <c r="C65" i="24"/>
  <c r="C64" i="24"/>
  <c r="C63" i="24"/>
  <c r="C60" i="24"/>
  <c r="C59" i="24"/>
  <c r="C58" i="24"/>
  <c r="C57" i="24"/>
  <c r="C56" i="24"/>
  <c r="C55" i="24"/>
  <c r="C54" i="24"/>
  <c r="C53" i="24"/>
  <c r="C52" i="24"/>
  <c r="C42" i="24"/>
  <c r="C43" i="24"/>
  <c r="C44" i="24"/>
  <c r="C45" i="24"/>
  <c r="C46" i="24"/>
  <c r="C47" i="24"/>
  <c r="C48" i="24"/>
  <c r="C49" i="24"/>
  <c r="C41" i="24"/>
  <c r="C33" i="24"/>
  <c r="C32" i="24"/>
  <c r="C22" i="24"/>
  <c r="C23" i="24"/>
  <c r="C24" i="24"/>
  <c r="C25" i="24"/>
  <c r="C26" i="24"/>
  <c r="C27" i="24"/>
  <c r="C28" i="24"/>
  <c r="C21" i="24"/>
  <c r="K150" i="19" l="1"/>
  <c r="K149" i="19"/>
  <c r="K148" i="19"/>
  <c r="G158" i="19"/>
  <c r="J158" i="19" s="1"/>
  <c r="H354" i="19"/>
  <c r="G159" i="19"/>
  <c r="J159" i="19" s="1"/>
  <c r="H355" i="19"/>
  <c r="I364" i="19"/>
  <c r="G63" i="33"/>
  <c r="G61" i="33"/>
  <c r="C65" i="17"/>
  <c r="C78" i="17"/>
  <c r="C87" i="17"/>
  <c r="C80" i="17"/>
  <c r="C66" i="17"/>
  <c r="C79" i="17"/>
  <c r="C88" i="17"/>
  <c r="C67" i="17"/>
  <c r="C89" i="17"/>
  <c r="C64" i="17"/>
  <c r="C86" i="17"/>
  <c r="C68" i="17"/>
  <c r="C73" i="17"/>
  <c r="C81" i="17"/>
  <c r="C90" i="17"/>
  <c r="C75" i="17"/>
  <c r="C76" i="17"/>
  <c r="C85" i="17"/>
  <c r="C77" i="17"/>
  <c r="C69" i="17"/>
  <c r="C74" i="17"/>
  <c r="C91" i="17"/>
  <c r="C62" i="17"/>
  <c r="C70" i="17"/>
  <c r="C84" i="17"/>
  <c r="C92" i="17"/>
  <c r="C63" i="17"/>
  <c r="C64" i="14"/>
  <c r="K154" i="19" l="1"/>
  <c r="K153" i="19"/>
  <c r="H359" i="19"/>
  <c r="H360" i="19"/>
  <c r="H365" i="19" s="1"/>
  <c r="J365" i="19" s="1"/>
  <c r="K158" i="19" l="1"/>
  <c r="G287" i="19"/>
  <c r="K159" i="19"/>
  <c r="G50" i="33"/>
  <c r="G55" i="33"/>
  <c r="G286" i="19"/>
  <c r="H364" i="19"/>
  <c r="F60" i="33"/>
  <c r="I286" i="19" l="1"/>
  <c r="I287" i="19"/>
  <c r="F62" i="33"/>
  <c r="G60" i="33"/>
  <c r="G155" i="19" s="1"/>
  <c r="J155" i="19" s="1"/>
  <c r="J364" i="19"/>
  <c r="H356" i="19" l="1"/>
  <c r="I366" i="19"/>
  <c r="I369" i="19"/>
  <c r="G160" i="19"/>
  <c r="J160" i="19" s="1"/>
  <c r="F9" i="14"/>
  <c r="B9" i="14"/>
  <c r="B114" i="14"/>
  <c r="B113" i="14"/>
  <c r="B112" i="14"/>
  <c r="B111" i="14"/>
  <c r="B110" i="14"/>
  <c r="B109" i="14"/>
  <c r="B108" i="14"/>
  <c r="B107" i="14"/>
  <c r="B106" i="14"/>
  <c r="B101" i="14"/>
  <c r="C71" i="14"/>
  <c r="F8" i="14"/>
  <c r="B8" i="14"/>
  <c r="C87" i="14"/>
  <c r="B94" i="14"/>
  <c r="B93" i="14"/>
  <c r="B87" i="14"/>
  <c r="B82" i="14"/>
  <c r="C75" i="14"/>
  <c r="B75" i="14"/>
  <c r="B71" i="14"/>
  <c r="C54" i="14"/>
  <c r="C55" i="14"/>
  <c r="C56" i="14"/>
  <c r="C57" i="14"/>
  <c r="C58" i="14"/>
  <c r="C59" i="14"/>
  <c r="C60" i="14"/>
  <c r="C53" i="14"/>
  <c r="B60" i="14"/>
  <c r="B59" i="14"/>
  <c r="B58" i="14"/>
  <c r="B57" i="14"/>
  <c r="B56" i="14"/>
  <c r="B55" i="14"/>
  <c r="B54" i="14"/>
  <c r="B53" i="14"/>
  <c r="B52" i="14"/>
  <c r="C41" i="14"/>
  <c r="C42" i="14"/>
  <c r="C43" i="14"/>
  <c r="C44" i="14"/>
  <c r="C45" i="14"/>
  <c r="C46" i="14"/>
  <c r="C47" i="14"/>
  <c r="C48" i="14"/>
  <c r="C40" i="14"/>
  <c r="B48" i="14"/>
  <c r="B47" i="14"/>
  <c r="B46" i="14"/>
  <c r="B45" i="14"/>
  <c r="B44" i="14"/>
  <c r="B43" i="14"/>
  <c r="B42" i="14"/>
  <c r="B41" i="14"/>
  <c r="B40" i="14"/>
  <c r="C29" i="14"/>
  <c r="C31" i="14"/>
  <c r="C32" i="14"/>
  <c r="C33" i="14"/>
  <c r="C34" i="14"/>
  <c r="C35" i="14"/>
  <c r="C36" i="14"/>
  <c r="C30" i="14"/>
  <c r="K155" i="19" l="1"/>
  <c r="H361" i="19"/>
  <c r="H366" i="19" s="1"/>
  <c r="H369" i="19" s="1"/>
  <c r="G288" i="19" l="1"/>
  <c r="K160" i="19"/>
  <c r="J369" i="19"/>
  <c r="J366" i="19"/>
  <c r="I288" i="19" l="1"/>
  <c r="F65" i="25"/>
  <c r="F144" i="19"/>
  <c r="F40" i="33"/>
  <c r="F11" i="33"/>
  <c r="F120" i="14"/>
  <c r="F23" i="14"/>
  <c r="F187" i="17"/>
  <c r="F145" i="17"/>
  <c r="F17" i="17"/>
  <c r="F98" i="17"/>
  <c r="F58" i="17"/>
  <c r="F23" i="19"/>
  <c r="F128" i="17"/>
  <c r="F64" i="19"/>
  <c r="F104" i="19"/>
  <c r="F31" i="25"/>
  <c r="F87" i="25"/>
  <c r="F14" i="25"/>
  <c r="F48" i="25"/>
  <c r="F101" i="14"/>
  <c r="F71" i="14"/>
  <c r="G65" i="25" l="1"/>
  <c r="G40" i="33"/>
  <c r="AB116" i="24"/>
  <c r="G11" i="33"/>
  <c r="G144" i="19"/>
  <c r="G120" i="14"/>
  <c r="G23" i="14"/>
  <c r="G58" i="17"/>
  <c r="G98" i="17"/>
  <c r="G104" i="19"/>
  <c r="G17" i="17"/>
  <c r="G128" i="17"/>
  <c r="G64" i="19"/>
  <c r="G145" i="17"/>
  <c r="G187" i="17"/>
  <c r="G23" i="19"/>
  <c r="G31" i="25"/>
  <c r="G87" i="25"/>
  <c r="G48" i="25"/>
  <c r="G14" i="25"/>
  <c r="G101" i="14"/>
  <c r="G71" i="14"/>
  <c r="J31" i="25" l="1"/>
  <c r="J65" i="25"/>
  <c r="J87" i="25"/>
  <c r="J14" i="25"/>
  <c r="F7" i="14" l="1"/>
  <c r="B7" i="14"/>
  <c r="G62" i="33" l="1"/>
</calcChain>
</file>

<file path=xl/sharedStrings.xml><?xml version="1.0" encoding="utf-8"?>
<sst xmlns="http://schemas.openxmlformats.org/spreadsheetml/2006/main" count="416" uniqueCount="232">
  <si>
    <t>Key outputs</t>
  </si>
  <si>
    <t>%</t>
  </si>
  <si>
    <t>MODELLER:</t>
  </si>
  <si>
    <t>email</t>
  </si>
  <si>
    <t>WHAT IS THE PURPOSE OF MODEL?</t>
  </si>
  <si>
    <t>This model uses standard IPART colour coding:</t>
  </si>
  <si>
    <t>Blue cells indicate inputs</t>
  </si>
  <si>
    <t>Blue font indicates IPART hard-coded values used that should not be changed</t>
  </si>
  <si>
    <t>Pink font indicates calculation checks</t>
  </si>
  <si>
    <t>Red indicates assumptions made in calculations</t>
  </si>
  <si>
    <t>red double line means formula changes across row</t>
  </si>
  <si>
    <t>$/ML</t>
  </si>
  <si>
    <t>Revenue requirement</t>
  </si>
  <si>
    <t>$'000</t>
  </si>
  <si>
    <t>Misc revenue</t>
  </si>
  <si>
    <t>ML</t>
  </si>
  <si>
    <t>#</t>
  </si>
  <si>
    <t>Border</t>
  </si>
  <si>
    <t>Gwydir</t>
  </si>
  <si>
    <t>Namoi</t>
  </si>
  <si>
    <t>Peel</t>
  </si>
  <si>
    <t>Lachlan</t>
  </si>
  <si>
    <t>Macquarie</t>
  </si>
  <si>
    <t>Murray</t>
  </si>
  <si>
    <t>Murrumbidgee</t>
  </si>
  <si>
    <t>Financial year ending 30 June</t>
  </si>
  <si>
    <t>Financial year</t>
  </si>
  <si>
    <t>Units</t>
  </si>
  <si>
    <t>List of tables</t>
  </si>
  <si>
    <t>Row number</t>
  </si>
  <si>
    <t>General security entitlements</t>
  </si>
  <si>
    <t>High security entitlements</t>
  </si>
  <si>
    <t>Supplementary entitlements</t>
  </si>
  <si>
    <t>Revenue to be recovered from entitlement charges</t>
  </si>
  <si>
    <t>Check=0</t>
  </si>
  <si>
    <t>Revenue recovered from entitlement charges</t>
  </si>
  <si>
    <t>Usage Volume</t>
  </si>
  <si>
    <t>High Security Premium</t>
  </si>
  <si>
    <t>This worksheet produces the model outputs ie. Water tariffs for usage and entitlements.</t>
  </si>
  <si>
    <t>$/KL</t>
  </si>
  <si>
    <t>Fish River Water Supply Scheme</t>
  </si>
  <si>
    <t xml:space="preserve">High Security Entitlement (fixed) </t>
  </si>
  <si>
    <t>General Security Entitlement (fixed)</t>
  </si>
  <si>
    <t xml:space="preserve">Usage Charge </t>
  </si>
  <si>
    <t xml:space="preserve">Energy Australia </t>
  </si>
  <si>
    <t xml:space="preserve">MAQ </t>
  </si>
  <si>
    <t xml:space="preserve">Usage up to MAQ </t>
  </si>
  <si>
    <t xml:space="preserve">Usage in excess of MAQ </t>
  </si>
  <si>
    <t>Lowbidgee</t>
  </si>
  <si>
    <t>Revenue to be recovered from MAQ (fixed) charge</t>
  </si>
  <si>
    <t>Revenue to be recovered from Usage up to MAQ</t>
  </si>
  <si>
    <t>Revenue to be recovered in excess of MAQ</t>
  </si>
  <si>
    <t>Total usage</t>
  </si>
  <si>
    <t xml:space="preserve">Minor customers (raw) </t>
  </si>
  <si>
    <t>Fish River revenue requirement</t>
  </si>
  <si>
    <t>Usage Volume (20-yr average)</t>
  </si>
  <si>
    <t>MAQ Level</t>
  </si>
  <si>
    <t>Total revenue to be recovered</t>
  </si>
  <si>
    <t xml:space="preserve">Minor customers (filtered) </t>
  </si>
  <si>
    <t>3  2017 DETERMINATION CHARGES</t>
  </si>
  <si>
    <t>Inflation</t>
  </si>
  <si>
    <t>$2016-17</t>
  </si>
  <si>
    <t>TABLE 1.1 - USAGE VOLUMES</t>
  </si>
  <si>
    <t>TABLE 1.2 - ENTITLEMENT VOLUMES</t>
  </si>
  <si>
    <t>TABLE 2.1 - INFLATION</t>
  </si>
  <si>
    <t xml:space="preserve">TABLE 2.2 - REVENUE REQUIREMENT EXCLUDING MDBA/BRC REVENUE </t>
  </si>
  <si>
    <t>Edward Jenkins</t>
  </si>
  <si>
    <t>edward_jenkins@ipart.nsw.gov.au</t>
  </si>
  <si>
    <t xml:space="preserve">COLOUR CODE  </t>
  </si>
  <si>
    <t>General security and supplementary entitlements</t>
  </si>
  <si>
    <t xml:space="preserve">MODEL STRUCTURE  </t>
  </si>
  <si>
    <t xml:space="preserve">HOW DOES THE MODEL WORK? </t>
  </si>
  <si>
    <t>Small consumption customers</t>
  </si>
  <si>
    <t>Medium consumption customers</t>
  </si>
  <si>
    <t>Large consumption customers</t>
  </si>
  <si>
    <t>High Security entitlement level</t>
  </si>
  <si>
    <t>High security usage rate</t>
  </si>
  <si>
    <t>General Security entitlement level</t>
  </si>
  <si>
    <t>General Security usage rate</t>
  </si>
  <si>
    <t>Usage up to MAQ</t>
  </si>
  <si>
    <t>Usage In excess of MAQ</t>
  </si>
  <si>
    <t>$</t>
  </si>
  <si>
    <t>HIGH SECURITY</t>
  </si>
  <si>
    <t>GENERAL SECURITY</t>
  </si>
  <si>
    <t>Forecast revenue from usage charges</t>
  </si>
  <si>
    <t>Forecast revenue from GS entitlement charges</t>
  </si>
  <si>
    <t>Forecast revenue from HS entitlement charges</t>
  </si>
  <si>
    <t>Notional revenue requirement</t>
  </si>
  <si>
    <t>Forecast revenue for MAQ charges</t>
  </si>
  <si>
    <t>Forecast revenue for usage &lt; MAQ charges</t>
  </si>
  <si>
    <t>Forecast revenue for usage &gt; MAQ charges</t>
  </si>
  <si>
    <t>General security entitlement</t>
  </si>
  <si>
    <t>High security entitlement</t>
  </si>
  <si>
    <t>Usage charges</t>
  </si>
  <si>
    <t>TABLE 3.4 - MDBA AND BRC USAGE AND ENTITLEMENT CHARGES</t>
  </si>
  <si>
    <t>$2018-19</t>
  </si>
  <si>
    <t>2018-19</t>
  </si>
  <si>
    <t>$ 2018-19</t>
  </si>
  <si>
    <t>Raw water - major customer</t>
  </si>
  <si>
    <t>Raw water - minor customer</t>
  </si>
  <si>
    <t>Filtered water - minor customer</t>
  </si>
  <si>
    <t>Note: these annual figures are lagged by two years.</t>
  </si>
  <si>
    <t>Page intentionally left blank</t>
  </si>
  <si>
    <t>Inputs</t>
  </si>
  <si>
    <t>Outputs</t>
  </si>
  <si>
    <t xml:space="preserve">CHARGES </t>
  </si>
  <si>
    <t xml:space="preserve">CUSTOMER BILLS </t>
  </si>
  <si>
    <t>1  UPDATED VOLUMES PROVIDED BY WaterNSW</t>
  </si>
  <si>
    <t>Actual</t>
  </si>
  <si>
    <t>Forecast</t>
  </si>
  <si>
    <t>This model calculates 2018-19 water entitlement and usage charges for the Murray Darling Basin (MDB) and the Fish River Water Supply Scheme (FRWS) based on updated demand forecasts.</t>
  </si>
  <si>
    <t xml:space="preserve">In the 2017 Determination, the forecast usage for each year of the determination period was calculated as the 20 year historical average to 2015-16 (ie, the  historical average to 2015-16).  </t>
  </si>
  <si>
    <t xml:space="preserve">WaterNSW entitlement and usage charges </t>
  </si>
  <si>
    <t>FRWS access and usage charges</t>
  </si>
  <si>
    <t>calculate new 2018-19  charges.</t>
  </si>
  <si>
    <t xml:space="preserve">In essence, the model calculates the entitlement and usage charges that would recover the allowed revenue for each of these charges, using the updated demand forecasts. </t>
  </si>
  <si>
    <t>The re-calculated charges include</t>
  </si>
  <si>
    <t>The model comprises three sections</t>
  </si>
  <si>
    <t>-</t>
  </si>
  <si>
    <t>2017 Determination charges</t>
  </si>
  <si>
    <t xml:space="preserve">(i) </t>
  </si>
  <si>
    <t>(ii)</t>
  </si>
  <si>
    <t>(iii)</t>
  </si>
  <si>
    <t>REVENUE FORECASTS</t>
  </si>
  <si>
    <t>* Comparisons of revenue using the 2017 Determination charges versus the re-calculated charges (and the updated 2018-19 demand forecasts).</t>
  </si>
  <si>
    <t>Detailed calculations</t>
  </si>
  <si>
    <t xml:space="preserve">This model updates the 20-year historical average for 2017-18 by using  data from 1997-98 to 2016-17 to forecast usage for 2018-19.  It then uses these updated forecasts to </t>
  </si>
  <si>
    <t>All other inputs, assumptions and calculation methodologies are consistent with the 2017 Determination.</t>
  </si>
  <si>
    <t>showing calculated charges, indicative customer bills and revenue comparisons*.</t>
  </si>
  <si>
    <t>kL</t>
  </si>
  <si>
    <t>TABLE 1.3 - ACTUAL WATER ALLOCATIONS</t>
  </si>
  <si>
    <t>FRWS MAQ</t>
  </si>
  <si>
    <t>TABLE 3.2 - GENERAL SECURITY ENTITLEMENT CHARGES</t>
  </si>
  <si>
    <t>TABLE 6.1 - FISH RIVER USAGE AND MAQ VALUES</t>
  </si>
  <si>
    <t>6  FISH RIVER WATER SUPPLY SCHEME (FRWS) CALCULATIONS</t>
  </si>
  <si>
    <t>This worksheet calculates the usage, MAQ and required revenue components needed to calculate the FRWS charges for each customer type and each water type.</t>
  </si>
  <si>
    <t>TABLE 3.5 - FISH RIVER WATER SUPPLY SCHEME CHARGES</t>
  </si>
  <si>
    <t>4  OUTPUTS</t>
  </si>
  <si>
    <t>TABLE 4.2 -  WaterNSW CHARGES</t>
  </si>
  <si>
    <t>TABLE 4.3 -  MDBA/BRC CHARGES</t>
  </si>
  <si>
    <t>TABLE 4.4 - FISH RIVER WATER SUPPLY SCHEME CHARGES</t>
  </si>
  <si>
    <t xml:space="preserve">TABLE 5.2 - TWENTY YEAR AVERAGE ACTUAL ALLOCATIONS </t>
  </si>
  <si>
    <t>TABLE 5.3 - RELIABILITY RATIO AND HIGH SECURITY ENTITLEMENT PREMIUM</t>
  </si>
  <si>
    <t>Difference between A and B</t>
  </si>
  <si>
    <t>Difference between A and C</t>
  </si>
  <si>
    <t>na</t>
  </si>
  <si>
    <t>Forecast revenue using 2018-19 updated 20-year average usage and 2018-19 determination charges</t>
  </si>
  <si>
    <t>Forecast revenue using 2018-19 updated 20-year average usage and 2018-19 calculated charges</t>
  </si>
  <si>
    <t>TABLE 4.8 - INDICATIVE BILLS FOR CUSTOMERS IN THE FRWS</t>
  </si>
  <si>
    <t>TABLE 4.6 - INDICATIVE BILLS FOR GENERAL SECURITY CUSTOMERS  - WaterNSW CHARGES</t>
  </si>
  <si>
    <t>TABLE 4.5 - INDICATIVE BILLS FOR HIGH SECURITY CUSTOMERS  - WaterNSW CHARGES</t>
  </si>
  <si>
    <t>Difference between 2018-19 Determination bills and 2018-19 re-calculated bills</t>
  </si>
  <si>
    <t xml:space="preserve">Reliability Ratio </t>
  </si>
  <si>
    <t>Reliability Ratio = 20-year average HS allocations / 20-year average GS allocations</t>
  </si>
  <si>
    <t>TABLE 2.3 - MDBA/BRC REVENUE REQUIREMENT</t>
  </si>
  <si>
    <t>TABLE 5.6 - REVENUE TO BE RECOVERED FROM CHARGES (ONLY MDBA/BRC REVENUE)</t>
  </si>
  <si>
    <t>TABLE 5.5 - REVENUE TO BE RECOVERED FROM CHARGES (EXCLUDING MDBA/BRC REVENUE)</t>
  </si>
  <si>
    <t>TABLE 5.4 - TOTAL NUMBER OF 'GS ENTITLEMENT EQUIVALENTS'</t>
  </si>
  <si>
    <t>GS entitlement equivalents' are used to calculate entitlement charges.  GS entitlement equivalents = GS entitlements + HS entitlements * HS entitlement premium</t>
  </si>
  <si>
    <t>Note: these 20-year averages are lagged by 2 years.</t>
  </si>
  <si>
    <t>Note: the 20-year averages in this table are lagged by 2 years.</t>
  </si>
  <si>
    <t>TABLE 1.4 - FISH RIVER WATER SUPPLY SCHEME (FRWS) MINOR CUSTOMER NUMBERS AND MAQ ENTITLEMENT LEVELS</t>
  </si>
  <si>
    <t>Minor customer numbers</t>
  </si>
  <si>
    <t>TABLE 4.9 - WaterNSW'S FORECAST REVENUE IN 2018-19 (2016-17 $'000)</t>
  </si>
  <si>
    <t>MDBA/BRC Revenue requirement</t>
  </si>
  <si>
    <t>MDBA/BRC Revenue recovered from entitlement charges</t>
  </si>
  <si>
    <t>MDB Valleys</t>
  </si>
  <si>
    <t>TABLE 4.7 - INDICATIVE BILLS FOR HIGH SECURITY AND GENERAL SECURITY CUSTOMERS - MDBA/BRC CHARGES</t>
  </si>
  <si>
    <t>Revenue to be recovered from entitlement charges (MDBA/BRC)</t>
  </si>
  <si>
    <t>5  MDB VALLEY CALCULATIONS</t>
  </si>
  <si>
    <t>March YTD</t>
  </si>
  <si>
    <t>NB: do not place data in columns F to I of row below</t>
  </si>
  <si>
    <t>TABLE 2.5 - CUSTOMER USAGE VOLUMES FOR CALCULATION OF BILLS</t>
  </si>
  <si>
    <t>Note: indicative bills for FRWS customers based on total usage in each customer class / customers within class.</t>
  </si>
  <si>
    <t>This worksheet calculates the usage volumes, entitlement numbers, entitlement premiums and revenue to be recovered from charges in the MDB valleys.</t>
  </si>
  <si>
    <t>High Security Premium = Reliability Ratio * Security Factor</t>
  </si>
  <si>
    <t>TABLE 6.2 - FISH RIVER REQUIRED REVENUE CALCULATIONS</t>
  </si>
  <si>
    <r>
      <t>Volumetric data, including actual 2016-17 volumes provided by WaterNSW ('</t>
    </r>
    <r>
      <rPr>
        <sz val="9"/>
        <rFont val="Arial"/>
        <family val="2"/>
      </rPr>
      <t>Updated volumes')</t>
    </r>
  </si>
  <si>
    <r>
      <t>Maximum allowed revenue and other inputs assumptions consistent with the 2017 Determination (</t>
    </r>
    <r>
      <rPr>
        <sz val="9"/>
        <rFont val="Arial"/>
        <family val="2"/>
      </rPr>
      <t>'2017 Determination - revenue')</t>
    </r>
  </si>
  <si>
    <r>
      <t>Usage and entitlement volumes, required revenue and entitlement premiums for the MDB valleys (</t>
    </r>
    <r>
      <rPr>
        <sz val="9"/>
        <rFont val="Arial"/>
        <family val="2"/>
      </rPr>
      <t>MDB calcs)</t>
    </r>
  </si>
  <si>
    <r>
      <t>Usage volumes, MAQ levels and required revenue for FRWS customers (</t>
    </r>
    <r>
      <rPr>
        <sz val="9"/>
        <rFont val="Arial"/>
        <family val="2"/>
      </rPr>
      <t>FRWS calcs)</t>
    </r>
  </si>
  <si>
    <t xml:space="preserve">   - Variable usage charges are calculated using rolling 20-year historical average volumes with a two year lag, eg, 2018-19 usage charges are calculated using 1996-97 to 2016-17 volumes.</t>
  </si>
  <si>
    <t xml:space="preserve">   -  Entitlement charges are calculated using single year volumes with the same two year lag, eg. 2018-19 entitlement charges are calculated using 2016-17 entitlement volumes.</t>
  </si>
  <si>
    <t>2  ALLOWED REVENUE, SECURITY FACTORS AND VOLUMES FOR INDICATIVE CUSTOMER BILLS</t>
  </si>
  <si>
    <t>Note: This ratio reflects the relative security of supply between HS and GS entitlements and is used to calculate the high security premium.</t>
  </si>
  <si>
    <t>Note: Inputs in this table are assumptions that we use to calculate indicative customer bills.</t>
  </si>
  <si>
    <t>This worksheet records the charges under the 2017 Determination.</t>
  </si>
  <si>
    <t>2018-19 charges expressed in</t>
  </si>
  <si>
    <t>Revenue to be recovered from charges (total)</t>
  </si>
  <si>
    <t>Revenue to be recovered from usage charges</t>
  </si>
  <si>
    <t>Revenue to be recovered from usage charges (MDBA/BRC)</t>
  </si>
  <si>
    <t>TABLE 5.1 - USAGE AND ENTITLEMENT VOLUMES FOR CALCULATIONS</t>
  </si>
  <si>
    <t>TABLE 2.4 - SECURITY FACTORS</t>
  </si>
  <si>
    <t>This worksheet records the updated usage and entitlement volumes that are used to calculate updated prices for the Annual Review.  WaterNSW provides the updated  volumes.</t>
  </si>
  <si>
    <t>This worksheet records the required revenue that was calculated as part of our 2017 review of prices, as well as other inputs consistent with that review.</t>
  </si>
  <si>
    <t xml:space="preserve">Data sourced from 2017 review  model, Prices &amp; Revenue worksheet, Table C2.4, N485-O492.  </t>
  </si>
  <si>
    <t>Data sourced from 2017 review  model, Cost Scenario worksheet, Table 10.6, Column W, row 270-283.  The smoothed NPV of costs over the determination period.</t>
  </si>
  <si>
    <t xml:space="preserve">Data sourced from 2017 review  model, Price Scenario worksheet, Table 11.3, row 294-302. </t>
  </si>
  <si>
    <t>Data sourced from 2017 review  model, Price Scenario worksheet, Table 11.3, Column N-Q, row 206. (Same proportion for all valleys).</t>
  </si>
  <si>
    <t>Data sourced from 2017 review  model, Pricing inputs worksheet, Table 7.4, row 203-211</t>
  </si>
  <si>
    <t>Data sourced from 2017 review  model, Prices &amp; Revenue worksheet, Table C2.4, Column N-Q, row 529-536.</t>
  </si>
  <si>
    <t>Data sourced from 2017 review  model, Pricing inputs worksheet, Table 7.1, Column I, row 24-31.  (The Security Factor is held constant over the Determination period)</t>
  </si>
  <si>
    <t>Note: 'Water allocations' refer to the proportion of their entitlement volumes that licence holders are permitted to extract each year</t>
  </si>
  <si>
    <t>General security entitlement charges</t>
  </si>
  <si>
    <t>High security entitlement charges</t>
  </si>
  <si>
    <t>TABLE 4.1 - TOTAL CHARGES FOR MDB CUSTOMERS</t>
  </si>
  <si>
    <t>TABLE 3.1 - USAGE CHARGES</t>
  </si>
  <si>
    <t xml:space="preserve">TABLE 3.3 - HIGH SECURITY ENTITLEMENT CHARGES </t>
  </si>
  <si>
    <t>2018-19 charges expressed in $2018-19</t>
  </si>
  <si>
    <t xml:space="preserve">Difference between </t>
  </si>
  <si>
    <t xml:space="preserve"> 2018-19 calculated and determination charges</t>
  </si>
  <si>
    <t>Bill in 2018-19 using the determination charges for 2018-19</t>
  </si>
  <si>
    <t>Bill in 2018-19 using the re-calculated charges for 2018-19</t>
  </si>
  <si>
    <t>A</t>
  </si>
  <si>
    <t>B</t>
  </si>
  <si>
    <t>C</t>
  </si>
  <si>
    <t>C/A</t>
  </si>
  <si>
    <t>B/A</t>
  </si>
  <si>
    <t>Re-calculated charges</t>
  </si>
  <si>
    <t>WaterNSW - Rural water pricing annual update 2018-19</t>
  </si>
  <si>
    <t>Total forecast revenue</t>
  </si>
  <si>
    <t>Total revenue from MDB and FRWS customers</t>
  </si>
  <si>
    <t>WaterNSW revenue from MDB valley customers (ie, excluding MDBA/BRC revenue)</t>
  </si>
  <si>
    <t>Revenue from FRWS customers</t>
  </si>
  <si>
    <t>Inflation to $2018-19</t>
  </si>
  <si>
    <t>Charges entered or calculated in $2016-17 are rounded to two decimal places. The rounded $2016-17 charges are inflated to $2017-18 and these $2017-18 charges are then rounded to two decimal places (the nearest cent).</t>
  </si>
  <si>
    <t>The rounded $2017-18 charges calculated in step 1 are inflated to $2018-19 and these $2018-19 charges are then rounded to two decimal places (the nearest cent).</t>
  </si>
  <si>
    <t>The model uses this method of indexation to maintain consistency with the 2017 determination, which published prices in $2017-18 and to the nearest cent.</t>
  </si>
  <si>
    <t xml:space="preserve">MDBA/BRC entitlement and usage charges, and </t>
  </si>
  <si>
    <t>This model uses a two step process to inflate $2016-17 charges into $2018-19:</t>
  </si>
  <si>
    <t>Step 1</t>
  </si>
  <si>
    <t>Step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</si>
</sst>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0.0%"/>
    <numFmt numFmtId="167" formatCode="#,##0.0"/>
    <numFmt numFmtId="168" formatCode="_(* #,##0.0_);_(* \(#,##0.0\);_(* &quot;-&quot;??_);_(@_)"/>
    <numFmt numFmtId="169" formatCode="_-* #,##0.0000_-;\-* #,##0.0000_-;_-* &quot;-&quot;??_-;_-@_-"/>
    <numFmt numFmtId="170" formatCode="0.000"/>
    <numFmt numFmtId="171" formatCode="_-* #,##0.0000_-;\-* #,##0.0000_-;_-* &quot;-&quot;????_-;_-@_-"/>
    <numFmt numFmtId="172" formatCode="_-* #,##0.00000_-;\-* #,##0.00000_-;_-* &quot;-&quot;?????_-;_-@_-"/>
    <numFmt numFmtId="173" formatCode="_-* #,##0_-;\-* #,##0_-;_-* &quot;-&quot;??_-;_-@_-"/>
    <numFmt numFmtId="174" formatCode="_-\ #,##0.0_-;\-\ #,##0.0_-;_-\ &quot;ok&quot;_-;_-@_-"/>
    <numFmt numFmtId="175" formatCode="_-\ #,##0_-;\-\ #,##0_-;_-\ &quot;-&quot;_-;_-@_-"/>
    <numFmt numFmtId="176" formatCode="mmm\ yy"/>
    <numFmt numFmtId="177" formatCode="_-&quot;$&quot;#,##0.0_-;\-&quot;$&quot;#,##0.0_-;_ &quot;-&quot;_-;_-@_-"/>
    <numFmt numFmtId="178" formatCode="0%_);\(0%\);\-_);@_)"/>
    <numFmt numFmtId="179" formatCode="&quot;[&quot;@&quot;]&quot;_)"/>
    <numFmt numFmtId="180" formatCode="0_ ;\-0\ "/>
    <numFmt numFmtId="181" formatCode="_-\ #,##0.0_-;\-\ #,##0.0_-;_-\ &quot;-&quot;_-;_-@_-"/>
    <numFmt numFmtId="182" formatCode="#,##0.00000"/>
  </numFmts>
  <fonts count="37" x14ac:knownFonts="1">
    <font>
      <sz val="9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theme="1" tint="0.34998626667073579"/>
      <name val="Arial"/>
      <family val="2"/>
    </font>
    <font>
      <sz val="10"/>
      <color theme="1"/>
      <name val="Calibri"/>
      <family val="2"/>
    </font>
    <font>
      <i/>
      <sz val="9"/>
      <color theme="5" tint="-0.24994659260841701"/>
      <name val="Arial"/>
      <family val="2"/>
    </font>
    <font>
      <u/>
      <sz val="10"/>
      <color theme="10"/>
      <name val="Arial"/>
      <family val="2"/>
    </font>
    <font>
      <i/>
      <sz val="9"/>
      <color rgb="FFC00000"/>
      <name val="Arial"/>
      <family val="2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9"/>
      <color theme="0" tint="-0.499984740745262"/>
      <name val="Arial"/>
      <family val="2"/>
    </font>
    <font>
      <b/>
      <u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1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13"/>
      </patternFill>
    </fill>
    <fill>
      <patternFill patternType="solid">
        <fgColor rgb="FF0A419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BD7EB"/>
        <bgColor indexed="64"/>
      </patternFill>
    </fill>
    <fill>
      <patternFill patternType="solid">
        <fgColor rgb="FF75F1F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1" applyNumberFormat="0" applyFont="0" applyFill="0" applyAlignment="0" applyProtection="0"/>
    <xf numFmtId="165" fontId="34" fillId="0" borderId="0" applyNumberFormat="0" applyFill="0" applyBorder="0" applyAlignment="0">
      <alignment horizontal="left"/>
    </xf>
    <xf numFmtId="0" fontId="3" fillId="0" borderId="0" applyNumberFormat="0" applyFill="0" applyBorder="0" applyAlignment="0"/>
    <xf numFmtId="4" fontId="1" fillId="4" borderId="0" applyBorder="0" applyAlignment="0">
      <alignment horizontal="right"/>
      <protection locked="0"/>
    </xf>
    <xf numFmtId="166" fontId="1" fillId="4" borderId="0" applyBorder="0" applyAlignment="0">
      <alignment horizontal="right"/>
      <protection locked="0"/>
    </xf>
    <xf numFmtId="3" fontId="5" fillId="0" borderId="0" applyNumberFormat="0" applyFill="0" applyBorder="0" applyAlignment="0" applyProtection="0">
      <protection locked="0"/>
    </xf>
    <xf numFmtId="41" fontId="6" fillId="5" borderId="0" applyNumberFormat="0" applyBorder="0" applyAlignment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" fillId="2" borderId="0" applyBorder="0">
      <alignment horizontal="right"/>
      <protection locked="0"/>
    </xf>
    <xf numFmtId="166" fontId="1" fillId="3" borderId="0" applyBorder="0" applyAlignment="0">
      <protection locked="0"/>
    </xf>
    <xf numFmtId="0" fontId="14" fillId="7" borderId="0" applyNumberFormat="0" applyBorder="0" applyAlignment="0" applyProtection="0"/>
    <xf numFmtId="166" fontId="1" fillId="2" borderId="0" applyBorder="0" applyAlignment="0">
      <alignment horizontal="left"/>
      <protection locked="0"/>
    </xf>
    <xf numFmtId="167" fontId="1" fillId="3" borderId="2" applyBorder="0" applyAlignment="0">
      <alignment horizontal="right"/>
      <protection locked="0"/>
    </xf>
    <xf numFmtId="10" fontId="1" fillId="4" borderId="0" applyBorder="0" applyAlignment="0">
      <alignment horizontal="right"/>
      <protection locked="0"/>
    </xf>
    <xf numFmtId="9" fontId="15" fillId="0" borderId="0" applyFont="0" applyBorder="0" applyAlignment="0" applyProtection="0"/>
    <xf numFmtId="9" fontId="15" fillId="0" borderId="0" applyFont="0" applyBorder="0" applyAlignment="0" applyProtection="0"/>
    <xf numFmtId="9" fontId="1" fillId="0" borderId="0" applyFon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167" fontId="1" fillId="9" borderId="0" applyBorder="0">
      <alignment horizontal="right"/>
    </xf>
    <xf numFmtId="166" fontId="1" fillId="9" borderId="0" applyBorder="0" applyAlignment="0"/>
    <xf numFmtId="3" fontId="1" fillId="11" borderId="0" applyNumberFormat="0" applyBorder="0" applyAlignment="0">
      <alignment horizontal="center"/>
      <protection locked="0"/>
    </xf>
    <xf numFmtId="3" fontId="1" fillId="10" borderId="9" applyNumberFormat="0" applyBorder="0" applyAlignment="0"/>
    <xf numFmtId="165" fontId="1" fillId="0" borderId="19" applyNumberFormat="0" applyFont="0" applyFill="0" applyAlignment="0" applyProtection="0">
      <alignment horizontal="left"/>
    </xf>
    <xf numFmtId="3" fontId="5" fillId="0" borderId="0" applyNumberFormat="0" applyFill="0" applyBorder="0" applyAlignment="0" applyProtection="0">
      <protection locked="0"/>
    </xf>
    <xf numFmtId="0" fontId="6" fillId="12" borderId="0" applyNumberFormat="0" applyAlignment="0"/>
    <xf numFmtId="166" fontId="4" fillId="3" borderId="0" applyFont="0" applyBorder="0" applyAlignment="0">
      <protection locked="0"/>
    </xf>
    <xf numFmtId="4" fontId="1" fillId="2" borderId="0" applyBorder="0" applyAlignment="0">
      <alignment horizontal="left"/>
      <protection locked="0"/>
    </xf>
    <xf numFmtId="166" fontId="1" fillId="2" borderId="0" applyBorder="0" applyAlignment="0">
      <alignment horizontal="right"/>
      <protection locked="0"/>
    </xf>
    <xf numFmtId="4" fontId="4" fillId="3" borderId="2" applyFont="0" applyBorder="0" applyAlignment="0">
      <alignment horizontal="right"/>
      <protection locked="0"/>
    </xf>
    <xf numFmtId="166" fontId="4" fillId="3" borderId="0" applyFont="0" applyBorder="0" applyAlignment="0">
      <protection locked="0"/>
    </xf>
    <xf numFmtId="10" fontId="4" fillId="4" borderId="0" applyFont="0" applyBorder="0">
      <alignment horizontal="right"/>
      <protection locked="0"/>
    </xf>
    <xf numFmtId="174" fontId="25" fillId="0" borderId="0" applyBorder="0"/>
    <xf numFmtId="175" fontId="26" fillId="14" borderId="0" applyNumberFormat="0" applyBorder="0" applyAlignment="0" applyProtection="0"/>
    <xf numFmtId="175" fontId="24" fillId="15" borderId="0" applyNumberFormat="0" applyBorder="0" applyAlignment="0">
      <protection locked="0"/>
    </xf>
    <xf numFmtId="165" fontId="2" fillId="0" borderId="0" applyNumberFormat="0" applyFill="0" applyBorder="0" applyAlignment="0">
      <alignment horizontal="left"/>
    </xf>
    <xf numFmtId="0" fontId="28" fillId="0" borderId="0" applyNumberFormat="0" applyFill="0" applyBorder="0" applyAlignment="0" applyProtection="0"/>
    <xf numFmtId="164" fontId="1" fillId="16" borderId="0" applyFont="0" applyBorder="0" applyAlignment="0">
      <protection locked="0"/>
    </xf>
    <xf numFmtId="175" fontId="23" fillId="17" borderId="17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" fillId="3" borderId="0" applyFont="0" applyBorder="0" applyAlignment="0">
      <protection locked="0"/>
    </xf>
    <xf numFmtId="164" fontId="4" fillId="18" borderId="2" applyNumberFormat="0" applyFont="0" applyBorder="0" applyAlignment="0">
      <alignment horizontal="right"/>
      <protection locked="0"/>
    </xf>
    <xf numFmtId="4" fontId="1" fillId="4" borderId="0" applyBorder="0" applyAlignment="0">
      <alignment horizontal="right"/>
      <protection locked="0"/>
    </xf>
    <xf numFmtId="41" fontId="6" fillId="5" borderId="0" applyNumberFormat="0" applyBorder="0" applyAlignment="0"/>
    <xf numFmtId="0" fontId="7" fillId="0" borderId="0" applyNumberFormat="0" applyFill="0" applyBorder="0" applyAlignment="0" applyProtection="0"/>
    <xf numFmtId="177" fontId="24" fillId="19" borderId="0" applyNumberFormat="0" applyFont="0" applyBorder="0" applyAlignment="0" applyProtection="0"/>
    <xf numFmtId="3" fontId="24" fillId="20" borderId="0" applyNumberFormat="0" applyBorder="0" applyAlignment="0" applyProtection="0">
      <alignment horizontal="center"/>
    </xf>
    <xf numFmtId="178" fontId="27" fillId="0" borderId="0" applyFont="0" applyFill="0" applyBorder="0" applyAlignment="0" applyProtection="0"/>
    <xf numFmtId="0" fontId="6" fillId="12" borderId="0" applyNumberFormat="0" applyBorder="0" applyAlignment="0" applyProtection="0"/>
    <xf numFmtId="175" fontId="30" fillId="0" borderId="0" applyNumberFormat="0" applyProtection="0"/>
    <xf numFmtId="179" fontId="31" fillId="0" borderId="0" applyFill="0" applyBorder="0" applyProtection="0">
      <alignment horizontal="right"/>
    </xf>
    <xf numFmtId="180" fontId="6" fillId="21" borderId="0" applyBorder="0" applyAlignment="0"/>
    <xf numFmtId="176" fontId="23" fillId="17" borderId="0" applyBorder="0" applyAlignment="0" applyProtection="0"/>
    <xf numFmtId="0" fontId="1" fillId="13" borderId="0"/>
    <xf numFmtId="181" fontId="24" fillId="0" borderId="0"/>
    <xf numFmtId="181" fontId="24" fillId="0" borderId="0"/>
    <xf numFmtId="181" fontId="24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32" fillId="22" borderId="21" applyNumberFormat="0"/>
    <xf numFmtId="181" fontId="24" fillId="23" borderId="0" applyNumberFormat="0" applyFont="0" applyBorder="0" applyAlignment="0" applyProtection="0"/>
    <xf numFmtId="0" fontId="14" fillId="24" borderId="0"/>
  </cellStyleXfs>
  <cellXfs count="253">
    <xf numFmtId="0" fontId="0" fillId="0" borderId="0" xfId="0"/>
    <xf numFmtId="0" fontId="11" fillId="0" borderId="3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0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0" fontId="16" fillId="0" borderId="0" xfId="8" applyNumberFormat="1" applyFont="1" applyFill="1" applyAlignment="1" applyProtection="1"/>
    <xf numFmtId="0" fontId="9" fillId="0" borderId="0" xfId="0" applyFont="1" applyFill="1" applyAlignment="1">
      <alignment horizontal="left" vertical="top"/>
    </xf>
    <xf numFmtId="0" fontId="11" fillId="0" borderId="0" xfId="0" applyFont="1" applyFill="1" applyAlignment="1"/>
    <xf numFmtId="0" fontId="0" fillId="0" borderId="4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3" fillId="8" borderId="0" xfId="0" applyFont="1" applyFill="1" applyBorder="1" applyAlignment="1"/>
    <xf numFmtId="0" fontId="0" fillId="8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9" fillId="8" borderId="0" xfId="0" applyFont="1" applyFill="1" applyBorder="1" applyAlignment="1"/>
    <xf numFmtId="0" fontId="0" fillId="0" borderId="0" xfId="0" applyFont="1" applyAlignment="1">
      <alignment horizontal="left"/>
    </xf>
    <xf numFmtId="4" fontId="0" fillId="4" borderId="0" xfId="6" applyFont="1" applyBorder="1" applyAlignment="1">
      <alignment horizontal="left"/>
      <protection locked="0"/>
    </xf>
    <xf numFmtId="168" fontId="5" fillId="0" borderId="0" xfId="1" applyNumberFormat="1" applyFont="1" applyFill="1" applyBorder="1" applyAlignment="1">
      <alignment horizontal="left"/>
    </xf>
    <xf numFmtId="168" fontId="6" fillId="5" borderId="0" xfId="9" applyNumberFormat="1" applyBorder="1" applyAlignment="1">
      <alignment horizontal="left"/>
    </xf>
    <xf numFmtId="168" fontId="2" fillId="0" borderId="0" xfId="4" applyNumberFormat="1" applyFont="1" applyFill="1" applyBorder="1" applyAlignment="1">
      <alignment horizontal="left"/>
    </xf>
    <xf numFmtId="168" fontId="2" fillId="0" borderId="0" xfId="1" applyNumberFormat="1" applyFont="1" applyFill="1" applyBorder="1" applyAlignment="1">
      <alignment horizontal="left"/>
    </xf>
    <xf numFmtId="168" fontId="3" fillId="0" borderId="0" xfId="5" applyNumberFormat="1" applyFont="1" applyFill="1" applyBorder="1" applyAlignment="1">
      <alignment horizontal="left"/>
    </xf>
    <xf numFmtId="168" fontId="3" fillId="0" borderId="0" xfId="1" applyNumberFormat="1" applyFont="1" applyFill="1" applyBorder="1" applyAlignment="1">
      <alignment horizontal="left"/>
    </xf>
    <xf numFmtId="168" fontId="0" fillId="0" borderId="5" xfId="1" applyNumberFormat="1" applyFont="1" applyBorder="1" applyAlignment="1">
      <alignment horizontal="left"/>
    </xf>
    <xf numFmtId="168" fontId="0" fillId="0" borderId="0" xfId="1" applyNumberFormat="1" applyFont="1" applyBorder="1" applyAlignment="1">
      <alignment horizontal="left"/>
    </xf>
    <xf numFmtId="0" fontId="5" fillId="0" borderId="0" xfId="8" applyNumberFormat="1" applyBorder="1" applyProtection="1"/>
    <xf numFmtId="0" fontId="5" fillId="0" borderId="6" xfId="8" applyNumberFormat="1" applyBorder="1" applyProtection="1"/>
    <xf numFmtId="9" fontId="1" fillId="4" borderId="0" xfId="20" applyFill="1" applyBorder="1" applyAlignment="1" applyProtection="1">
      <protection locked="0"/>
    </xf>
    <xf numFmtId="4" fontId="5" fillId="0" borderId="0" xfId="8" applyNumberFormat="1" applyFill="1" applyBorder="1" applyAlignment="1" applyProtection="1"/>
    <xf numFmtId="4" fontId="5" fillId="0" borderId="0" xfId="8" applyNumberFormat="1" applyFill="1" applyBorder="1" applyProtection="1"/>
    <xf numFmtId="4" fontId="5" fillId="6" borderId="0" xfId="8" applyNumberFormat="1" applyFill="1" applyBorder="1" applyProtection="1"/>
    <xf numFmtId="0" fontId="12" fillId="0" borderId="4" xfId="11" applyBorder="1" applyAlignment="1"/>
    <xf numFmtId="4" fontId="1" fillId="0" borderId="0" xfId="6" applyFill="1" applyBorder="1" applyAlignment="1" applyProtection="1"/>
    <xf numFmtId="0" fontId="0" fillId="0" borderId="0" xfId="0" applyProtection="1"/>
    <xf numFmtId="0" fontId="11" fillId="0" borderId="0" xfId="0" applyFont="1" applyProtection="1"/>
    <xf numFmtId="0" fontId="0" fillId="0" borderId="0" xfId="0" applyProtection="1">
      <protection locked="0"/>
    </xf>
    <xf numFmtId="0" fontId="8" fillId="0" borderId="0" xfId="0" applyFont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7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11" fillId="0" borderId="3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Protection="1"/>
    <xf numFmtId="0" fontId="11" fillId="0" borderId="6" xfId="0" applyFont="1" applyBorder="1" applyProtection="1"/>
    <xf numFmtId="3" fontId="1" fillId="0" borderId="0" xfId="6" applyNumberFormat="1" applyFill="1" applyBorder="1" applyAlignment="1" applyProtection="1"/>
    <xf numFmtId="0" fontId="0" fillId="0" borderId="0" xfId="0" applyFill="1" applyBorder="1" applyProtection="1"/>
    <xf numFmtId="0" fontId="0" fillId="6" borderId="3" xfId="0" applyFill="1" applyBorder="1" applyProtection="1"/>
    <xf numFmtId="9" fontId="1" fillId="0" borderId="3" xfId="20" applyFill="1" applyBorder="1" applyAlignment="1" applyProtection="1"/>
    <xf numFmtId="0" fontId="0" fillId="6" borderId="0" xfId="0" applyFill="1" applyBorder="1" applyProtection="1"/>
    <xf numFmtId="0" fontId="0" fillId="0" borderId="0" xfId="0" applyFill="1" applyProtection="1"/>
    <xf numFmtId="0" fontId="11" fillId="0" borderId="3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4" fontId="0" fillId="0" borderId="0" xfId="0" applyNumberFormat="1" applyBorder="1" applyProtection="1"/>
    <xf numFmtId="167" fontId="0" fillId="0" borderId="0" xfId="0" applyNumberFormat="1" applyProtection="1"/>
    <xf numFmtId="4" fontId="0" fillId="0" borderId="0" xfId="0" applyNumberFormat="1" applyProtection="1"/>
    <xf numFmtId="0" fontId="8" fillId="6" borderId="0" xfId="0" applyFont="1" applyFill="1" applyProtection="1"/>
    <xf numFmtId="0" fontId="0" fillId="6" borderId="0" xfId="0" applyFill="1" applyProtection="1"/>
    <xf numFmtId="0" fontId="11" fillId="6" borderId="0" xfId="0" applyFont="1" applyFill="1" applyProtection="1"/>
    <xf numFmtId="0" fontId="0" fillId="0" borderId="7" xfId="0" applyFont="1" applyBorder="1" applyProtection="1"/>
    <xf numFmtId="0" fontId="0" fillId="0" borderId="3" xfId="0" applyFont="1" applyBorder="1" applyProtection="1"/>
    <xf numFmtId="0" fontId="0" fillId="6" borderId="8" xfId="0" applyFill="1" applyBorder="1" applyProtection="1"/>
    <xf numFmtId="0" fontId="11" fillId="6" borderId="6" xfId="0" applyFont="1" applyFill="1" applyBorder="1" applyProtection="1"/>
    <xf numFmtId="0" fontId="11" fillId="6" borderId="0" xfId="0" applyFont="1" applyFill="1" applyBorder="1" applyAlignment="1" applyProtection="1">
      <alignment horizontal="right"/>
    </xf>
    <xf numFmtId="0" fontId="0" fillId="6" borderId="9" xfId="0" applyFill="1" applyBorder="1" applyProtection="1"/>
    <xf numFmtId="0" fontId="0" fillId="6" borderId="0" xfId="0" applyFont="1" applyFill="1" applyBorder="1" applyAlignment="1" applyProtection="1">
      <alignment horizontal="left"/>
    </xf>
    <xf numFmtId="0" fontId="11" fillId="6" borderId="2" xfId="0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right"/>
    </xf>
    <xf numFmtId="0" fontId="0" fillId="6" borderId="11" xfId="0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0" fillId="6" borderId="2" xfId="0" applyFill="1" applyBorder="1" applyProtection="1"/>
    <xf numFmtId="0" fontId="0" fillId="0" borderId="0" xfId="0" applyFont="1" applyBorder="1" applyProtection="1"/>
    <xf numFmtId="0" fontId="0" fillId="6" borderId="6" xfId="0" applyFill="1" applyBorder="1" applyProtection="1"/>
    <xf numFmtId="0" fontId="0" fillId="6" borderId="10" xfId="0" applyFill="1" applyBorder="1" applyProtection="1"/>
    <xf numFmtId="0" fontId="11" fillId="0" borderId="3" xfId="0" applyFont="1" applyBorder="1" applyAlignment="1" applyProtection="1">
      <alignment horizontal="center"/>
    </xf>
    <xf numFmtId="0" fontId="0" fillId="0" borderId="6" xfId="0" applyFont="1" applyBorder="1" applyProtection="1"/>
    <xf numFmtId="0" fontId="34" fillId="0" borderId="6" xfId="4" applyNumberFormat="1" applyBorder="1" applyAlignment="1" applyProtection="1"/>
    <xf numFmtId="4" fontId="34" fillId="0" borderId="0" xfId="4" applyNumberFormat="1" applyFill="1" applyBorder="1" applyAlignment="1" applyProtection="1"/>
    <xf numFmtId="2" fontId="34" fillId="0" borderId="0" xfId="4" applyNumberFormat="1" applyBorder="1" applyAlignment="1" applyProtection="1"/>
    <xf numFmtId="4" fontId="6" fillId="5" borderId="0" xfId="9" applyNumberFormat="1" applyBorder="1" applyAlignment="1" applyProtection="1"/>
    <xf numFmtId="4" fontId="0" fillId="0" borderId="9" xfId="0" applyNumberFormat="1" applyBorder="1" applyProtection="1"/>
    <xf numFmtId="0" fontId="0" fillId="0" borderId="0" xfId="0" applyAlignment="1" applyProtection="1"/>
    <xf numFmtId="4" fontId="1" fillId="6" borderId="0" xfId="9" applyNumberFormat="1" applyFont="1" applyFill="1" applyBorder="1" applyAlignment="1" applyProtection="1"/>
    <xf numFmtId="0" fontId="34" fillId="0" borderId="0" xfId="4" applyNumberFormat="1" applyBorder="1" applyAlignment="1" applyProtection="1"/>
    <xf numFmtId="4" fontId="34" fillId="0" borderId="0" xfId="4" applyNumberFormat="1" applyBorder="1" applyAlignment="1" applyProtection="1"/>
    <xf numFmtId="2" fontId="0" fillId="0" borderId="0" xfId="0" applyNumberFormat="1" applyProtection="1"/>
    <xf numFmtId="0" fontId="12" fillId="0" borderId="0" xfId="11" applyBorder="1" applyProtection="1"/>
    <xf numFmtId="0" fontId="0" fillId="0" borderId="0" xfId="0" applyFill="1" applyAlignment="1" applyProtection="1">
      <alignment wrapText="1"/>
    </xf>
    <xf numFmtId="0" fontId="11" fillId="0" borderId="8" xfId="0" applyFont="1" applyBorder="1" applyProtection="1"/>
    <xf numFmtId="0" fontId="0" fillId="0" borderId="12" xfId="0" applyBorder="1" applyProtection="1"/>
    <xf numFmtId="0" fontId="17" fillId="0" borderId="6" xfId="0" applyFont="1" applyBorder="1" applyProtection="1"/>
    <xf numFmtId="43" fontId="0" fillId="0" borderId="0" xfId="1" applyFont="1" applyProtection="1"/>
    <xf numFmtId="4" fontId="0" fillId="0" borderId="0" xfId="0" applyNumberFormat="1" applyFill="1" applyBorder="1" applyProtection="1"/>
    <xf numFmtId="3" fontId="0" fillId="0" borderId="0" xfId="0" applyNumberFormat="1" applyBorder="1" applyProtection="1"/>
    <xf numFmtId="9" fontId="0" fillId="0" borderId="0" xfId="20" applyFont="1" applyFill="1" applyBorder="1" applyProtection="1"/>
    <xf numFmtId="4" fontId="0" fillId="0" borderId="2" xfId="0" applyNumberFormat="1" applyFill="1" applyBorder="1" applyProtection="1"/>
    <xf numFmtId="4" fontId="0" fillId="6" borderId="0" xfId="0" applyNumberFormat="1" applyFill="1" applyBorder="1" applyProtection="1"/>
    <xf numFmtId="0" fontId="18" fillId="0" borderId="0" xfId="0" applyFont="1" applyBorder="1" applyProtection="1"/>
    <xf numFmtId="0" fontId="0" fillId="6" borderId="7" xfId="0" applyFill="1" applyBorder="1" applyProtection="1"/>
    <xf numFmtId="0" fontId="0" fillId="6" borderId="4" xfId="0" applyFill="1" applyBorder="1" applyProtection="1"/>
    <xf numFmtId="3" fontId="1" fillId="0" borderId="14" xfId="6" applyNumberFormat="1" applyFill="1" applyBorder="1" applyAlignment="1" applyProtection="1"/>
    <xf numFmtId="0" fontId="34" fillId="6" borderId="6" xfId="4" applyNumberFormat="1" applyFill="1" applyBorder="1" applyAlignment="1" applyProtection="1"/>
    <xf numFmtId="4" fontId="34" fillId="6" borderId="0" xfId="4" applyNumberFormat="1" applyFill="1" applyBorder="1" applyAlignment="1" applyProtection="1"/>
    <xf numFmtId="0" fontId="34" fillId="0" borderId="0" xfId="4" applyNumberFormat="1" applyFill="1" applyBorder="1" applyAlignment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169" fontId="0" fillId="0" borderId="0" xfId="1" applyNumberFormat="1" applyFont="1" applyProtection="1"/>
    <xf numFmtId="170" fontId="0" fillId="0" borderId="0" xfId="0" applyNumberFormat="1" applyProtection="1"/>
    <xf numFmtId="171" fontId="0" fillId="0" borderId="0" xfId="0" applyNumberFormat="1" applyProtection="1"/>
    <xf numFmtId="172" fontId="0" fillId="0" borderId="0" xfId="0" applyNumberFormat="1" applyProtection="1"/>
    <xf numFmtId="173" fontId="1" fillId="0" borderId="0" xfId="1" applyNumberFormat="1" applyFill="1" applyBorder="1" applyAlignment="1" applyProtection="1"/>
    <xf numFmtId="3" fontId="0" fillId="0" borderId="0" xfId="0" applyNumberFormat="1" applyFill="1" applyBorder="1" applyProtection="1"/>
    <xf numFmtId="3" fontId="1" fillId="6" borderId="0" xfId="6" applyNumberFormat="1" applyFill="1" applyBorder="1" applyAlignment="1" applyProtection="1"/>
    <xf numFmtId="3" fontId="1" fillId="6" borderId="14" xfId="6" applyNumberFormat="1" applyFill="1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1" fillId="0" borderId="0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9" fontId="0" fillId="0" borderId="0" xfId="0" applyNumberFormat="1" applyBorder="1" applyProtection="1">
      <protection locked="0"/>
    </xf>
    <xf numFmtId="0" fontId="17" fillId="0" borderId="0" xfId="0" applyFont="1" applyBorder="1" applyAlignment="1" applyProtection="1">
      <protection locked="0"/>
    </xf>
    <xf numFmtId="0" fontId="0" fillId="0" borderId="2" xfId="0" applyBorder="1" applyAlignment="1" applyProtection="1">
      <alignment vertical="center"/>
    </xf>
    <xf numFmtId="4" fontId="1" fillId="4" borderId="0" xfId="6" applyBorder="1" applyAlignment="1">
      <protection locked="0"/>
    </xf>
    <xf numFmtId="9" fontId="1" fillId="4" borderId="0" xfId="20" applyFill="1" applyBorder="1" applyAlignment="1" applyProtection="1">
      <protection locked="0"/>
    </xf>
    <xf numFmtId="4" fontId="1" fillId="0" borderId="0" xfId="6" applyFill="1" applyBorder="1" applyAlignment="1" applyProtection="1"/>
    <xf numFmtId="0" fontId="0" fillId="0" borderId="0" xfId="0" applyProtection="1"/>
    <xf numFmtId="4" fontId="1" fillId="4" borderId="0" xfId="6" applyBorder="1" applyAlignment="1" applyProtection="1">
      <protection locked="0"/>
    </xf>
    <xf numFmtId="4" fontId="1" fillId="0" borderId="0" xfId="6" applyFill="1" applyBorder="1" applyAlignment="1" applyProtection="1">
      <protection locked="0"/>
    </xf>
    <xf numFmtId="3" fontId="1" fillId="0" borderId="0" xfId="6" applyNumberFormat="1" applyFill="1" applyBorder="1" applyAlignment="1" applyProtection="1"/>
    <xf numFmtId="4" fontId="0" fillId="0" borderId="0" xfId="0" applyNumberFormat="1" applyProtection="1"/>
    <xf numFmtId="0" fontId="0" fillId="6" borderId="0" xfId="0" applyFill="1" applyProtection="1"/>
    <xf numFmtId="4" fontId="6" fillId="5" borderId="0" xfId="9" applyNumberFormat="1" applyBorder="1" applyAlignment="1" applyProtection="1"/>
    <xf numFmtId="0" fontId="17" fillId="0" borderId="0" xfId="0" applyFont="1" applyBorder="1" applyProtection="1">
      <protection locked="0"/>
    </xf>
    <xf numFmtId="0" fontId="17" fillId="0" borderId="0" xfId="0" applyFont="1" applyBorder="1" applyProtection="1"/>
    <xf numFmtId="4" fontId="0" fillId="6" borderId="0" xfId="0" applyNumberFormat="1" applyFill="1" applyProtection="1"/>
    <xf numFmtId="0" fontId="0" fillId="0" borderId="0" xfId="0" applyProtection="1"/>
    <xf numFmtId="3" fontId="0" fillId="0" borderId="0" xfId="0" applyNumberFormat="1" applyProtection="1"/>
    <xf numFmtId="3" fontId="1" fillId="4" borderId="0" xfId="6" applyNumberFormat="1" applyBorder="1" applyAlignment="1">
      <protection locked="0"/>
    </xf>
    <xf numFmtId="3" fontId="1" fillId="0" borderId="0" xfId="6" applyNumberFormat="1" applyFill="1" applyBorder="1" applyAlignment="1">
      <protection locked="0"/>
    </xf>
    <xf numFmtId="9" fontId="1" fillId="4" borderId="0" xfId="7" applyNumberFormat="1" applyBorder="1" applyAlignment="1">
      <protection locked="0"/>
    </xf>
    <xf numFmtId="0" fontId="0" fillId="0" borderId="0" xfId="0" applyBorder="1" applyAlignment="1" applyProtection="1">
      <alignment vertical="center"/>
    </xf>
    <xf numFmtId="4" fontId="34" fillId="6" borderId="0" xfId="4" applyNumberFormat="1" applyFill="1" applyBorder="1" applyAlignment="1"/>
    <xf numFmtId="166" fontId="1" fillId="0" borderId="0" xfId="20" applyNumberFormat="1" applyFill="1" applyBorder="1" applyAlignment="1" applyProtection="1"/>
    <xf numFmtId="0" fontId="17" fillId="0" borderId="0" xfId="0" applyFont="1" applyProtection="1"/>
    <xf numFmtId="0" fontId="11" fillId="0" borderId="3" xfId="0" applyFont="1" applyBorder="1" applyAlignment="1" applyProtection="1"/>
    <xf numFmtId="0" fontId="11" fillId="0" borderId="3" xfId="0" applyFont="1" applyBorder="1" applyAlignment="1" applyProtection="1">
      <alignment wrapText="1"/>
    </xf>
    <xf numFmtId="4" fontId="1" fillId="4" borderId="0" xfId="6" applyBorder="1" applyAlignment="1">
      <alignment horizontal="right"/>
      <protection locked="0"/>
    </xf>
    <xf numFmtId="0" fontId="1" fillId="0" borderId="0" xfId="8" applyNumberFormat="1" applyFont="1" applyFill="1" applyBorder="1" applyAlignment="1" applyProtection="1">
      <alignment horizontal="center"/>
    </xf>
    <xf numFmtId="4" fontId="1" fillId="0" borderId="0" xfId="6" applyFill="1" applyBorder="1" applyAlignment="1">
      <alignment horizontal="right"/>
      <protection locked="0"/>
    </xf>
    <xf numFmtId="4" fontId="0" fillId="0" borderId="0" xfId="6" applyFont="1" applyFill="1" applyBorder="1" applyAlignment="1">
      <alignment horizontal="right"/>
      <protection locked="0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 wrapText="1"/>
    </xf>
    <xf numFmtId="0" fontId="0" fillId="0" borderId="6" xfId="0" applyFill="1" applyBorder="1" applyProtection="1"/>
    <xf numFmtId="0" fontId="0" fillId="25" borderId="0" xfId="0" applyFill="1" applyProtection="1"/>
    <xf numFmtId="0" fontId="10" fillId="25" borderId="0" xfId="0" applyFont="1" applyFill="1" applyProtection="1"/>
    <xf numFmtId="0" fontId="0" fillId="0" borderId="0" xfId="0" applyFont="1" applyFill="1" applyBorder="1" applyAlignment="1">
      <alignment horizontal="right" vertical="top"/>
    </xf>
    <xf numFmtId="0" fontId="0" fillId="0" borderId="0" xfId="0" quotePrefix="1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left" vertical="top"/>
    </xf>
    <xf numFmtId="168" fontId="6" fillId="5" borderId="0" xfId="9" applyNumberForma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0" fontId="5" fillId="6" borderId="4" xfId="8" applyNumberFormat="1" applyFill="1" applyBorder="1" applyAlignment="1" applyProtection="1">
      <alignment horizontal="right"/>
    </xf>
    <xf numFmtId="0" fontId="1" fillId="6" borderId="4" xfId="8" applyNumberFormat="1" applyFont="1" applyFill="1" applyBorder="1" applyAlignment="1" applyProtection="1">
      <alignment horizontal="right"/>
    </xf>
    <xf numFmtId="0" fontId="11" fillId="0" borderId="3" xfId="0" applyFont="1" applyFill="1" applyBorder="1" applyAlignment="1" applyProtection="1">
      <alignment horizontal="right"/>
    </xf>
    <xf numFmtId="0" fontId="1" fillId="0" borderId="4" xfId="8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4" fontId="1" fillId="0" borderId="19" xfId="30" applyNumberFormat="1" applyFill="1" applyBorder="1" applyAlignment="1" applyProtection="1"/>
    <xf numFmtId="4" fontId="6" fillId="5" borderId="14" xfId="9" applyNumberFormat="1" applyBorder="1" applyAlignment="1" applyProtection="1"/>
    <xf numFmtId="2" fontId="5" fillId="0" borderId="0" xfId="8" applyNumberFormat="1" applyProtection="1"/>
    <xf numFmtId="0" fontId="1" fillId="6" borderId="0" xfId="8" applyNumberFormat="1" applyFont="1" applyFill="1" applyBorder="1" applyAlignment="1" applyProtection="1">
      <alignment horizontal="right"/>
    </xf>
    <xf numFmtId="2" fontId="0" fillId="0" borderId="0" xfId="0" applyNumberFormat="1" applyBorder="1" applyProtection="1"/>
    <xf numFmtId="0" fontId="0" fillId="0" borderId="0" xfId="0" applyAlignment="1" applyProtection="1">
      <alignment horizontal="right"/>
    </xf>
    <xf numFmtId="166" fontId="0" fillId="0" borderId="0" xfId="20" applyNumberFormat="1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5" fillId="0" borderId="3" xfId="8" applyNumberForma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11" fillId="0" borderId="12" xfId="0" applyFont="1" applyBorder="1" applyAlignment="1" applyProtection="1">
      <alignment horizontal="right"/>
    </xf>
    <xf numFmtId="0" fontId="18" fillId="6" borderId="6" xfId="0" quotePrefix="1" applyFont="1" applyFill="1" applyBorder="1" applyProtection="1"/>
    <xf numFmtId="0" fontId="1" fillId="0" borderId="4" xfId="8" applyNumberFormat="1" applyFont="1" applyFill="1" applyBorder="1" applyAlignment="1" applyProtection="1">
      <alignment horizontal="right"/>
      <protection locked="0"/>
    </xf>
    <xf numFmtId="0" fontId="0" fillId="0" borderId="4" xfId="8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6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right"/>
      <protection locked="0"/>
    </xf>
    <xf numFmtId="2" fontId="0" fillId="0" borderId="19" xfId="30" applyNumberFormat="1" applyFont="1" applyAlignment="1" applyProtection="1"/>
    <xf numFmtId="2" fontId="5" fillId="0" borderId="19" xfId="30" applyNumberFormat="1" applyFont="1" applyAlignment="1" applyProtection="1"/>
    <xf numFmtId="0" fontId="5" fillId="0" borderId="4" xfId="8" applyNumberFormat="1" applyFill="1" applyBorder="1" applyAlignment="1" applyProtection="1">
      <alignment horizontal="right"/>
      <protection locked="0"/>
    </xf>
    <xf numFmtId="0" fontId="5" fillId="0" borderId="0" xfId="8" applyNumberFormat="1" applyBorder="1" applyAlignment="1" applyProtection="1">
      <alignment horizontal="right"/>
      <protection locked="0"/>
    </xf>
    <xf numFmtId="0" fontId="5" fillId="0" borderId="4" xfId="8" applyNumberFormat="1" applyBorder="1" applyAlignment="1" applyProtection="1">
      <alignment horizontal="right"/>
      <protection locked="0"/>
    </xf>
    <xf numFmtId="0" fontId="35" fillId="0" borderId="3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2" xfId="0" applyBorder="1" applyAlignment="1" applyProtection="1"/>
    <xf numFmtId="0" fontId="11" fillId="0" borderId="0" xfId="0" applyFont="1" applyBorder="1" applyAlignment="1" applyProtection="1">
      <alignment horizontal="right"/>
    </xf>
    <xf numFmtId="0" fontId="0" fillId="0" borderId="3" xfId="0" applyFont="1" applyFill="1" applyBorder="1" applyAlignment="1" applyProtection="1"/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 wrapText="1"/>
    </xf>
    <xf numFmtId="0" fontId="0" fillId="0" borderId="4" xfId="0" applyFill="1" applyBorder="1" applyAlignment="1" applyProtection="1">
      <alignment horizontal="right"/>
    </xf>
    <xf numFmtId="0" fontId="5" fillId="0" borderId="4" xfId="8" applyNumberFormat="1" applyBorder="1" applyAlignment="1" applyProtection="1">
      <alignment horizontal="right"/>
    </xf>
    <xf numFmtId="4" fontId="34" fillId="0" borderId="0" xfId="4" applyNumberFormat="1" applyBorder="1" applyAlignment="1" applyProtection="1">
      <alignment horizontal="right"/>
    </xf>
    <xf numFmtId="0" fontId="0" fillId="0" borderId="3" xfId="0" applyFill="1" applyBorder="1" applyAlignment="1" applyProtection="1"/>
    <xf numFmtId="0" fontId="0" fillId="0" borderId="0" xfId="0" applyFill="1" applyBorder="1" applyAlignment="1" applyProtection="1"/>
    <xf numFmtId="0" fontId="0" fillId="0" borderId="2" xfId="0" applyFill="1" applyBorder="1" applyAlignment="1" applyProtection="1"/>
    <xf numFmtId="0" fontId="14" fillId="0" borderId="0" xfId="14" applyFill="1" applyBorder="1" applyProtection="1"/>
    <xf numFmtId="3" fontId="1" fillId="0" borderId="0" xfId="30" applyNumberFormat="1" applyFill="1" applyBorder="1" applyAlignment="1" applyProtection="1"/>
    <xf numFmtId="0" fontId="11" fillId="0" borderId="0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 wrapText="1"/>
    </xf>
    <xf numFmtId="0" fontId="0" fillId="25" borderId="0" xfId="0" applyFill="1" applyAlignment="1" applyProtection="1"/>
    <xf numFmtId="0" fontId="0" fillId="0" borderId="3" xfId="0" applyBorder="1" applyAlignment="1" applyProtection="1">
      <alignment horizontal="left"/>
    </xf>
    <xf numFmtId="43" fontId="1" fillId="6" borderId="9" xfId="1" applyFont="1" applyFill="1" applyBorder="1" applyAlignment="1" applyProtection="1"/>
    <xf numFmtId="2" fontId="0" fillId="0" borderId="0" xfId="30" applyNumberFormat="1" applyFont="1" applyBorder="1" applyAlignment="1" applyProtection="1"/>
    <xf numFmtId="4" fontId="5" fillId="0" borderId="0" xfId="30" applyNumberFormat="1" applyFont="1" applyFill="1" applyBorder="1" applyAlignment="1" applyProtection="1"/>
    <xf numFmtId="166" fontId="1" fillId="0" borderId="0" xfId="2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 wrapText="1"/>
    </xf>
    <xf numFmtId="0" fontId="0" fillId="6" borderId="0" xfId="0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 wrapText="1"/>
    </xf>
    <xf numFmtId="0" fontId="0" fillId="0" borderId="20" xfId="0" applyFont="1" applyBorder="1" applyAlignment="1" applyProtection="1">
      <alignment horizontal="right" wrapText="1"/>
    </xf>
    <xf numFmtId="3" fontId="1" fillId="0" borderId="0" xfId="6" applyNumberFormat="1" applyFill="1" applyBorder="1" applyAlignment="1" applyProtection="1">
      <alignment horizontal="right"/>
    </xf>
    <xf numFmtId="3" fontId="5" fillId="0" borderId="0" xfId="8" applyNumberForma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 wrapText="1"/>
    </xf>
    <xf numFmtId="3" fontId="0" fillId="0" borderId="0" xfId="0" applyNumberFormat="1" applyBorder="1" applyAlignment="1" applyProtection="1">
      <alignment horizontal="right"/>
    </xf>
    <xf numFmtId="3" fontId="1" fillId="0" borderId="0" xfId="30" applyNumberFormat="1" applyFill="1" applyBorder="1" applyAlignment="1" applyProtection="1">
      <alignment horizontal="right"/>
    </xf>
    <xf numFmtId="3" fontId="0" fillId="0" borderId="0" xfId="30" applyNumberFormat="1" applyFont="1" applyBorder="1" applyAlignment="1" applyProtection="1">
      <alignment horizontal="right"/>
    </xf>
    <xf numFmtId="0" fontId="36" fillId="0" borderId="6" xfId="0" applyFont="1" applyBorder="1" applyProtection="1"/>
    <xf numFmtId="0" fontId="1" fillId="0" borderId="3" xfId="11" applyFont="1" applyBorder="1" applyProtection="1"/>
    <xf numFmtId="0" fontId="0" fillId="0" borderId="3" xfId="0" applyBorder="1" applyProtection="1">
      <protection locked="0"/>
    </xf>
    <xf numFmtId="0" fontId="1" fillId="0" borderId="0" xfId="11" applyFont="1" applyBorder="1" applyProtection="1"/>
    <xf numFmtId="0" fontId="1" fillId="0" borderId="0" xfId="8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Protection="1"/>
    <xf numFmtId="182" fontId="1" fillId="0" borderId="0" xfId="6" applyNumberFormat="1" applyFill="1" applyBorder="1" applyAlignment="1">
      <alignment horizontal="right"/>
      <protection locked="0"/>
    </xf>
    <xf numFmtId="182" fontId="0" fillId="6" borderId="0" xfId="0" applyNumberFormat="1" applyFill="1" applyBorder="1" applyProtection="1"/>
    <xf numFmtId="182" fontId="0" fillId="0" borderId="0" xfId="0" applyNumberFormat="1" applyFill="1" applyBorder="1" applyProtection="1"/>
    <xf numFmtId="0" fontId="0" fillId="0" borderId="0" xfId="0" applyFill="1" applyAlignment="1">
      <alignment wrapText="1"/>
    </xf>
    <xf numFmtId="10" fontId="1" fillId="4" borderId="0" xfId="7" applyNumberFormat="1" applyBorder="1" applyAlignment="1">
      <protection locked="0"/>
    </xf>
    <xf numFmtId="0" fontId="0" fillId="0" borderId="0" xfId="0" applyAlignment="1">
      <alignment vertical="top"/>
    </xf>
  </cellXfs>
  <cellStyles count="70">
    <cellStyle name="Border" xfId="30"/>
    <cellStyle name="Change in Formula" xfId="3"/>
    <cellStyle name="Check" xfId="39"/>
    <cellStyle name="Comma" xfId="1" builtinId="3" customBuiltin="1"/>
    <cellStyle name="Comma [0]" xfId="2" builtinId="6" customBuiltin="1"/>
    <cellStyle name="Comments" xfId="61"/>
    <cellStyle name="Constant" xfId="40"/>
    <cellStyle name="Data Colour" xfId="41"/>
    <cellStyle name="Error checks" xfId="4"/>
    <cellStyle name="Error checks 2" xfId="42"/>
    <cellStyle name="Error Warning" xfId="5"/>
    <cellStyle name="Explanatory Text 2" xfId="43"/>
    <cellStyle name="Forecast Input" xfId="34"/>
    <cellStyle name="Forecast Input [0]" xfId="44"/>
    <cellStyle name="Forecast Input%" xfId="35"/>
    <cellStyle name="Heading 1" xfId="21" builtinId="16" customBuiltin="1"/>
    <cellStyle name="Heading 1.5" xfId="45"/>
    <cellStyle name="Heading 2" xfId="22" builtinId="17" customBuiltin="1"/>
    <cellStyle name="Heading 3" xfId="23" builtinId="18" customBuiltin="1"/>
    <cellStyle name="Heading 4" xfId="24" builtinId="19" customBuiltin="1"/>
    <cellStyle name="Hyperlink" xfId="11" builtinId="8"/>
    <cellStyle name="Hyperlink 2" xfId="46"/>
    <cellStyle name="Hyperlink 3" xfId="47"/>
    <cellStyle name="import" xfId="26"/>
    <cellStyle name="import%" xfId="27"/>
    <cellStyle name="Info Input #" xfId="36"/>
    <cellStyle name="Info Input %" xfId="37"/>
    <cellStyle name="Info Input [0]" xfId="48"/>
    <cellStyle name="Info Input1" xfId="49"/>
    <cellStyle name="Info/Default #" xfId="16"/>
    <cellStyle name="Info/default %" xfId="13"/>
    <cellStyle name="Info/import #" xfId="12"/>
    <cellStyle name="Info/import %" xfId="15"/>
    <cellStyle name="Input #" xfId="6"/>
    <cellStyle name="Input # 2" xfId="50"/>
    <cellStyle name="Input %" xfId="7"/>
    <cellStyle name="Input % 2" xfId="17"/>
    <cellStyle name="Input default %" xfId="33"/>
    <cellStyle name="Input1%" xfId="38"/>
    <cellStyle name="Input2" xfId="8"/>
    <cellStyle name="Input2 #" xfId="31"/>
    <cellStyle name="InputDefault" xfId="28"/>
    <cellStyle name="Key Outputs" xfId="9"/>
    <cellStyle name="Key Outputs 2" xfId="51"/>
    <cellStyle name="Links from other files (green) style" xfId="10"/>
    <cellStyle name="Links from other files (green) style 2" xfId="52"/>
    <cellStyle name="Local import" xfId="29"/>
    <cellStyle name="Macro Set" xfId="53"/>
    <cellStyle name="Non-Standard Formula" xfId="54"/>
    <cellStyle name="Normal" xfId="0" builtinId="0" customBuiltin="1"/>
    <cellStyle name="Normal 16" xfId="62"/>
    <cellStyle name="Normal 18" xfId="63"/>
    <cellStyle name="Normal 21" xfId="64"/>
    <cellStyle name="Percent" xfId="20" builtinId="5"/>
    <cellStyle name="Percent 2" xfId="18"/>
    <cellStyle name="Percent 2 2" xfId="19"/>
    <cellStyle name="Percent 4" xfId="65"/>
    <cellStyle name="Percent 6" xfId="66"/>
    <cellStyle name="Percent 9" xfId="55"/>
    <cellStyle name="QA" xfId="14"/>
    <cellStyle name="QA Notes" xfId="32"/>
    <cellStyle name="QA Notes 2" xfId="56"/>
    <cellStyle name="QA Response" xfId="69"/>
    <cellStyle name="RangeName" xfId="57"/>
    <cellStyle name="SheetMsg" xfId="67"/>
    <cellStyle name="Total" xfId="25" builtinId="25" customBuiltin="1"/>
    <cellStyle name="Units" xfId="58"/>
    <cellStyle name="W NSW Colour" xfId="68"/>
    <cellStyle name="Year" xfId="59"/>
    <cellStyle name="YearRow" xfId="60"/>
  </cellStyles>
  <dxfs count="0"/>
  <tableStyles count="0" defaultTableStyle="TableStyleMedium2" defaultPivotStyle="PivotStyleLight16"/>
  <colors>
    <mruColors>
      <color rgb="FF00FF00"/>
      <color rgb="FF8FB8FB"/>
      <color rgb="FF99CCFF"/>
      <color rgb="FFFFFFCC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ward_jenkins@ipart.nsw.gov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8"/>
  <sheetViews>
    <sheetView showGridLines="0" tabSelected="1" workbookViewId="0">
      <selection activeCell="D1" sqref="D1"/>
    </sheetView>
  </sheetViews>
  <sheetFormatPr defaultRowHeight="12" x14ac:dyDescent="0.2"/>
  <cols>
    <col min="1" max="1" width="2.85546875" style="4" customWidth="1"/>
    <col min="2" max="2" width="5" style="4" customWidth="1"/>
    <col min="3" max="3" width="8.140625" style="4" customWidth="1"/>
    <col min="4" max="4" width="139.7109375" style="4" customWidth="1"/>
    <col min="5" max="22" width="9.140625" style="7"/>
    <col min="23" max="28" width="9.140625" style="6"/>
    <col min="29" max="16384" width="9.140625" style="4"/>
  </cols>
  <sheetData>
    <row r="2" spans="1:28" x14ac:dyDescent="0.2">
      <c r="A2" s="6"/>
      <c r="B2" s="6"/>
      <c r="C2" s="6"/>
      <c r="D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x14ac:dyDescent="0.25">
      <c r="A3" s="6"/>
      <c r="B3" s="8" t="s">
        <v>219</v>
      </c>
      <c r="C3" s="8"/>
      <c r="D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2">
      <c r="A4" s="6"/>
      <c r="B4" s="10"/>
      <c r="C4" s="10"/>
      <c r="D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.75" customHeight="1" x14ac:dyDescent="0.2">
      <c r="A5" s="6"/>
      <c r="B5" s="10"/>
      <c r="C5" s="10"/>
      <c r="D5" s="1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">
      <c r="A6" s="6"/>
      <c r="B6" s="11" t="s">
        <v>2</v>
      </c>
      <c r="C6" s="11"/>
      <c r="D6" s="12" t="s">
        <v>66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A7" s="6"/>
      <c r="B7" s="7" t="s">
        <v>3</v>
      </c>
      <c r="C7" s="7"/>
      <c r="D7" s="35" t="s">
        <v>67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">
      <c r="A8" s="6"/>
      <c r="C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 x14ac:dyDescent="0.2">
      <c r="A9" s="6"/>
      <c r="B9" s="10"/>
      <c r="C9" s="10"/>
      <c r="D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1" spans="1:28" ht="15" x14ac:dyDescent="0.25">
      <c r="A11" s="6"/>
      <c r="B11" s="14" t="s">
        <v>4</v>
      </c>
      <c r="C11" s="14"/>
      <c r="D11" s="15"/>
      <c r="E11" s="16"/>
      <c r="F11" s="16"/>
      <c r="G11" s="16"/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A12" s="6"/>
      <c r="B12" s="16" t="s">
        <v>110</v>
      </c>
      <c r="C12" s="16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7.5" customHeight="1" x14ac:dyDescent="0.2">
      <c r="A13" s="6"/>
      <c r="B13" s="13"/>
      <c r="C13" s="13"/>
      <c r="D13" s="13"/>
      <c r="E13" s="16"/>
      <c r="F13" s="13"/>
      <c r="G13" s="13"/>
      <c r="H13" s="1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">
      <c r="A14" s="6"/>
      <c r="B14" s="13" t="s">
        <v>111</v>
      </c>
      <c r="C14" s="13"/>
      <c r="D14" s="13"/>
      <c r="E14" s="13"/>
      <c r="F14" s="13"/>
      <c r="G14" s="13"/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">
      <c r="A15" s="6"/>
      <c r="B15" s="13" t="s">
        <v>126</v>
      </c>
      <c r="C15" s="13"/>
      <c r="D15" s="13"/>
      <c r="E15" s="13"/>
      <c r="F15" s="13"/>
      <c r="G15" s="13"/>
      <c r="H15" s="1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">
      <c r="A16" s="6"/>
      <c r="B16" s="13" t="s">
        <v>114</v>
      </c>
      <c r="C16" s="17"/>
      <c r="D16" s="13"/>
      <c r="E16" s="13"/>
      <c r="F16" s="13"/>
      <c r="G16" s="13"/>
      <c r="H16" s="1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">
      <c r="A17" s="6"/>
      <c r="B17" s="17"/>
      <c r="C17" s="17"/>
      <c r="D17" s="13"/>
      <c r="E17" s="13"/>
      <c r="F17" s="13"/>
      <c r="G17" s="13"/>
      <c r="H17" s="1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6"/>
      <c r="B18" s="14" t="s">
        <v>71</v>
      </c>
      <c r="C18" s="14"/>
      <c r="D18" s="18"/>
      <c r="E18" s="13"/>
      <c r="F18" s="13"/>
      <c r="G18" s="13"/>
      <c r="H18" s="1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">
      <c r="A19" s="6"/>
      <c r="B19" s="13" t="s">
        <v>115</v>
      </c>
      <c r="C19" s="17"/>
      <c r="D19" s="13"/>
      <c r="E19" s="13"/>
      <c r="F19" s="13"/>
      <c r="G19" s="13"/>
      <c r="H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">
      <c r="A20" s="6"/>
      <c r="B20" s="13" t="s">
        <v>116</v>
      </c>
      <c r="C20" s="17"/>
      <c r="D20" s="13"/>
      <c r="E20" s="13"/>
      <c r="F20" s="13"/>
      <c r="G20" s="13"/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">
      <c r="A21" s="6"/>
      <c r="B21" s="13"/>
      <c r="C21" s="169" t="s">
        <v>118</v>
      </c>
      <c r="D21" s="13" t="s">
        <v>112</v>
      </c>
      <c r="E21" s="13"/>
      <c r="F21" s="13"/>
      <c r="G21" s="13"/>
      <c r="H21" s="1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">
      <c r="A22" s="6"/>
      <c r="B22" s="13"/>
      <c r="C22" s="169" t="s">
        <v>118</v>
      </c>
      <c r="D22" s="13" t="s">
        <v>228</v>
      </c>
      <c r="E22" s="13"/>
      <c r="F22" s="13"/>
      <c r="G22" s="13"/>
      <c r="H22" s="1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">
      <c r="A23" s="6"/>
      <c r="B23" s="13"/>
      <c r="C23" s="169" t="s">
        <v>118</v>
      </c>
      <c r="D23" s="13" t="s">
        <v>113</v>
      </c>
      <c r="E23" s="13"/>
      <c r="F23" s="13"/>
      <c r="G23" s="13"/>
      <c r="H23" s="1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7.5" customHeight="1" x14ac:dyDescent="0.2">
      <c r="A24" s="6"/>
      <c r="B24" s="13"/>
      <c r="C24" s="168"/>
      <c r="D24" s="13"/>
      <c r="E24" s="13"/>
      <c r="F24" s="13"/>
      <c r="G24" s="13"/>
      <c r="H24" s="1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 x14ac:dyDescent="0.2">
      <c r="A25" s="6"/>
      <c r="B25" s="13" t="s">
        <v>127</v>
      </c>
      <c r="C25" s="13"/>
      <c r="D25" s="13"/>
      <c r="E25" s="13"/>
      <c r="F25" s="13"/>
      <c r="G25" s="13"/>
      <c r="H25" s="1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4.5" customHeight="1" x14ac:dyDescent="0.2">
      <c r="A26" s="6"/>
      <c r="B26" s="17"/>
      <c r="C26" s="17"/>
      <c r="D26" s="13"/>
      <c r="E26" s="13"/>
      <c r="F26" s="13"/>
      <c r="G26" s="13"/>
      <c r="H26" s="1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" x14ac:dyDescent="0.25">
      <c r="A27" s="6"/>
      <c r="B27" s="14" t="s">
        <v>70</v>
      </c>
      <c r="C27" s="14"/>
      <c r="D27" s="18"/>
      <c r="E27" s="13"/>
      <c r="F27" s="16"/>
      <c r="G27" s="16"/>
      <c r="H27" s="1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" customHeight="1" x14ac:dyDescent="0.2">
      <c r="A28" s="6"/>
      <c r="B28" s="16" t="s">
        <v>117</v>
      </c>
      <c r="C28" s="16"/>
      <c r="D28" s="16"/>
      <c r="E28" s="13"/>
      <c r="F28" s="16"/>
      <c r="G28" s="16"/>
      <c r="H28" s="1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" customHeight="1" x14ac:dyDescent="0.2">
      <c r="A29" s="6"/>
      <c r="B29" s="17" t="s">
        <v>120</v>
      </c>
      <c r="C29" s="172" t="s">
        <v>103</v>
      </c>
      <c r="D29" s="13"/>
      <c r="E29" s="13"/>
      <c r="F29" s="13"/>
      <c r="G29" s="13"/>
      <c r="H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" customHeight="1" x14ac:dyDescent="0.2">
      <c r="A30" s="6"/>
      <c r="B30" s="17"/>
      <c r="C30" s="169" t="s">
        <v>118</v>
      </c>
      <c r="D30" s="13" t="s">
        <v>177</v>
      </c>
      <c r="E30" s="13"/>
      <c r="F30" s="13"/>
      <c r="G30" s="13"/>
      <c r="H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" customHeight="1" x14ac:dyDescent="0.2">
      <c r="A31" s="6"/>
      <c r="B31" s="17"/>
      <c r="C31" s="169" t="s">
        <v>118</v>
      </c>
      <c r="D31" s="13" t="s">
        <v>178</v>
      </c>
      <c r="E31" s="13"/>
      <c r="F31" s="13"/>
      <c r="G31" s="13"/>
      <c r="H31" s="1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" customHeight="1" x14ac:dyDescent="0.2">
      <c r="A32" s="6"/>
      <c r="B32" s="17"/>
      <c r="C32" s="169" t="s">
        <v>118</v>
      </c>
      <c r="D32" s="13" t="s">
        <v>119</v>
      </c>
      <c r="E32" s="13"/>
      <c r="F32" s="13"/>
      <c r="G32" s="13"/>
      <c r="H32" s="1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" customHeight="1" x14ac:dyDescent="0.2">
      <c r="A33" s="6"/>
      <c r="B33" s="17" t="s">
        <v>121</v>
      </c>
      <c r="C33" s="171" t="s">
        <v>104</v>
      </c>
      <c r="D33" s="13" t="s">
        <v>128</v>
      </c>
      <c r="E33" s="13"/>
      <c r="F33" s="13"/>
      <c r="G33" s="13"/>
      <c r="H33" s="1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" customHeight="1" x14ac:dyDescent="0.2">
      <c r="A34" s="6"/>
      <c r="B34" s="17" t="s">
        <v>122</v>
      </c>
      <c r="C34" s="172" t="s">
        <v>125</v>
      </c>
      <c r="D34" s="13"/>
      <c r="E34" s="13"/>
      <c r="F34" s="13"/>
      <c r="G34" s="13"/>
      <c r="H34" s="1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" customHeight="1" x14ac:dyDescent="0.2">
      <c r="A35" s="6"/>
      <c r="B35" s="17"/>
      <c r="C35" s="169" t="s">
        <v>118</v>
      </c>
      <c r="D35" s="13" t="s">
        <v>179</v>
      </c>
      <c r="E35" s="13"/>
      <c r="F35" s="13"/>
      <c r="G35" s="13"/>
      <c r="H35" s="1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 x14ac:dyDescent="0.2">
      <c r="A36" s="6"/>
      <c r="B36" s="17"/>
      <c r="C36" s="169" t="s">
        <v>118</v>
      </c>
      <c r="D36" s="13" t="s">
        <v>180</v>
      </c>
      <c r="E36" s="13"/>
      <c r="F36" s="13"/>
      <c r="G36" s="13"/>
      <c r="H36" s="1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 x14ac:dyDescent="0.2">
      <c r="A37" s="6"/>
      <c r="B37" s="17"/>
      <c r="C37" s="170" t="s">
        <v>124</v>
      </c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 x14ac:dyDescent="0.2">
      <c r="A38" s="6"/>
      <c r="B38" s="17"/>
      <c r="C38" s="170"/>
      <c r="E38" s="13"/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" customHeight="1" x14ac:dyDescent="0.25">
      <c r="A39" s="6"/>
      <c r="B39" s="14" t="s">
        <v>224</v>
      </c>
      <c r="C39" s="14"/>
      <c r="D39" s="18"/>
      <c r="E39" s="13"/>
      <c r="F39" s="13"/>
      <c r="G39" s="13"/>
      <c r="H39" s="1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" customHeight="1" x14ac:dyDescent="0.2">
      <c r="A40" s="6"/>
      <c r="B40" s="17"/>
      <c r="C40" s="170"/>
      <c r="E40" s="13"/>
      <c r="F40" s="13"/>
      <c r="G40" s="13"/>
      <c r="H40" s="1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" customHeight="1" x14ac:dyDescent="0.2">
      <c r="A41" s="6"/>
      <c r="B41" s="13" t="s">
        <v>229</v>
      </c>
      <c r="C41" s="170"/>
      <c r="E41" s="13"/>
      <c r="F41" s="13"/>
      <c r="G41" s="13"/>
      <c r="H41" s="1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4" x14ac:dyDescent="0.2">
      <c r="A42" s="6"/>
      <c r="B42" s="17"/>
      <c r="C42" s="252" t="s">
        <v>230</v>
      </c>
      <c r="D42" s="250" t="s">
        <v>225</v>
      </c>
      <c r="E42" s="13"/>
      <c r="F42" s="13"/>
      <c r="G42" s="13"/>
      <c r="H42" s="1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 x14ac:dyDescent="0.2">
      <c r="A43" s="6"/>
      <c r="B43" s="17"/>
      <c r="C43" s="4" t="s">
        <v>231</v>
      </c>
      <c r="D43" s="4" t="s">
        <v>226</v>
      </c>
      <c r="E43" s="13"/>
      <c r="F43" s="13"/>
      <c r="G43" s="13"/>
      <c r="H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 x14ac:dyDescent="0.2">
      <c r="A44" s="6"/>
      <c r="B44" s="17"/>
      <c r="C44" s="170"/>
      <c r="E44" s="13"/>
      <c r="F44" s="13"/>
      <c r="G44" s="13"/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" customHeight="1" x14ac:dyDescent="0.2">
      <c r="A45" s="6"/>
      <c r="B45" s="13" t="s">
        <v>227</v>
      </c>
      <c r="C45" s="170"/>
      <c r="E45" s="13"/>
      <c r="F45" s="13"/>
      <c r="G45" s="13"/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" customHeight="1" x14ac:dyDescent="0.2">
      <c r="A46" s="6"/>
      <c r="B46" s="17"/>
      <c r="C46" s="170"/>
      <c r="E46" s="13"/>
      <c r="F46" s="13"/>
      <c r="G46" s="13"/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" customHeight="1" x14ac:dyDescent="0.25">
      <c r="A47" s="6"/>
      <c r="B47" s="14" t="s">
        <v>68</v>
      </c>
      <c r="C47" s="14"/>
      <c r="D47" s="18"/>
      <c r="E47" s="13"/>
      <c r="F47" s="13"/>
      <c r="G47" s="13"/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" customHeight="1" x14ac:dyDescent="0.2">
      <c r="A48" s="6"/>
      <c r="B48" s="19" t="s">
        <v>5</v>
      </c>
      <c r="C48" s="19"/>
      <c r="D48" s="13"/>
      <c r="E48" s="13"/>
      <c r="F48" s="13"/>
      <c r="G48" s="13"/>
      <c r="H48" s="1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6.75" customHeight="1" x14ac:dyDescent="0.2">
      <c r="A49" s="6"/>
      <c r="B49" s="19"/>
      <c r="C49" s="19"/>
      <c r="D49" s="13"/>
      <c r="E49" s="13"/>
      <c r="F49" s="13"/>
      <c r="G49" s="13"/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3.5" customHeight="1" x14ac:dyDescent="0.2">
      <c r="A50" s="6"/>
      <c r="B50" s="20" t="s">
        <v>6</v>
      </c>
      <c r="C50" s="20"/>
      <c r="D50" s="20"/>
      <c r="E50" s="13"/>
      <c r="F50" s="13"/>
      <c r="G50" s="13"/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" customHeight="1" x14ac:dyDescent="0.2">
      <c r="A51" s="6"/>
      <c r="B51" s="21" t="s">
        <v>7</v>
      </c>
      <c r="C51" s="21"/>
      <c r="D51" s="21"/>
      <c r="E51" s="13"/>
      <c r="F51" s="13"/>
      <c r="G51" s="13"/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" customHeight="1" x14ac:dyDescent="0.2">
      <c r="A52" s="6"/>
      <c r="B52" s="22" t="s">
        <v>0</v>
      </c>
      <c r="C52" s="22"/>
      <c r="D52" s="22"/>
      <c r="E52" s="13"/>
      <c r="F52" s="13"/>
      <c r="G52" s="13"/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" customHeight="1" x14ac:dyDescent="0.2">
      <c r="A53" s="6"/>
      <c r="B53" s="23" t="s">
        <v>8</v>
      </c>
      <c r="C53" s="23"/>
      <c r="D53" s="24"/>
      <c r="E53" s="13"/>
      <c r="F53" s="13"/>
      <c r="G53" s="13"/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" customHeight="1" x14ac:dyDescent="0.2">
      <c r="A54" s="6"/>
      <c r="B54" s="25" t="s">
        <v>9</v>
      </c>
      <c r="C54" s="25"/>
      <c r="D54" s="26"/>
      <c r="E54" s="13"/>
      <c r="F54" s="13"/>
      <c r="G54" s="1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" customHeight="1" x14ac:dyDescent="0.2">
      <c r="A55" s="6"/>
      <c r="B55" s="27" t="s">
        <v>10</v>
      </c>
      <c r="C55" s="28"/>
      <c r="D55" s="28"/>
      <c r="E55" s="13"/>
      <c r="F55" s="13"/>
      <c r="G55" s="1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" customHeight="1" x14ac:dyDescent="0.2">
      <c r="A56" s="6"/>
      <c r="B56" s="17"/>
      <c r="C56" s="17"/>
      <c r="D56" s="13"/>
      <c r="E56" s="13"/>
      <c r="F56" s="13"/>
      <c r="G56" s="1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">
      <c r="A57" s="6"/>
      <c r="B57" s="17"/>
      <c r="C57" s="17"/>
      <c r="D57" s="13"/>
      <c r="E57" s="13"/>
      <c r="F57" s="13"/>
      <c r="G57" s="13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">
      <c r="E58" s="13"/>
      <c r="F58" s="13"/>
      <c r="G58" s="13"/>
      <c r="H58" s="13"/>
    </row>
    <row r="59" spans="1:28" x14ac:dyDescent="0.2">
      <c r="E59" s="13"/>
      <c r="F59" s="13"/>
      <c r="G59" s="13"/>
      <c r="H59" s="13"/>
    </row>
    <row r="60" spans="1:28" x14ac:dyDescent="0.2">
      <c r="E60" s="13"/>
      <c r="F60" s="13"/>
      <c r="G60" s="13"/>
      <c r="H60" s="13"/>
    </row>
    <row r="61" spans="1:28" x14ac:dyDescent="0.2">
      <c r="A61" s="6"/>
      <c r="B61" s="7"/>
      <c r="C61" s="7"/>
      <c r="D61" s="7"/>
      <c r="E61" s="13"/>
      <c r="F61" s="13"/>
      <c r="G61" s="13"/>
      <c r="H61" s="1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">
      <c r="B62" s="5"/>
      <c r="C62" s="5"/>
      <c r="D62" s="5"/>
      <c r="E62" s="13"/>
      <c r="F62" s="13"/>
      <c r="G62" s="13"/>
      <c r="H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">
      <c r="B63" s="5"/>
      <c r="C63" s="5"/>
      <c r="D63" s="5"/>
      <c r="E63" s="13"/>
      <c r="F63" s="13"/>
      <c r="G63" s="13"/>
      <c r="H63" s="1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">
      <c r="B64" s="5"/>
      <c r="C64" s="5"/>
      <c r="D64" s="5"/>
      <c r="E64" s="13"/>
      <c r="F64" s="13"/>
      <c r="G64" s="13"/>
      <c r="H64" s="1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">
      <c r="B65" s="5"/>
      <c r="C65" s="5"/>
      <c r="D65" s="5"/>
      <c r="E65" s="13"/>
      <c r="F65" s="13"/>
      <c r="G65" s="13"/>
      <c r="H65" s="1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">
      <c r="B66" s="5"/>
      <c r="C66" s="5"/>
      <c r="D66" s="5"/>
      <c r="E66" s="13"/>
      <c r="F66" s="13"/>
      <c r="G66" s="13"/>
      <c r="H66" s="1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">
      <c r="B67" s="5"/>
      <c r="C67" s="5"/>
      <c r="D67" s="5"/>
      <c r="E67" s="13"/>
      <c r="F67" s="13"/>
      <c r="G67" s="13"/>
      <c r="H67" s="1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">
      <c r="B68" s="5"/>
      <c r="C68" s="5"/>
      <c r="D68" s="5"/>
      <c r="E68" s="13"/>
      <c r="F68" s="13"/>
      <c r="G68" s="13"/>
      <c r="H68" s="1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">
      <c r="B69" s="5"/>
      <c r="C69" s="5"/>
      <c r="D69" s="5"/>
      <c r="E69" s="13"/>
      <c r="F69" s="13"/>
      <c r="G69" s="13"/>
      <c r="H69" s="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">
      <c r="B70" s="5"/>
      <c r="C70" s="5"/>
      <c r="D70" s="5"/>
      <c r="E70" s="13"/>
      <c r="F70" s="13"/>
      <c r="G70" s="13"/>
      <c r="H70" s="1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">
      <c r="B71" s="5"/>
      <c r="C71" s="5"/>
      <c r="D71" s="5"/>
      <c r="E71" s="13"/>
      <c r="F71" s="13"/>
      <c r="G71" s="13"/>
      <c r="H71" s="1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">
      <c r="B72" s="5"/>
      <c r="C72" s="5"/>
      <c r="D72" s="5"/>
      <c r="E72" s="13"/>
      <c r="F72" s="13"/>
      <c r="G72" s="13"/>
      <c r="H72" s="1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">
      <c r="B73" s="5"/>
      <c r="C73" s="5"/>
      <c r="D73" s="5"/>
      <c r="E73" s="13"/>
      <c r="F73" s="13"/>
      <c r="G73" s="13"/>
      <c r="H73" s="1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"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"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"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"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"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"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"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"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"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"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"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"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"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"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"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</sheetData>
  <hyperlinks>
    <hyperlink ref="D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C5"/>
  <sheetViews>
    <sheetView showGridLines="0" workbookViewId="0"/>
  </sheetViews>
  <sheetFormatPr defaultRowHeight="12" x14ac:dyDescent="0.2"/>
  <sheetData>
    <row r="5" spans="3:3" ht="15.75" x14ac:dyDescent="0.25">
      <c r="C5" s="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7"/>
  <sheetViews>
    <sheetView showGridLines="0" zoomScaleNormal="100" workbookViewId="0"/>
  </sheetViews>
  <sheetFormatPr defaultRowHeight="12" outlineLevelCol="1" x14ac:dyDescent="0.2"/>
  <cols>
    <col min="1" max="1" width="3.28515625" style="37" customWidth="1"/>
    <col min="2" max="2" width="77.140625" style="37" bestFit="1" customWidth="1"/>
    <col min="3" max="3" width="5.140625" style="37" bestFit="1" customWidth="1"/>
    <col min="4" max="4" width="9.140625" style="37"/>
    <col min="5" max="5" width="11.140625" style="37" bestFit="1" customWidth="1"/>
    <col min="6" max="25" width="12.5703125" style="39" hidden="1" customWidth="1" outlineLevel="1"/>
    <col min="26" max="26" width="14.7109375" style="39" customWidth="1" collapsed="1"/>
    <col min="27" max="28" width="14.7109375" style="39" customWidth="1"/>
    <col min="29" max="29" width="12.5703125" style="39" customWidth="1"/>
    <col min="30" max="30" width="9.140625" style="39"/>
    <col min="31" max="16384" width="9.140625" style="37"/>
  </cols>
  <sheetData>
    <row r="1" spans="2:37" x14ac:dyDescent="0.2">
      <c r="B1" s="148"/>
      <c r="AE1" s="39"/>
      <c r="AF1" s="39"/>
      <c r="AG1" s="39"/>
      <c r="AH1" s="39"/>
      <c r="AI1" s="39"/>
      <c r="AJ1" s="39"/>
      <c r="AK1" s="39"/>
    </row>
    <row r="2" spans="2:37" ht="18" x14ac:dyDescent="0.25">
      <c r="B2" s="40" t="s">
        <v>107</v>
      </c>
      <c r="AE2" s="39"/>
      <c r="AF2" s="39"/>
      <c r="AG2" s="39"/>
      <c r="AH2" s="39"/>
      <c r="AI2" s="39"/>
      <c r="AJ2" s="39"/>
      <c r="AK2" s="39"/>
    </row>
    <row r="3" spans="2:37" x14ac:dyDescent="0.2">
      <c r="B3" s="93" t="s">
        <v>193</v>
      </c>
      <c r="AE3" s="39"/>
      <c r="AF3" s="39"/>
      <c r="AG3" s="39"/>
      <c r="AH3" s="39"/>
      <c r="AI3" s="39"/>
      <c r="AJ3" s="39"/>
      <c r="AK3" s="39"/>
    </row>
    <row r="4" spans="2:37" x14ac:dyDescent="0.2">
      <c r="B4" s="37" t="s">
        <v>181</v>
      </c>
      <c r="AE4" s="39"/>
      <c r="AF4" s="39"/>
      <c r="AG4" s="39"/>
      <c r="AH4" s="39"/>
      <c r="AI4" s="39"/>
      <c r="AJ4" s="39"/>
      <c r="AK4" s="39"/>
    </row>
    <row r="5" spans="2:37" s="148" customFormat="1" x14ac:dyDescent="0.2">
      <c r="B5" s="148" t="s">
        <v>182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2:37" s="148" customFormat="1" x14ac:dyDescent="0.2"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2:37" x14ac:dyDescent="0.2">
      <c r="B7" s="163" t="s">
        <v>28</v>
      </c>
      <c r="C7" s="163"/>
      <c r="D7" s="163"/>
      <c r="F7" s="126"/>
      <c r="G7" s="126"/>
      <c r="Z7" s="209" t="s">
        <v>29</v>
      </c>
      <c r="AE7" s="39"/>
      <c r="AF7" s="39"/>
      <c r="AG7" s="39"/>
      <c r="AH7" s="39"/>
      <c r="AI7" s="39"/>
      <c r="AJ7" s="39"/>
      <c r="AK7" s="39"/>
    </row>
    <row r="8" spans="2:37" x14ac:dyDescent="0.2">
      <c r="B8" s="242" t="str">
        <f>B14</f>
        <v>TABLE 1.1 - USAGE VOLUMES</v>
      </c>
      <c r="C8" s="46"/>
      <c r="D8" s="46"/>
      <c r="E8" s="46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46">
        <f>ROW(B14)</f>
        <v>14</v>
      </c>
      <c r="AE8" s="39"/>
      <c r="AF8" s="39"/>
      <c r="AG8" s="39"/>
      <c r="AH8" s="39"/>
      <c r="AI8" s="39"/>
      <c r="AJ8" s="39"/>
      <c r="AK8" s="39"/>
    </row>
    <row r="9" spans="2:37" x14ac:dyDescent="0.2">
      <c r="B9" s="244" t="str">
        <f>B37</f>
        <v>TABLE 1.2 - ENTITLEMENT VOLUMES</v>
      </c>
      <c r="C9" s="43"/>
      <c r="D9" s="43"/>
      <c r="E9" s="43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43">
        <f>ROW(B37)</f>
        <v>37</v>
      </c>
      <c r="AE9" s="39"/>
      <c r="AF9" s="39"/>
      <c r="AG9" s="39"/>
      <c r="AH9" s="39"/>
      <c r="AI9" s="39"/>
      <c r="AJ9" s="39"/>
      <c r="AK9" s="39"/>
    </row>
    <row r="10" spans="2:37" x14ac:dyDescent="0.2">
      <c r="B10" s="244" t="str">
        <f>B75</f>
        <v>TABLE 1.3 - ACTUAL WATER ALLOCATIONS</v>
      </c>
      <c r="C10" s="43"/>
      <c r="D10" s="43"/>
      <c r="E10" s="43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43">
        <f>ROW(B75)</f>
        <v>75</v>
      </c>
      <c r="AE10" s="39"/>
      <c r="AF10" s="39"/>
      <c r="AG10" s="39"/>
      <c r="AH10" s="39"/>
      <c r="AI10" s="39"/>
      <c r="AJ10" s="39"/>
      <c r="AK10" s="39"/>
    </row>
    <row r="11" spans="2:37" x14ac:dyDescent="0.2">
      <c r="B11" s="41" t="str">
        <f>B115</f>
        <v>TABLE 1.4 - FISH RIVER WATER SUPPLY SCHEME (FRWS) MINOR CUSTOMER NUMBERS AND MAQ ENTITLEMENT LEVELS</v>
      </c>
      <c r="C11" s="41"/>
      <c r="D11" s="41"/>
      <c r="E11" s="41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41">
        <f>ROW(B115)</f>
        <v>115</v>
      </c>
      <c r="AE11" s="39"/>
      <c r="AF11" s="39"/>
      <c r="AG11" s="39"/>
      <c r="AH11" s="39"/>
      <c r="AI11" s="39"/>
      <c r="AJ11" s="39"/>
      <c r="AK11" s="39"/>
    </row>
    <row r="12" spans="2:37" x14ac:dyDescent="0.2">
      <c r="B12" s="148"/>
      <c r="AE12" s="39"/>
      <c r="AF12" s="39"/>
      <c r="AG12" s="39"/>
      <c r="AH12" s="39"/>
      <c r="AI12" s="39"/>
      <c r="AJ12" s="39"/>
      <c r="AK12" s="39"/>
    </row>
    <row r="13" spans="2:37" x14ac:dyDescent="0.2">
      <c r="AE13" s="39"/>
      <c r="AF13" s="39"/>
      <c r="AG13" s="39"/>
      <c r="AH13" s="39"/>
      <c r="AI13" s="39"/>
      <c r="AJ13" s="39"/>
      <c r="AK13" s="39"/>
    </row>
    <row r="14" spans="2:37" x14ac:dyDescent="0.2">
      <c r="B14" s="38" t="s">
        <v>62</v>
      </c>
      <c r="AE14" s="39"/>
      <c r="AF14" s="39"/>
      <c r="AG14" s="39"/>
      <c r="AH14" s="39"/>
      <c r="AI14" s="39"/>
      <c r="AJ14" s="39"/>
      <c r="AK14" s="39"/>
    </row>
    <row r="15" spans="2:37" ht="12" customHeight="1" x14ac:dyDescent="0.2">
      <c r="B15" s="45" t="s">
        <v>25</v>
      </c>
      <c r="C15" s="46" t="s">
        <v>27</v>
      </c>
      <c r="D15" s="46"/>
      <c r="E15" s="46"/>
      <c r="F15" s="200">
        <f t="shared" ref="F15:Y15" si="0">G15-1</f>
        <v>1997</v>
      </c>
      <c r="G15" s="200">
        <f t="shared" si="0"/>
        <v>1998</v>
      </c>
      <c r="H15" s="200">
        <f t="shared" si="0"/>
        <v>1999</v>
      </c>
      <c r="I15" s="200">
        <f t="shared" si="0"/>
        <v>2000</v>
      </c>
      <c r="J15" s="200">
        <f t="shared" si="0"/>
        <v>2001</v>
      </c>
      <c r="K15" s="200">
        <f t="shared" si="0"/>
        <v>2002</v>
      </c>
      <c r="L15" s="200">
        <f t="shared" si="0"/>
        <v>2003</v>
      </c>
      <c r="M15" s="200">
        <f t="shared" si="0"/>
        <v>2004</v>
      </c>
      <c r="N15" s="200">
        <f t="shared" si="0"/>
        <v>2005</v>
      </c>
      <c r="O15" s="200">
        <f t="shared" si="0"/>
        <v>2006</v>
      </c>
      <c r="P15" s="200">
        <f t="shared" si="0"/>
        <v>2007</v>
      </c>
      <c r="Q15" s="200">
        <f t="shared" si="0"/>
        <v>2008</v>
      </c>
      <c r="R15" s="200">
        <f t="shared" si="0"/>
        <v>2009</v>
      </c>
      <c r="S15" s="200">
        <f t="shared" si="0"/>
        <v>2010</v>
      </c>
      <c r="T15" s="200">
        <f t="shared" si="0"/>
        <v>2011</v>
      </c>
      <c r="U15" s="200">
        <f t="shared" si="0"/>
        <v>2012</v>
      </c>
      <c r="V15" s="200">
        <f t="shared" si="0"/>
        <v>2013</v>
      </c>
      <c r="W15" s="200">
        <f t="shared" si="0"/>
        <v>2014</v>
      </c>
      <c r="X15" s="200">
        <f t="shared" si="0"/>
        <v>2015</v>
      </c>
      <c r="Y15" s="200">
        <f t="shared" si="0"/>
        <v>2016</v>
      </c>
      <c r="Z15" s="200">
        <f>AA15-1</f>
        <v>2017</v>
      </c>
      <c r="AA15" s="200">
        <f>'2017 Determination - Revenue'!F15</f>
        <v>2018</v>
      </c>
      <c r="AB15" s="173"/>
      <c r="AC15" s="127"/>
      <c r="AE15" s="39"/>
      <c r="AF15" s="39"/>
      <c r="AG15" s="39"/>
      <c r="AH15" s="39"/>
      <c r="AI15" s="39"/>
      <c r="AJ15" s="39"/>
      <c r="AK15" s="39"/>
    </row>
    <row r="16" spans="2:37" s="148" customFormat="1" ht="12" customHeight="1" x14ac:dyDescent="0.2">
      <c r="B16" s="48" t="s">
        <v>26</v>
      </c>
      <c r="C16" s="43"/>
      <c r="D16" s="43"/>
      <c r="E16" s="43"/>
      <c r="F16" s="199" t="str">
        <f t="shared" ref="F16:Z16" si="1">F15-1&amp;"-"&amp;RIGHT(F15,2)</f>
        <v>1996-97</v>
      </c>
      <c r="G16" s="199" t="str">
        <f t="shared" si="1"/>
        <v>1997-98</v>
      </c>
      <c r="H16" s="199" t="str">
        <f t="shared" si="1"/>
        <v>1998-99</v>
      </c>
      <c r="I16" s="199" t="str">
        <f t="shared" si="1"/>
        <v>1999-00</v>
      </c>
      <c r="J16" s="199" t="str">
        <f t="shared" si="1"/>
        <v>2000-01</v>
      </c>
      <c r="K16" s="199" t="str">
        <f t="shared" si="1"/>
        <v>2001-02</v>
      </c>
      <c r="L16" s="199" t="str">
        <f t="shared" si="1"/>
        <v>2002-03</v>
      </c>
      <c r="M16" s="199" t="str">
        <f t="shared" si="1"/>
        <v>2003-04</v>
      </c>
      <c r="N16" s="199" t="str">
        <f t="shared" si="1"/>
        <v>2004-05</v>
      </c>
      <c r="O16" s="199" t="str">
        <f t="shared" si="1"/>
        <v>2005-06</v>
      </c>
      <c r="P16" s="199" t="str">
        <f t="shared" si="1"/>
        <v>2006-07</v>
      </c>
      <c r="Q16" s="199" t="str">
        <f t="shared" si="1"/>
        <v>2007-08</v>
      </c>
      <c r="R16" s="199" t="str">
        <f t="shared" si="1"/>
        <v>2008-09</v>
      </c>
      <c r="S16" s="199" t="str">
        <f t="shared" si="1"/>
        <v>2009-10</v>
      </c>
      <c r="T16" s="199" t="str">
        <f t="shared" si="1"/>
        <v>2010-11</v>
      </c>
      <c r="U16" s="199" t="str">
        <f t="shared" si="1"/>
        <v>2011-12</v>
      </c>
      <c r="V16" s="199" t="str">
        <f t="shared" si="1"/>
        <v>2012-13</v>
      </c>
      <c r="W16" s="199" t="str">
        <f t="shared" si="1"/>
        <v>2013-14</v>
      </c>
      <c r="X16" s="199" t="str">
        <f t="shared" si="1"/>
        <v>2014-15</v>
      </c>
      <c r="Y16" s="199" t="str">
        <f t="shared" si="1"/>
        <v>2015-16</v>
      </c>
      <c r="Z16" s="199" t="str">
        <f t="shared" si="1"/>
        <v>2016-17</v>
      </c>
      <c r="AA16" s="199" t="str">
        <f>AA15-1&amp;"-"&amp;RIGHT(AA15,2)</f>
        <v>2017-18</v>
      </c>
      <c r="AB16" s="199"/>
      <c r="AC16" s="128"/>
      <c r="AD16" s="39"/>
      <c r="AE16" s="39"/>
      <c r="AF16" s="39"/>
      <c r="AG16" s="39"/>
      <c r="AH16" s="39"/>
      <c r="AI16" s="39"/>
      <c r="AJ16" s="39"/>
      <c r="AK16" s="39"/>
    </row>
    <row r="17" spans="2:37" x14ac:dyDescent="0.2">
      <c r="B17" s="48"/>
      <c r="C17" s="43"/>
      <c r="D17" s="43"/>
      <c r="E17" s="43"/>
      <c r="F17" s="203" t="s">
        <v>108</v>
      </c>
      <c r="G17" s="195" t="str">
        <f>$F$17</f>
        <v>Actual</v>
      </c>
      <c r="H17" s="195" t="str">
        <f t="shared" ref="H17:Z17" si="2">$F$17</f>
        <v>Actual</v>
      </c>
      <c r="I17" s="195" t="str">
        <f t="shared" si="2"/>
        <v>Actual</v>
      </c>
      <c r="J17" s="195" t="str">
        <f t="shared" si="2"/>
        <v>Actual</v>
      </c>
      <c r="K17" s="195" t="str">
        <f t="shared" si="2"/>
        <v>Actual</v>
      </c>
      <c r="L17" s="195" t="str">
        <f t="shared" si="2"/>
        <v>Actual</v>
      </c>
      <c r="M17" s="195" t="str">
        <f t="shared" si="2"/>
        <v>Actual</v>
      </c>
      <c r="N17" s="195" t="str">
        <f t="shared" si="2"/>
        <v>Actual</v>
      </c>
      <c r="O17" s="195" t="str">
        <f t="shared" si="2"/>
        <v>Actual</v>
      </c>
      <c r="P17" s="195" t="str">
        <f t="shared" si="2"/>
        <v>Actual</v>
      </c>
      <c r="Q17" s="195" t="str">
        <f t="shared" si="2"/>
        <v>Actual</v>
      </c>
      <c r="R17" s="195" t="str">
        <f t="shared" si="2"/>
        <v>Actual</v>
      </c>
      <c r="S17" s="195" t="str">
        <f t="shared" si="2"/>
        <v>Actual</v>
      </c>
      <c r="T17" s="195" t="str">
        <f t="shared" si="2"/>
        <v>Actual</v>
      </c>
      <c r="U17" s="195" t="str">
        <f t="shared" si="2"/>
        <v>Actual</v>
      </c>
      <c r="V17" s="195" t="str">
        <f t="shared" si="2"/>
        <v>Actual</v>
      </c>
      <c r="W17" s="195" t="str">
        <f t="shared" si="2"/>
        <v>Actual</v>
      </c>
      <c r="X17" s="195" t="str">
        <f t="shared" si="2"/>
        <v>Actual</v>
      </c>
      <c r="Y17" s="195" t="str">
        <f t="shared" si="2"/>
        <v>Actual</v>
      </c>
      <c r="Z17" s="195" t="str">
        <f t="shared" si="2"/>
        <v>Actual</v>
      </c>
      <c r="AA17" s="196" t="s">
        <v>170</v>
      </c>
      <c r="AB17" s="245"/>
      <c r="AC17" s="128"/>
      <c r="AE17" s="39"/>
      <c r="AF17" s="39"/>
      <c r="AG17" s="39"/>
      <c r="AH17" s="39"/>
      <c r="AI17" s="39"/>
      <c r="AJ17" s="39"/>
      <c r="AK17" s="39"/>
    </row>
    <row r="18" spans="2:37" x14ac:dyDescent="0.2">
      <c r="B18" s="48"/>
      <c r="C18" s="43"/>
      <c r="D18" s="43"/>
      <c r="E18" s="43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8"/>
      <c r="AE18" s="39"/>
      <c r="AF18" s="39"/>
      <c r="AG18" s="39"/>
      <c r="AH18" s="39"/>
      <c r="AI18" s="39"/>
      <c r="AJ18" s="39"/>
      <c r="AK18" s="39"/>
    </row>
    <row r="19" spans="2:37" x14ac:dyDescent="0.2">
      <c r="B19" s="55" t="s">
        <v>36</v>
      </c>
      <c r="C19" s="43"/>
      <c r="D19" s="43"/>
      <c r="E19" s="43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33"/>
      <c r="AA19" s="116"/>
      <c r="AB19" s="116"/>
      <c r="AC19" s="128"/>
    </row>
    <row r="20" spans="2:37" ht="12" customHeight="1" x14ac:dyDescent="0.2">
      <c r="B20" s="48" t="str">
        <f>'2017 Determination - Revenue'!$B$28</f>
        <v>Border</v>
      </c>
      <c r="C20" s="29" t="s">
        <v>15</v>
      </c>
      <c r="D20" s="43"/>
      <c r="E20" s="43"/>
      <c r="F20" s="139">
        <v>169812</v>
      </c>
      <c r="G20" s="139">
        <v>187883</v>
      </c>
      <c r="H20" s="139">
        <v>164331</v>
      </c>
      <c r="I20" s="139">
        <v>180863</v>
      </c>
      <c r="J20" s="139">
        <v>231793</v>
      </c>
      <c r="K20" s="139">
        <v>182622</v>
      </c>
      <c r="L20" s="139">
        <v>123803</v>
      </c>
      <c r="M20" s="139">
        <v>100542.36</v>
      </c>
      <c r="N20" s="139">
        <v>107564</v>
      </c>
      <c r="O20" s="139">
        <v>134417</v>
      </c>
      <c r="P20" s="139">
        <v>131934</v>
      </c>
      <c r="Q20" s="139">
        <v>112269</v>
      </c>
      <c r="R20" s="139">
        <v>117688</v>
      </c>
      <c r="S20" s="139">
        <v>110391.2</v>
      </c>
      <c r="T20" s="139">
        <v>187024.6</v>
      </c>
      <c r="U20" s="139">
        <v>160312</v>
      </c>
      <c r="V20" s="139">
        <v>220696</v>
      </c>
      <c r="W20" s="139">
        <v>197467.59999999998</v>
      </c>
      <c r="X20" s="139">
        <v>41672.9</v>
      </c>
      <c r="Y20" s="139">
        <v>100403.8</v>
      </c>
      <c r="Z20" s="139">
        <v>232303.30000000002</v>
      </c>
      <c r="AA20" s="139">
        <v>150000</v>
      </c>
      <c r="AB20" s="116"/>
      <c r="AC20" s="128"/>
    </row>
    <row r="21" spans="2:37" x14ac:dyDescent="0.2">
      <c r="B21" s="48" t="str">
        <f>'2017 Determination - Revenue'!$B$29</f>
        <v>Gwydir</v>
      </c>
      <c r="C21" s="43" t="str">
        <f>C$20</f>
        <v>ML</v>
      </c>
      <c r="D21" s="43"/>
      <c r="E21" s="43"/>
      <c r="F21" s="139">
        <v>394616</v>
      </c>
      <c r="G21" s="139">
        <v>454913</v>
      </c>
      <c r="H21" s="139">
        <v>374762</v>
      </c>
      <c r="I21" s="139">
        <v>417837</v>
      </c>
      <c r="J21" s="139">
        <v>425315</v>
      </c>
      <c r="K21" s="139">
        <v>443145</v>
      </c>
      <c r="L21" s="139">
        <v>278986</v>
      </c>
      <c r="M21" s="139">
        <v>159250</v>
      </c>
      <c r="N21" s="139">
        <v>154840</v>
      </c>
      <c r="O21" s="139">
        <v>218496</v>
      </c>
      <c r="P21" s="139">
        <v>129467</v>
      </c>
      <c r="Q21" s="139">
        <v>79132</v>
      </c>
      <c r="R21" s="139">
        <v>143199</v>
      </c>
      <c r="S21" s="139">
        <v>46959</v>
      </c>
      <c r="T21" s="139">
        <v>245148</v>
      </c>
      <c r="U21" s="139">
        <v>200724.1</v>
      </c>
      <c r="V21" s="139">
        <v>428699.4</v>
      </c>
      <c r="W21" s="139">
        <v>408995.39999999997</v>
      </c>
      <c r="X21" s="139">
        <v>153199.6</v>
      </c>
      <c r="Y21" s="139">
        <v>85020.5</v>
      </c>
      <c r="Z21" s="139">
        <v>332713</v>
      </c>
      <c r="AA21" s="139">
        <v>310000</v>
      </c>
      <c r="AB21" s="116"/>
      <c r="AC21" s="128"/>
      <c r="AF21" s="148"/>
    </row>
    <row r="22" spans="2:37" x14ac:dyDescent="0.2">
      <c r="B22" s="48" t="str">
        <f>'2017 Determination - Revenue'!$B$30</f>
        <v>Namoi</v>
      </c>
      <c r="C22" s="43" t="str">
        <f t="shared" ref="C22:C33" si="3">C$20</f>
        <v>ML</v>
      </c>
      <c r="D22" s="43"/>
      <c r="E22" s="43"/>
      <c r="F22" s="139">
        <v>198965.3</v>
      </c>
      <c r="G22" s="139">
        <v>323274.03000000003</v>
      </c>
      <c r="H22" s="139">
        <v>216487.31</v>
      </c>
      <c r="I22" s="139">
        <v>246477.68</v>
      </c>
      <c r="J22" s="139">
        <v>248842.49</v>
      </c>
      <c r="K22" s="139">
        <v>280339.88</v>
      </c>
      <c r="L22" s="139">
        <v>236853.11</v>
      </c>
      <c r="M22" s="139">
        <v>80652.710000000006</v>
      </c>
      <c r="N22" s="139">
        <v>96650</v>
      </c>
      <c r="O22" s="139">
        <v>141325.29999999999</v>
      </c>
      <c r="P22" s="139">
        <v>66558.5</v>
      </c>
      <c r="Q22" s="139">
        <v>51211.6</v>
      </c>
      <c r="R22" s="139">
        <v>97482</v>
      </c>
      <c r="S22" s="139">
        <v>75152</v>
      </c>
      <c r="T22" s="139">
        <v>149958</v>
      </c>
      <c r="U22" s="139">
        <v>128271.7</v>
      </c>
      <c r="V22" s="139">
        <v>281246.7</v>
      </c>
      <c r="W22" s="139">
        <v>271541.50000000006</v>
      </c>
      <c r="X22" s="139">
        <v>66353.899999999994</v>
      </c>
      <c r="Y22" s="139">
        <v>38334.799999999996</v>
      </c>
      <c r="Z22" s="139">
        <v>213598</v>
      </c>
      <c r="AA22" s="139">
        <v>214000</v>
      </c>
      <c r="AB22" s="116"/>
      <c r="AC22" s="128"/>
      <c r="AF22" s="148"/>
    </row>
    <row r="23" spans="2:37" x14ac:dyDescent="0.2">
      <c r="B23" s="48" t="str">
        <f>'2017 Determination - Revenue'!$B$31</f>
        <v>Peel</v>
      </c>
      <c r="C23" s="43" t="str">
        <f t="shared" si="3"/>
        <v>ML</v>
      </c>
      <c r="D23" s="43"/>
      <c r="E23" s="43"/>
      <c r="F23" s="139">
        <v>5641</v>
      </c>
      <c r="G23" s="139">
        <v>16020</v>
      </c>
      <c r="H23" s="139">
        <v>5561</v>
      </c>
      <c r="I23" s="139">
        <v>7309</v>
      </c>
      <c r="J23" s="139">
        <v>10241</v>
      </c>
      <c r="K23" s="139">
        <v>14671</v>
      </c>
      <c r="L23" s="139">
        <v>21805</v>
      </c>
      <c r="M23" s="139">
        <v>13325</v>
      </c>
      <c r="N23" s="139">
        <v>15165</v>
      </c>
      <c r="O23" s="139">
        <v>14753</v>
      </c>
      <c r="P23" s="139">
        <v>9718</v>
      </c>
      <c r="Q23" s="139">
        <v>9080</v>
      </c>
      <c r="R23" s="139">
        <v>10183</v>
      </c>
      <c r="S23" s="139">
        <v>17517</v>
      </c>
      <c r="T23" s="139">
        <v>6915</v>
      </c>
      <c r="U23" s="139">
        <v>4218.7</v>
      </c>
      <c r="V23" s="139">
        <v>13317.1</v>
      </c>
      <c r="W23" s="139">
        <v>17412.7</v>
      </c>
      <c r="X23" s="139">
        <v>6052.9000000000005</v>
      </c>
      <c r="Y23" s="139">
        <v>11011.499999999998</v>
      </c>
      <c r="Z23" s="139">
        <v>10365.900000000001</v>
      </c>
      <c r="AA23" s="139">
        <v>15000</v>
      </c>
      <c r="AB23" s="116"/>
      <c r="AC23" s="128"/>
      <c r="AF23" s="148"/>
    </row>
    <row r="24" spans="2:37" x14ac:dyDescent="0.2">
      <c r="B24" s="48" t="str">
        <f>'2017 Determination - Revenue'!$B$32</f>
        <v>Lachlan</v>
      </c>
      <c r="C24" s="43" t="str">
        <f t="shared" si="3"/>
        <v>ML</v>
      </c>
      <c r="D24" s="43"/>
      <c r="E24" s="43"/>
      <c r="F24" s="139">
        <v>436000</v>
      </c>
      <c r="G24" s="139">
        <v>414000</v>
      </c>
      <c r="H24" s="139">
        <v>278000</v>
      </c>
      <c r="I24" s="139">
        <v>285000</v>
      </c>
      <c r="J24" s="139">
        <v>407000</v>
      </c>
      <c r="K24" s="139">
        <v>439572.22</v>
      </c>
      <c r="L24" s="139">
        <v>237252.44</v>
      </c>
      <c r="M24" s="139">
        <v>43509.97</v>
      </c>
      <c r="N24" s="139">
        <v>21164.7</v>
      </c>
      <c r="O24" s="139">
        <v>112435.93</v>
      </c>
      <c r="P24" s="139">
        <v>57260.200000000004</v>
      </c>
      <c r="Q24" s="139">
        <v>30776.5</v>
      </c>
      <c r="R24" s="139">
        <v>27797.599999999999</v>
      </c>
      <c r="S24" s="139">
        <v>11786.7</v>
      </c>
      <c r="T24" s="139">
        <v>85698.8</v>
      </c>
      <c r="U24" s="139">
        <v>212768.7</v>
      </c>
      <c r="V24" s="139">
        <v>394082.4</v>
      </c>
      <c r="W24" s="139">
        <v>248401.7</v>
      </c>
      <c r="X24" s="139">
        <v>178283.19999999998</v>
      </c>
      <c r="Y24" s="139">
        <v>199222.9</v>
      </c>
      <c r="Z24" s="139">
        <v>206757.9</v>
      </c>
      <c r="AA24" s="139">
        <v>306000</v>
      </c>
      <c r="AB24" s="116"/>
      <c r="AC24" s="128"/>
      <c r="AF24" s="148"/>
    </row>
    <row r="25" spans="2:37" x14ac:dyDescent="0.2">
      <c r="B25" s="48" t="str">
        <f>'2017 Determination - Revenue'!$B$33</f>
        <v>Macquarie</v>
      </c>
      <c r="C25" s="43" t="str">
        <f t="shared" si="3"/>
        <v>ML</v>
      </c>
      <c r="D25" s="43"/>
      <c r="E25" s="43"/>
      <c r="F25" s="139">
        <v>348937</v>
      </c>
      <c r="G25" s="139">
        <v>403989</v>
      </c>
      <c r="H25" s="139">
        <v>336071</v>
      </c>
      <c r="I25" s="139">
        <v>385748</v>
      </c>
      <c r="J25" s="139">
        <v>464188</v>
      </c>
      <c r="K25" s="139">
        <v>545663.54</v>
      </c>
      <c r="L25" s="139">
        <v>375914.33</v>
      </c>
      <c r="M25" s="139">
        <v>174168.35</v>
      </c>
      <c r="N25" s="139">
        <v>63783.6</v>
      </c>
      <c r="O25" s="139">
        <v>180723</v>
      </c>
      <c r="P25" s="139">
        <v>204745</v>
      </c>
      <c r="Q25" s="139">
        <v>30867</v>
      </c>
      <c r="R25" s="139">
        <v>65439</v>
      </c>
      <c r="S25" s="139">
        <v>73820</v>
      </c>
      <c r="T25" s="139">
        <v>203146</v>
      </c>
      <c r="U25" s="139">
        <v>296617.90000000002</v>
      </c>
      <c r="V25" s="139">
        <v>558856.4</v>
      </c>
      <c r="W25" s="139">
        <v>268934.09999999998</v>
      </c>
      <c r="X25" s="139">
        <v>90827.299999999988</v>
      </c>
      <c r="Y25" s="139">
        <v>109532.90000000001</v>
      </c>
      <c r="Z25" s="139">
        <v>232194</v>
      </c>
      <c r="AA25" s="139">
        <v>380000</v>
      </c>
      <c r="AB25" s="116"/>
      <c r="AC25" s="128"/>
      <c r="AF25" s="148"/>
    </row>
    <row r="26" spans="2:37" x14ac:dyDescent="0.2">
      <c r="B26" s="48" t="str">
        <f>'2017 Determination - Revenue'!$B$34</f>
        <v>Murray</v>
      </c>
      <c r="C26" s="43" t="str">
        <f t="shared" si="3"/>
        <v>ML</v>
      </c>
      <c r="D26" s="43"/>
      <c r="E26" s="43"/>
      <c r="F26" s="139">
        <v>2571846.7923076921</v>
      </c>
      <c r="G26" s="139">
        <v>2171575.7923076921</v>
      </c>
      <c r="H26" s="139">
        <v>2263389.7923076921</v>
      </c>
      <c r="I26" s="139">
        <v>1452484.7923076923</v>
      </c>
      <c r="J26" s="139">
        <v>2424464.7923076921</v>
      </c>
      <c r="K26" s="139">
        <v>2275610.7923076921</v>
      </c>
      <c r="L26" s="139">
        <v>1168771.7923076923</v>
      </c>
      <c r="M26" s="139">
        <v>1506283.7923076923</v>
      </c>
      <c r="N26" s="139">
        <v>1284123.7</v>
      </c>
      <c r="O26" s="139">
        <v>1692042.2</v>
      </c>
      <c r="P26" s="139">
        <v>602536.1</v>
      </c>
      <c r="Q26" s="139">
        <v>289197.3</v>
      </c>
      <c r="R26" s="139">
        <v>501322.4</v>
      </c>
      <c r="S26" s="139">
        <v>679952.1</v>
      </c>
      <c r="T26" s="139">
        <v>960984.60000000009</v>
      </c>
      <c r="U26" s="139">
        <v>1848920.7000000002</v>
      </c>
      <c r="V26" s="139">
        <v>2514563.6999999997</v>
      </c>
      <c r="W26" s="139">
        <v>2056232.1</v>
      </c>
      <c r="X26" s="139">
        <v>1764682.1</v>
      </c>
      <c r="Y26" s="139">
        <v>1103217.1000000001</v>
      </c>
      <c r="Z26" s="139">
        <v>1877178.8</v>
      </c>
      <c r="AA26" s="139">
        <v>1497000</v>
      </c>
      <c r="AB26" s="116"/>
      <c r="AC26" s="128"/>
      <c r="AF26" s="148"/>
    </row>
    <row r="27" spans="2:37" x14ac:dyDescent="0.2">
      <c r="B27" s="48" t="str">
        <f>'2017 Determination - Revenue'!$B$35</f>
        <v>Murrumbidgee</v>
      </c>
      <c r="C27" s="43" t="str">
        <f t="shared" si="3"/>
        <v>ML</v>
      </c>
      <c r="D27" s="43"/>
      <c r="E27" s="43"/>
      <c r="F27" s="139">
        <v>2685719.4076923076</v>
      </c>
      <c r="G27" s="139">
        <v>2516719.4076923076</v>
      </c>
      <c r="H27" s="139">
        <v>2193719.4076923076</v>
      </c>
      <c r="I27" s="139">
        <v>1787719.4076923076</v>
      </c>
      <c r="J27" s="139">
        <v>2272719.4076923076</v>
      </c>
      <c r="K27" s="139">
        <v>2328719.4076923076</v>
      </c>
      <c r="L27" s="139">
        <v>1804719.4076923076</v>
      </c>
      <c r="M27" s="139">
        <v>1729719.4076923076</v>
      </c>
      <c r="N27" s="139">
        <v>1534368.1</v>
      </c>
      <c r="O27" s="139">
        <v>1938642.7</v>
      </c>
      <c r="P27" s="139">
        <v>952257.7</v>
      </c>
      <c r="Q27" s="139">
        <v>566132.6</v>
      </c>
      <c r="R27" s="139">
        <v>929755.50000000012</v>
      </c>
      <c r="S27" s="139">
        <v>893689.5</v>
      </c>
      <c r="T27" s="139">
        <v>1364777.6</v>
      </c>
      <c r="U27" s="139">
        <v>1739421.3</v>
      </c>
      <c r="V27" s="139">
        <v>2353487.6</v>
      </c>
      <c r="W27" s="139">
        <v>1777486.6</v>
      </c>
      <c r="X27" s="139">
        <v>1883941.7999999998</v>
      </c>
      <c r="Y27" s="139">
        <v>1419128.5</v>
      </c>
      <c r="Z27" s="139">
        <v>1902516.4</v>
      </c>
      <c r="AA27" s="139">
        <v>1780000</v>
      </c>
      <c r="AB27" s="116"/>
      <c r="AC27" s="128"/>
      <c r="AF27" s="148"/>
    </row>
    <row r="28" spans="2:37" x14ac:dyDescent="0.2">
      <c r="B28" s="48" t="str">
        <f>'2017 Determination - Revenue'!$B$36</f>
        <v>Lowbidgee</v>
      </c>
      <c r="C28" s="43" t="str">
        <f t="shared" si="3"/>
        <v>ML</v>
      </c>
      <c r="D28" s="43"/>
      <c r="E28" s="43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>
        <v>92544</v>
      </c>
      <c r="W28" s="139">
        <v>8392</v>
      </c>
      <c r="X28" s="139">
        <v>82587</v>
      </c>
      <c r="Y28" s="139">
        <v>12840</v>
      </c>
      <c r="Z28" s="139">
        <v>59350</v>
      </c>
      <c r="AA28" s="139"/>
      <c r="AB28" s="116"/>
      <c r="AC28" s="128"/>
      <c r="AF28" s="148"/>
    </row>
    <row r="29" spans="2:37" x14ac:dyDescent="0.2">
      <c r="B29" s="48"/>
      <c r="C29" s="43"/>
      <c r="D29" s="43"/>
      <c r="E29" s="43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28"/>
    </row>
    <row r="30" spans="2:37" x14ac:dyDescent="0.2">
      <c r="B30" s="55" t="s">
        <v>40</v>
      </c>
      <c r="C30" s="43"/>
      <c r="D30" s="43"/>
      <c r="E30" s="43"/>
      <c r="F30" s="145" t="s">
        <v>171</v>
      </c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33"/>
      <c r="AA30" s="140"/>
      <c r="AB30" s="116"/>
      <c r="AC30" s="128"/>
    </row>
    <row r="31" spans="2:37" ht="12" customHeight="1" x14ac:dyDescent="0.2">
      <c r="B31" s="30" t="s">
        <v>44</v>
      </c>
      <c r="C31" s="29" t="s">
        <v>129</v>
      </c>
      <c r="D31" s="43"/>
      <c r="E31" s="43"/>
      <c r="F31" s="140"/>
      <c r="G31" s="140"/>
      <c r="H31" s="140"/>
      <c r="I31" s="140"/>
      <c r="J31" s="139">
        <v>2466600</v>
      </c>
      <c r="K31" s="139">
        <v>3215700</v>
      </c>
      <c r="L31" s="139">
        <v>2318514</v>
      </c>
      <c r="M31" s="139">
        <v>571786</v>
      </c>
      <c r="N31" s="139">
        <v>1496500</v>
      </c>
      <c r="O31" s="139">
        <v>962500</v>
      </c>
      <c r="P31" s="139">
        <v>2726200</v>
      </c>
      <c r="Q31" s="139">
        <v>1291700</v>
      </c>
      <c r="R31" s="139">
        <v>630600</v>
      </c>
      <c r="S31" s="139">
        <v>394900</v>
      </c>
      <c r="T31" s="139">
        <v>2046800</v>
      </c>
      <c r="U31" s="139">
        <v>612100</v>
      </c>
      <c r="V31" s="139">
        <v>1336800</v>
      </c>
      <c r="W31" s="139">
        <v>1643600</v>
      </c>
      <c r="X31" s="139">
        <v>755130</v>
      </c>
      <c r="Y31" s="139">
        <v>2179600</v>
      </c>
      <c r="Z31" s="139">
        <v>1539580</v>
      </c>
      <c r="AA31" s="139">
        <v>4680798.0000000009</v>
      </c>
      <c r="AB31" s="116"/>
      <c r="AC31" s="128"/>
    </row>
    <row r="32" spans="2:37" s="148" customFormat="1" ht="12" customHeight="1" x14ac:dyDescent="0.2">
      <c r="B32" s="30" t="s">
        <v>53</v>
      </c>
      <c r="C32" s="43" t="str">
        <f t="shared" si="3"/>
        <v>ML</v>
      </c>
      <c r="D32" s="43"/>
      <c r="E32" s="43"/>
      <c r="F32" s="139">
        <v>72</v>
      </c>
      <c r="G32" s="139">
        <v>54</v>
      </c>
      <c r="H32" s="139">
        <v>48</v>
      </c>
      <c r="I32" s="139">
        <v>50</v>
      </c>
      <c r="J32" s="139">
        <v>50</v>
      </c>
      <c r="K32" s="139">
        <v>50</v>
      </c>
      <c r="L32" s="139">
        <v>66</v>
      </c>
      <c r="M32" s="139">
        <v>60</v>
      </c>
      <c r="N32" s="139">
        <v>45</v>
      </c>
      <c r="O32" s="139">
        <v>64</v>
      </c>
      <c r="P32" s="139">
        <v>47</v>
      </c>
      <c r="Q32" s="139">
        <v>40</v>
      </c>
      <c r="R32" s="139">
        <v>42</v>
      </c>
      <c r="S32" s="139">
        <v>40</v>
      </c>
      <c r="T32" s="139">
        <v>30</v>
      </c>
      <c r="U32" s="139">
        <v>36</v>
      </c>
      <c r="V32" s="139">
        <v>41</v>
      </c>
      <c r="W32" s="139">
        <v>54</v>
      </c>
      <c r="X32" s="139">
        <v>65</v>
      </c>
      <c r="Y32" s="139">
        <v>51.097000000000001</v>
      </c>
      <c r="Z32" s="139">
        <v>70.8</v>
      </c>
      <c r="AA32" s="139">
        <v>21.686400000000003</v>
      </c>
      <c r="AB32" s="116"/>
      <c r="AC32" s="128"/>
      <c r="AD32" s="39"/>
    </row>
    <row r="33" spans="1:30" x14ac:dyDescent="0.2">
      <c r="B33" s="30" t="s">
        <v>58</v>
      </c>
      <c r="C33" s="43" t="str">
        <f t="shared" si="3"/>
        <v>ML</v>
      </c>
      <c r="D33" s="43"/>
      <c r="E33" s="43"/>
      <c r="F33" s="139">
        <v>186</v>
      </c>
      <c r="G33" s="139">
        <v>138</v>
      </c>
      <c r="H33" s="139">
        <v>123</v>
      </c>
      <c r="I33" s="139">
        <v>129</v>
      </c>
      <c r="J33" s="139">
        <v>129</v>
      </c>
      <c r="K33" s="139">
        <v>129</v>
      </c>
      <c r="L33" s="139">
        <v>170</v>
      </c>
      <c r="M33" s="139">
        <v>155</v>
      </c>
      <c r="N33" s="139">
        <v>116</v>
      </c>
      <c r="O33" s="139">
        <v>164</v>
      </c>
      <c r="P33" s="139">
        <v>112</v>
      </c>
      <c r="Q33" s="139">
        <v>110</v>
      </c>
      <c r="R33" s="139">
        <v>104</v>
      </c>
      <c r="S33" s="139">
        <v>88</v>
      </c>
      <c r="T33" s="139">
        <v>97</v>
      </c>
      <c r="U33" s="139">
        <v>92</v>
      </c>
      <c r="V33" s="139">
        <v>65</v>
      </c>
      <c r="W33" s="139">
        <v>66</v>
      </c>
      <c r="X33" s="139">
        <v>80</v>
      </c>
      <c r="Y33" s="139">
        <v>73.823999999999998</v>
      </c>
      <c r="Z33" s="139">
        <v>65.659000000000006</v>
      </c>
      <c r="AA33" s="139">
        <v>41.641220000000004</v>
      </c>
      <c r="AB33" s="116"/>
      <c r="AC33" s="128"/>
    </row>
    <row r="34" spans="1:30" x14ac:dyDescent="0.2">
      <c r="B34" s="50"/>
      <c r="C34" s="41"/>
      <c r="D34" s="41"/>
      <c r="E34" s="41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1:30" x14ac:dyDescent="0.2">
      <c r="A35" s="43"/>
      <c r="B35" s="43"/>
      <c r="C35" s="43"/>
      <c r="D35" s="43"/>
      <c r="E35" s="43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</row>
    <row r="36" spans="1:30" s="148" customFormat="1" x14ac:dyDescent="0.2">
      <c r="A36" s="43"/>
      <c r="B36" s="43"/>
      <c r="C36" s="43"/>
      <c r="D36" s="43"/>
      <c r="E36" s="43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39"/>
    </row>
    <row r="37" spans="1:30" x14ac:dyDescent="0.2">
      <c r="A37" s="43"/>
      <c r="B37" s="38" t="s">
        <v>63</v>
      </c>
      <c r="C37" s="43"/>
      <c r="D37" s="43"/>
      <c r="E37" s="43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</row>
    <row r="38" spans="1:30" x14ac:dyDescent="0.2">
      <c r="B38" s="71" t="str">
        <f>'2017 Determination - Revenue'!B$16</f>
        <v>Financial year</v>
      </c>
      <c r="C38" s="46" t="str">
        <f>'2017 Determination - Revenue'!C$23</f>
        <v>Units</v>
      </c>
      <c r="D38" s="46"/>
      <c r="E38" s="46"/>
      <c r="F38" s="173" t="str">
        <f t="shared" ref="F38:Z38" si="4">F$16</f>
        <v>1996-97</v>
      </c>
      <c r="G38" s="173" t="str">
        <f t="shared" si="4"/>
        <v>1997-98</v>
      </c>
      <c r="H38" s="173" t="str">
        <f t="shared" si="4"/>
        <v>1998-99</v>
      </c>
      <c r="I38" s="173" t="str">
        <f t="shared" si="4"/>
        <v>1999-00</v>
      </c>
      <c r="J38" s="173" t="str">
        <f t="shared" si="4"/>
        <v>2000-01</v>
      </c>
      <c r="K38" s="173" t="str">
        <f t="shared" si="4"/>
        <v>2001-02</v>
      </c>
      <c r="L38" s="173" t="str">
        <f t="shared" si="4"/>
        <v>2002-03</v>
      </c>
      <c r="M38" s="173" t="str">
        <f t="shared" si="4"/>
        <v>2003-04</v>
      </c>
      <c r="N38" s="173" t="str">
        <f t="shared" si="4"/>
        <v>2004-05</v>
      </c>
      <c r="O38" s="173" t="str">
        <f t="shared" si="4"/>
        <v>2005-06</v>
      </c>
      <c r="P38" s="173" t="str">
        <f t="shared" si="4"/>
        <v>2006-07</v>
      </c>
      <c r="Q38" s="173" t="str">
        <f t="shared" si="4"/>
        <v>2007-08</v>
      </c>
      <c r="R38" s="173" t="str">
        <f t="shared" si="4"/>
        <v>2008-09</v>
      </c>
      <c r="S38" s="173" t="str">
        <f t="shared" si="4"/>
        <v>2009-10</v>
      </c>
      <c r="T38" s="173" t="str">
        <f t="shared" si="4"/>
        <v>2010-11</v>
      </c>
      <c r="U38" s="173" t="str">
        <f t="shared" si="4"/>
        <v>2011-12</v>
      </c>
      <c r="V38" s="173" t="str">
        <f t="shared" si="4"/>
        <v>2012-13</v>
      </c>
      <c r="W38" s="173" t="str">
        <f t="shared" si="4"/>
        <v>2013-14</v>
      </c>
      <c r="X38" s="173" t="str">
        <f t="shared" si="4"/>
        <v>2014-15</v>
      </c>
      <c r="Y38" s="173" t="str">
        <f t="shared" si="4"/>
        <v>2015-16</v>
      </c>
      <c r="Z38" s="173" t="str">
        <f t="shared" si="4"/>
        <v>2016-17</v>
      </c>
      <c r="AA38" s="173" t="str">
        <f>AA$16</f>
        <v>2017-18</v>
      </c>
      <c r="AB38" s="173"/>
      <c r="AC38" s="127"/>
    </row>
    <row r="39" spans="1:30" x14ac:dyDescent="0.2">
      <c r="B39" s="55"/>
      <c r="C39" s="43"/>
      <c r="D39" s="43"/>
      <c r="E39" s="43"/>
      <c r="F39" s="197" t="str">
        <f t="shared" ref="F39:AA39" si="5">F$17</f>
        <v>Actual</v>
      </c>
      <c r="G39" s="197" t="str">
        <f t="shared" si="5"/>
        <v>Actual</v>
      </c>
      <c r="H39" s="197" t="str">
        <f t="shared" si="5"/>
        <v>Actual</v>
      </c>
      <c r="I39" s="197" t="str">
        <f t="shared" si="5"/>
        <v>Actual</v>
      </c>
      <c r="J39" s="197" t="str">
        <f t="shared" si="5"/>
        <v>Actual</v>
      </c>
      <c r="K39" s="197" t="str">
        <f t="shared" si="5"/>
        <v>Actual</v>
      </c>
      <c r="L39" s="197" t="str">
        <f t="shared" si="5"/>
        <v>Actual</v>
      </c>
      <c r="M39" s="197" t="str">
        <f t="shared" si="5"/>
        <v>Actual</v>
      </c>
      <c r="N39" s="197" t="str">
        <f t="shared" si="5"/>
        <v>Actual</v>
      </c>
      <c r="O39" s="197" t="str">
        <f t="shared" si="5"/>
        <v>Actual</v>
      </c>
      <c r="P39" s="197" t="str">
        <f t="shared" si="5"/>
        <v>Actual</v>
      </c>
      <c r="Q39" s="197" t="str">
        <f t="shared" si="5"/>
        <v>Actual</v>
      </c>
      <c r="R39" s="197" t="str">
        <f t="shared" si="5"/>
        <v>Actual</v>
      </c>
      <c r="S39" s="197" t="str">
        <f t="shared" si="5"/>
        <v>Actual</v>
      </c>
      <c r="T39" s="197" t="str">
        <f t="shared" si="5"/>
        <v>Actual</v>
      </c>
      <c r="U39" s="197" t="str">
        <f t="shared" si="5"/>
        <v>Actual</v>
      </c>
      <c r="V39" s="197" t="str">
        <f t="shared" si="5"/>
        <v>Actual</v>
      </c>
      <c r="W39" s="197" t="str">
        <f t="shared" si="5"/>
        <v>Actual</v>
      </c>
      <c r="X39" s="197" t="str">
        <f t="shared" si="5"/>
        <v>Actual</v>
      </c>
      <c r="Y39" s="197" t="str">
        <f t="shared" si="5"/>
        <v>Actual</v>
      </c>
      <c r="Z39" s="197" t="str">
        <f t="shared" si="5"/>
        <v>Actual</v>
      </c>
      <c r="AA39" s="197" t="str">
        <f t="shared" si="5"/>
        <v>March YTD</v>
      </c>
      <c r="AB39" s="126"/>
      <c r="AC39" s="128"/>
    </row>
    <row r="40" spans="1:30" x14ac:dyDescent="0.2">
      <c r="B40" s="55" t="s">
        <v>30</v>
      </c>
      <c r="C40" s="43"/>
      <c r="D40" s="43"/>
      <c r="E40" s="43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40"/>
      <c r="Z40" s="133"/>
      <c r="AA40" s="116"/>
      <c r="AB40" s="116"/>
      <c r="AC40" s="128"/>
    </row>
    <row r="41" spans="1:30" ht="12" customHeight="1" x14ac:dyDescent="0.2">
      <c r="B41" s="48" t="str">
        <f>'2017 Determination - Revenue'!$B$28</f>
        <v>Border</v>
      </c>
      <c r="C41" s="43" t="str">
        <f t="shared" ref="C41:C49" si="6">C$20</f>
        <v>ML</v>
      </c>
      <c r="D41" s="43"/>
      <c r="E41" s="43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>
        <v>263238</v>
      </c>
      <c r="Y41" s="139">
        <v>263238</v>
      </c>
      <c r="Z41" s="139">
        <v>263218</v>
      </c>
      <c r="AA41" s="139">
        <v>263281</v>
      </c>
      <c r="AB41" s="116"/>
      <c r="AC41" s="128"/>
    </row>
    <row r="42" spans="1:30" x14ac:dyDescent="0.2">
      <c r="B42" s="48" t="str">
        <f>'2017 Determination - Revenue'!$B$29</f>
        <v>Gwydir</v>
      </c>
      <c r="C42" s="43" t="str">
        <f t="shared" si="6"/>
        <v>ML</v>
      </c>
      <c r="D42" s="43"/>
      <c r="E42" s="43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>
        <v>509665</v>
      </c>
      <c r="Y42" s="139">
        <v>509665</v>
      </c>
      <c r="Z42" s="139">
        <v>509665</v>
      </c>
      <c r="AA42" s="139">
        <v>509665</v>
      </c>
      <c r="AB42" s="116"/>
      <c r="AC42" s="128"/>
    </row>
    <row r="43" spans="1:30" x14ac:dyDescent="0.2">
      <c r="B43" s="48" t="str">
        <f>'2017 Determination - Revenue'!$B$30</f>
        <v>Namoi</v>
      </c>
      <c r="C43" s="43" t="str">
        <f t="shared" si="6"/>
        <v>ML</v>
      </c>
      <c r="D43" s="43"/>
      <c r="E43" s="43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>
        <v>256211.5</v>
      </c>
      <c r="Y43" s="139">
        <v>256211.5</v>
      </c>
      <c r="Z43" s="139">
        <v>256211.5</v>
      </c>
      <c r="AA43" s="139">
        <v>256528.7</v>
      </c>
      <c r="AB43" s="116"/>
      <c r="AC43" s="128"/>
    </row>
    <row r="44" spans="1:30" x14ac:dyDescent="0.2">
      <c r="B44" s="48" t="str">
        <f>'2017 Determination - Revenue'!$B$31</f>
        <v>Peel</v>
      </c>
      <c r="C44" s="43" t="str">
        <f t="shared" si="6"/>
        <v>ML</v>
      </c>
      <c r="D44" s="43"/>
      <c r="E44" s="43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>
        <v>30428</v>
      </c>
      <c r="Y44" s="139">
        <v>30428</v>
      </c>
      <c r="Z44" s="139">
        <v>30428</v>
      </c>
      <c r="AA44" s="139">
        <v>29635</v>
      </c>
      <c r="AB44" s="116"/>
      <c r="AC44" s="128"/>
    </row>
    <row r="45" spans="1:30" x14ac:dyDescent="0.2">
      <c r="B45" s="48" t="str">
        <f>'2017 Determination - Revenue'!$B$32</f>
        <v>Lachlan</v>
      </c>
      <c r="C45" s="43" t="str">
        <f t="shared" si="6"/>
        <v>ML</v>
      </c>
      <c r="D45" s="43"/>
      <c r="E45" s="43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>
        <v>633346.39999999991</v>
      </c>
      <c r="Y45" s="139">
        <v>633166.39999999991</v>
      </c>
      <c r="Z45" s="139">
        <v>633166.4</v>
      </c>
      <c r="AA45" s="139">
        <v>633166.4</v>
      </c>
      <c r="AB45" s="116"/>
      <c r="AC45" s="128"/>
    </row>
    <row r="46" spans="1:30" x14ac:dyDescent="0.2">
      <c r="B46" s="48" t="str">
        <f>'2017 Determination - Revenue'!$B$33</f>
        <v>Macquarie</v>
      </c>
      <c r="C46" s="43" t="str">
        <f t="shared" si="6"/>
        <v>ML</v>
      </c>
      <c r="D46" s="43"/>
      <c r="E46" s="43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>
        <v>632466</v>
      </c>
      <c r="Y46" s="139">
        <v>632466.10000000009</v>
      </c>
      <c r="Z46" s="139">
        <v>632466.1</v>
      </c>
      <c r="AA46" s="139">
        <v>632466.1</v>
      </c>
      <c r="AB46" s="116"/>
      <c r="AC46" s="128"/>
    </row>
    <row r="47" spans="1:30" x14ac:dyDescent="0.2">
      <c r="B47" s="48" t="str">
        <f>'2017 Determination - Revenue'!$B$34</f>
        <v>Murray</v>
      </c>
      <c r="C47" s="43" t="str">
        <f t="shared" si="6"/>
        <v>ML</v>
      </c>
      <c r="D47" s="43"/>
      <c r="E47" s="43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>
        <v>2081289.0999999999</v>
      </c>
      <c r="Y47" s="139">
        <v>2083271.0999999999</v>
      </c>
      <c r="Z47" s="139">
        <v>2083271.1</v>
      </c>
      <c r="AA47" s="139">
        <v>2083271.1</v>
      </c>
      <c r="AB47" s="116"/>
      <c r="AC47" s="128"/>
    </row>
    <row r="48" spans="1:30" x14ac:dyDescent="0.2">
      <c r="B48" s="48" t="str">
        <f>'2017 Determination - Revenue'!$B$35</f>
        <v>Murrumbidgee</v>
      </c>
      <c r="C48" s="43" t="str">
        <f t="shared" si="6"/>
        <v>ML</v>
      </c>
      <c r="D48" s="43"/>
      <c r="E48" s="43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>
        <v>2267962.6</v>
      </c>
      <c r="Y48" s="139">
        <v>2267962.6000000006</v>
      </c>
      <c r="Z48" s="139">
        <v>2267962.6</v>
      </c>
      <c r="AA48" s="139">
        <v>2267962.6</v>
      </c>
      <c r="AB48" s="116"/>
      <c r="AC48" s="128"/>
    </row>
    <row r="49" spans="2:29" x14ac:dyDescent="0.2">
      <c r="B49" s="48" t="str">
        <f>'2017 Determination - Revenue'!$B$36</f>
        <v>Lowbidgee</v>
      </c>
      <c r="C49" s="43" t="str">
        <f t="shared" si="6"/>
        <v>ML</v>
      </c>
      <c r="D49" s="43"/>
      <c r="E49" s="43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16"/>
      <c r="AC49" s="128"/>
    </row>
    <row r="50" spans="2:29" x14ac:dyDescent="0.2">
      <c r="B50" s="48"/>
      <c r="C50" s="43"/>
      <c r="D50" s="43"/>
      <c r="E50" s="43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40"/>
      <c r="Z50" s="116"/>
      <c r="AA50" s="116"/>
      <c r="AB50" s="116"/>
      <c r="AC50" s="128"/>
    </row>
    <row r="51" spans="2:29" x14ac:dyDescent="0.2">
      <c r="B51" s="55" t="s">
        <v>31</v>
      </c>
      <c r="C51" s="43"/>
      <c r="D51" s="43"/>
      <c r="E51" s="43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40"/>
      <c r="Z51" s="133"/>
      <c r="AA51" s="116"/>
      <c r="AB51" s="116"/>
      <c r="AC51" s="128"/>
    </row>
    <row r="52" spans="2:29" ht="12" customHeight="1" x14ac:dyDescent="0.2">
      <c r="B52" s="48" t="str">
        <f>'2017 Determination - Revenue'!$B$28</f>
        <v>Border</v>
      </c>
      <c r="C52" s="43" t="str">
        <f t="shared" ref="C52:C60" si="7">C$20</f>
        <v>ML</v>
      </c>
      <c r="D52" s="43"/>
      <c r="E52" s="43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>
        <v>3122</v>
      </c>
      <c r="Y52" s="139">
        <v>3121</v>
      </c>
      <c r="Z52" s="139">
        <v>3141</v>
      </c>
      <c r="AA52" s="139">
        <v>3141</v>
      </c>
      <c r="AB52" s="116"/>
      <c r="AC52" s="128"/>
    </row>
    <row r="53" spans="2:29" x14ac:dyDescent="0.2">
      <c r="B53" s="48" t="str">
        <f>'2017 Determination - Revenue'!$B$29</f>
        <v>Gwydir</v>
      </c>
      <c r="C53" s="43" t="str">
        <f t="shared" si="7"/>
        <v>ML</v>
      </c>
      <c r="D53" s="43"/>
      <c r="E53" s="43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>
        <v>26839.9</v>
      </c>
      <c r="Y53" s="139">
        <v>26919.9</v>
      </c>
      <c r="Z53" s="139">
        <v>26919.9</v>
      </c>
      <c r="AA53" s="139">
        <v>26919.9</v>
      </c>
      <c r="AB53" s="116"/>
      <c r="AC53" s="128"/>
    </row>
    <row r="54" spans="2:29" x14ac:dyDescent="0.2">
      <c r="B54" s="48" t="str">
        <f>'2017 Determination - Revenue'!$B$30</f>
        <v>Namoi</v>
      </c>
      <c r="C54" s="43" t="str">
        <f t="shared" si="7"/>
        <v>ML</v>
      </c>
      <c r="D54" s="43"/>
      <c r="E54" s="43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>
        <v>8882</v>
      </c>
      <c r="Y54" s="139">
        <v>8866</v>
      </c>
      <c r="Z54" s="139">
        <v>8866</v>
      </c>
      <c r="AA54" s="139">
        <v>8866</v>
      </c>
      <c r="AB54" s="116"/>
      <c r="AC54" s="128"/>
    </row>
    <row r="55" spans="2:29" x14ac:dyDescent="0.2">
      <c r="B55" s="48" t="str">
        <f>'2017 Determination - Revenue'!$B$31</f>
        <v>Peel</v>
      </c>
      <c r="C55" s="43" t="str">
        <f t="shared" si="7"/>
        <v>ML</v>
      </c>
      <c r="D55" s="43"/>
      <c r="E55" s="43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>
        <v>17367</v>
      </c>
      <c r="Y55" s="139">
        <v>17367</v>
      </c>
      <c r="Z55" s="139">
        <v>17367</v>
      </c>
      <c r="AA55" s="139">
        <v>17367</v>
      </c>
      <c r="AB55" s="116"/>
      <c r="AC55" s="128"/>
    </row>
    <row r="56" spans="2:29" x14ac:dyDescent="0.2">
      <c r="B56" s="48" t="str">
        <f>'2017 Determination - Revenue'!$B$32</f>
        <v>Lachlan</v>
      </c>
      <c r="C56" s="43" t="str">
        <f t="shared" si="7"/>
        <v>ML</v>
      </c>
      <c r="D56" s="43"/>
      <c r="E56" s="43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>
        <v>57512.000000000007</v>
      </c>
      <c r="Y56" s="139">
        <v>57304</v>
      </c>
      <c r="Z56" s="139">
        <v>57301</v>
      </c>
      <c r="AA56" s="139">
        <v>57302</v>
      </c>
      <c r="AB56" s="116"/>
      <c r="AC56" s="128"/>
    </row>
    <row r="57" spans="2:29" x14ac:dyDescent="0.2">
      <c r="B57" s="48" t="str">
        <f>'2017 Determination - Revenue'!$B$33</f>
        <v>Macquarie</v>
      </c>
      <c r="C57" s="43" t="str">
        <f t="shared" si="7"/>
        <v>ML</v>
      </c>
      <c r="D57" s="43"/>
      <c r="E57" s="43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>
        <v>42720.5</v>
      </c>
      <c r="Y57" s="139">
        <v>42712</v>
      </c>
      <c r="Z57" s="139">
        <v>42688</v>
      </c>
      <c r="AA57" s="139">
        <v>42688</v>
      </c>
      <c r="AB57" s="116"/>
      <c r="AC57" s="128"/>
    </row>
    <row r="58" spans="2:29" x14ac:dyDescent="0.2">
      <c r="B58" s="48" t="str">
        <f>'2017 Determination - Revenue'!$B$34</f>
        <v>Murray</v>
      </c>
      <c r="C58" s="43" t="str">
        <f t="shared" si="7"/>
        <v>ML</v>
      </c>
      <c r="D58" s="43"/>
      <c r="E58" s="43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>
        <v>261515</v>
      </c>
      <c r="Y58" s="139">
        <v>263603.09999999998</v>
      </c>
      <c r="Z58" s="139">
        <v>263590.09999999998</v>
      </c>
      <c r="AA58" s="139">
        <v>263555.09999999998</v>
      </c>
      <c r="AB58" s="116"/>
      <c r="AC58" s="128"/>
    </row>
    <row r="59" spans="2:29" x14ac:dyDescent="0.2">
      <c r="B59" s="48" t="str">
        <f>'2017 Determination - Revenue'!$B$35</f>
        <v>Murrumbidgee</v>
      </c>
      <c r="C59" s="43" t="str">
        <f t="shared" si="7"/>
        <v>ML</v>
      </c>
      <c r="D59" s="43"/>
      <c r="E59" s="43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>
        <v>438310.60000000009</v>
      </c>
      <c r="Y59" s="139">
        <v>438327.60000000009</v>
      </c>
      <c r="Z59" s="139">
        <v>438327.6</v>
      </c>
      <c r="AA59" s="139">
        <v>438327.6</v>
      </c>
      <c r="AB59" s="116"/>
      <c r="AC59" s="128"/>
    </row>
    <row r="60" spans="2:29" x14ac:dyDescent="0.2">
      <c r="B60" s="48" t="str">
        <f>'2017 Determination - Revenue'!$B$36</f>
        <v>Lowbidgee</v>
      </c>
      <c r="C60" s="43" t="str">
        <f t="shared" si="7"/>
        <v>ML</v>
      </c>
      <c r="D60" s="43"/>
      <c r="E60" s="43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16"/>
      <c r="AC60" s="128"/>
    </row>
    <row r="61" spans="2:29" x14ac:dyDescent="0.2">
      <c r="B61" s="48"/>
      <c r="C61" s="43"/>
      <c r="D61" s="43"/>
      <c r="E61" s="43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28"/>
    </row>
    <row r="62" spans="2:29" x14ac:dyDescent="0.2">
      <c r="B62" s="55" t="s">
        <v>32</v>
      </c>
      <c r="C62" s="43"/>
      <c r="D62" s="43"/>
      <c r="E62" s="43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40"/>
      <c r="Z62" s="133"/>
      <c r="AA62" s="116"/>
      <c r="AB62" s="116"/>
      <c r="AC62" s="128"/>
    </row>
    <row r="63" spans="2:29" ht="12" customHeight="1" x14ac:dyDescent="0.2">
      <c r="B63" s="48" t="str">
        <f>'2017 Determination - Revenue'!$B$28</f>
        <v>Border</v>
      </c>
      <c r="C63" s="43" t="str">
        <f t="shared" ref="C63:C71" si="8">C$20</f>
        <v>ML</v>
      </c>
      <c r="D63" s="43"/>
      <c r="E63" s="43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>
        <v>0</v>
      </c>
      <c r="Y63" s="139">
        <v>0</v>
      </c>
      <c r="Z63" s="139">
        <v>0</v>
      </c>
      <c r="AA63" s="139">
        <v>0</v>
      </c>
      <c r="AB63" s="116"/>
      <c r="AC63" s="128"/>
    </row>
    <row r="64" spans="2:29" x14ac:dyDescent="0.2">
      <c r="B64" s="48" t="str">
        <f>'2017 Determination - Revenue'!$B$29</f>
        <v>Gwydir</v>
      </c>
      <c r="C64" s="43" t="str">
        <f t="shared" si="8"/>
        <v>ML</v>
      </c>
      <c r="D64" s="43"/>
      <c r="E64" s="43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>
        <v>0</v>
      </c>
      <c r="Y64" s="139">
        <v>0</v>
      </c>
      <c r="Z64" s="139">
        <v>0</v>
      </c>
      <c r="AA64" s="139">
        <v>0</v>
      </c>
      <c r="AB64" s="116"/>
      <c r="AC64" s="128"/>
    </row>
    <row r="65" spans="2:32" x14ac:dyDescent="0.2">
      <c r="B65" s="48" t="str">
        <f>'2017 Determination - Revenue'!$B$30</f>
        <v>Namoi</v>
      </c>
      <c r="C65" s="43" t="str">
        <f t="shared" si="8"/>
        <v>ML</v>
      </c>
      <c r="D65" s="43"/>
      <c r="E65" s="43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>
        <v>0</v>
      </c>
      <c r="Y65" s="139">
        <v>0</v>
      </c>
      <c r="Z65" s="139">
        <v>0</v>
      </c>
      <c r="AA65" s="139">
        <v>0</v>
      </c>
      <c r="AB65" s="116"/>
      <c r="AC65" s="128"/>
    </row>
    <row r="66" spans="2:32" x14ac:dyDescent="0.2">
      <c r="B66" s="48" t="str">
        <f>'2017 Determination - Revenue'!$B$31</f>
        <v>Peel</v>
      </c>
      <c r="C66" s="43" t="str">
        <f t="shared" si="8"/>
        <v>ML</v>
      </c>
      <c r="D66" s="43"/>
      <c r="E66" s="43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>
        <v>0</v>
      </c>
      <c r="Y66" s="139">
        <v>0</v>
      </c>
      <c r="Z66" s="139">
        <v>0</v>
      </c>
      <c r="AA66" s="139">
        <v>0</v>
      </c>
      <c r="AB66" s="116"/>
      <c r="AC66" s="128"/>
    </row>
    <row r="67" spans="2:32" x14ac:dyDescent="0.2">
      <c r="B67" s="48" t="str">
        <f>'2017 Determination - Revenue'!$B$32</f>
        <v>Lachlan</v>
      </c>
      <c r="C67" s="43" t="str">
        <f t="shared" si="8"/>
        <v>ML</v>
      </c>
      <c r="D67" s="43"/>
      <c r="E67" s="43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>
        <v>0</v>
      </c>
      <c r="Y67" s="139">
        <v>0</v>
      </c>
      <c r="Z67" s="139">
        <v>0</v>
      </c>
      <c r="AA67" s="139">
        <v>0</v>
      </c>
      <c r="AB67" s="116"/>
      <c r="AC67" s="128"/>
    </row>
    <row r="68" spans="2:32" x14ac:dyDescent="0.2">
      <c r="B68" s="48" t="str">
        <f>'2017 Determination - Revenue'!$B$33</f>
        <v>Macquarie</v>
      </c>
      <c r="C68" s="43" t="str">
        <f t="shared" si="8"/>
        <v>ML</v>
      </c>
      <c r="D68" s="43"/>
      <c r="E68" s="43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>
        <v>0</v>
      </c>
      <c r="Y68" s="139">
        <v>0</v>
      </c>
      <c r="Z68" s="139">
        <v>0</v>
      </c>
      <c r="AA68" s="139">
        <v>0</v>
      </c>
      <c r="AB68" s="116"/>
      <c r="AC68" s="128"/>
    </row>
    <row r="69" spans="2:32" x14ac:dyDescent="0.2">
      <c r="B69" s="48" t="str">
        <f>'2017 Determination - Revenue'!$B$34</f>
        <v>Murray</v>
      </c>
      <c r="C69" s="43" t="str">
        <f t="shared" si="8"/>
        <v>ML</v>
      </c>
      <c r="D69" s="43"/>
      <c r="E69" s="43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>
        <v>0</v>
      </c>
      <c r="Y69" s="139">
        <v>0</v>
      </c>
      <c r="Z69" s="139">
        <v>0</v>
      </c>
      <c r="AA69" s="139">
        <v>0</v>
      </c>
      <c r="AB69" s="116"/>
      <c r="AC69" s="128"/>
    </row>
    <row r="70" spans="2:32" x14ac:dyDescent="0.2">
      <c r="B70" s="48" t="str">
        <f>'2017 Determination - Revenue'!$B$35</f>
        <v>Murrumbidgee</v>
      </c>
      <c r="C70" s="43" t="str">
        <f t="shared" si="8"/>
        <v>ML</v>
      </c>
      <c r="D70" s="43"/>
      <c r="E70" s="43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>
        <v>0</v>
      </c>
      <c r="Y70" s="139">
        <v>0</v>
      </c>
      <c r="Z70" s="139">
        <v>0</v>
      </c>
      <c r="AA70" s="139">
        <v>0</v>
      </c>
      <c r="AB70" s="116"/>
      <c r="AC70" s="128"/>
    </row>
    <row r="71" spans="2:32" x14ac:dyDescent="0.2">
      <c r="B71" s="48" t="str">
        <f>'2017 Determination - Revenue'!$B$36</f>
        <v>Lowbidgee</v>
      </c>
      <c r="C71" s="43" t="str">
        <f t="shared" si="8"/>
        <v>ML</v>
      </c>
      <c r="D71" s="43"/>
      <c r="E71" s="43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>
        <v>747000</v>
      </c>
      <c r="Y71" s="139">
        <v>747000</v>
      </c>
      <c r="Z71" s="139">
        <v>747000</v>
      </c>
      <c r="AA71" s="139">
        <v>747000</v>
      </c>
      <c r="AB71" s="116"/>
      <c r="AC71" s="128"/>
    </row>
    <row r="72" spans="2:32" x14ac:dyDescent="0.2">
      <c r="B72" s="50"/>
      <c r="C72" s="41"/>
      <c r="D72" s="41"/>
      <c r="E72" s="41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1"/>
    </row>
    <row r="73" spans="2:32" x14ac:dyDescent="0.2">
      <c r="AF73" s="148"/>
    </row>
    <row r="74" spans="2:32" s="148" customFormat="1" x14ac:dyDescent="0.2"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2:32" x14ac:dyDescent="0.2">
      <c r="B75" s="38" t="s">
        <v>130</v>
      </c>
      <c r="AF75" s="148"/>
    </row>
    <row r="76" spans="2:32" x14ac:dyDescent="0.2">
      <c r="B76" s="71" t="str">
        <f>'2017 Determination - Revenue'!B$16</f>
        <v>Financial year</v>
      </c>
      <c r="C76" s="46" t="str">
        <f>'2017 Determination - Revenue'!C$23</f>
        <v>Units</v>
      </c>
      <c r="D76" s="46"/>
      <c r="E76" s="46"/>
      <c r="F76" s="173" t="str">
        <f t="shared" ref="F76:Z76" si="9">F$16</f>
        <v>1996-97</v>
      </c>
      <c r="G76" s="173" t="str">
        <f t="shared" si="9"/>
        <v>1997-98</v>
      </c>
      <c r="H76" s="173" t="str">
        <f t="shared" si="9"/>
        <v>1998-99</v>
      </c>
      <c r="I76" s="173" t="str">
        <f t="shared" si="9"/>
        <v>1999-00</v>
      </c>
      <c r="J76" s="173" t="str">
        <f t="shared" si="9"/>
        <v>2000-01</v>
      </c>
      <c r="K76" s="173" t="str">
        <f t="shared" si="9"/>
        <v>2001-02</v>
      </c>
      <c r="L76" s="173" t="str">
        <f t="shared" si="9"/>
        <v>2002-03</v>
      </c>
      <c r="M76" s="173" t="str">
        <f t="shared" si="9"/>
        <v>2003-04</v>
      </c>
      <c r="N76" s="173" t="str">
        <f t="shared" si="9"/>
        <v>2004-05</v>
      </c>
      <c r="O76" s="173" t="str">
        <f t="shared" si="9"/>
        <v>2005-06</v>
      </c>
      <c r="P76" s="173" t="str">
        <f t="shared" si="9"/>
        <v>2006-07</v>
      </c>
      <c r="Q76" s="173" t="str">
        <f t="shared" si="9"/>
        <v>2007-08</v>
      </c>
      <c r="R76" s="173" t="str">
        <f t="shared" si="9"/>
        <v>2008-09</v>
      </c>
      <c r="S76" s="173" t="str">
        <f t="shared" si="9"/>
        <v>2009-10</v>
      </c>
      <c r="T76" s="173" t="str">
        <f t="shared" si="9"/>
        <v>2010-11</v>
      </c>
      <c r="U76" s="173" t="str">
        <f t="shared" si="9"/>
        <v>2011-12</v>
      </c>
      <c r="V76" s="173" t="str">
        <f t="shared" si="9"/>
        <v>2012-13</v>
      </c>
      <c r="W76" s="173" t="str">
        <f t="shared" si="9"/>
        <v>2013-14</v>
      </c>
      <c r="X76" s="173" t="str">
        <f t="shared" si="9"/>
        <v>2014-15</v>
      </c>
      <c r="Y76" s="173" t="str">
        <f t="shared" si="9"/>
        <v>2015-16</v>
      </c>
      <c r="Z76" s="173" t="str">
        <f t="shared" si="9"/>
        <v>2016-17</v>
      </c>
      <c r="AA76" s="173" t="str">
        <f>AA$16</f>
        <v>2017-18</v>
      </c>
      <c r="AB76" s="173"/>
      <c r="AC76" s="127"/>
      <c r="AF76" s="148"/>
    </row>
    <row r="77" spans="2:32" x14ac:dyDescent="0.2">
      <c r="B77" s="48"/>
      <c r="D77" s="43"/>
      <c r="E77" s="43"/>
      <c r="F77" s="197" t="str">
        <f>F39</f>
        <v>Actual</v>
      </c>
      <c r="G77" s="197" t="str">
        <f t="shared" ref="G77:AA77" si="10">G39</f>
        <v>Actual</v>
      </c>
      <c r="H77" s="197" t="str">
        <f t="shared" si="10"/>
        <v>Actual</v>
      </c>
      <c r="I77" s="197" t="str">
        <f t="shared" si="10"/>
        <v>Actual</v>
      </c>
      <c r="J77" s="197" t="str">
        <f t="shared" si="10"/>
        <v>Actual</v>
      </c>
      <c r="K77" s="197" t="str">
        <f t="shared" si="10"/>
        <v>Actual</v>
      </c>
      <c r="L77" s="197" t="str">
        <f t="shared" si="10"/>
        <v>Actual</v>
      </c>
      <c r="M77" s="197" t="str">
        <f t="shared" si="10"/>
        <v>Actual</v>
      </c>
      <c r="N77" s="197" t="str">
        <f t="shared" si="10"/>
        <v>Actual</v>
      </c>
      <c r="O77" s="197" t="str">
        <f t="shared" si="10"/>
        <v>Actual</v>
      </c>
      <c r="P77" s="197" t="str">
        <f t="shared" si="10"/>
        <v>Actual</v>
      </c>
      <c r="Q77" s="197" t="str">
        <f t="shared" si="10"/>
        <v>Actual</v>
      </c>
      <c r="R77" s="197" t="str">
        <f t="shared" si="10"/>
        <v>Actual</v>
      </c>
      <c r="S77" s="197" t="str">
        <f t="shared" si="10"/>
        <v>Actual</v>
      </c>
      <c r="T77" s="197" t="str">
        <f t="shared" si="10"/>
        <v>Actual</v>
      </c>
      <c r="U77" s="197" t="str">
        <f t="shared" si="10"/>
        <v>Actual</v>
      </c>
      <c r="V77" s="197" t="str">
        <f t="shared" si="10"/>
        <v>Actual</v>
      </c>
      <c r="W77" s="197" t="str">
        <f t="shared" si="10"/>
        <v>Actual</v>
      </c>
      <c r="X77" s="197" t="str">
        <f t="shared" si="10"/>
        <v>Actual</v>
      </c>
      <c r="Y77" s="197" t="str">
        <f t="shared" si="10"/>
        <v>Actual</v>
      </c>
      <c r="Z77" s="197" t="str">
        <f t="shared" si="10"/>
        <v>Actual</v>
      </c>
      <c r="AA77" s="197" t="str">
        <f t="shared" si="10"/>
        <v>March YTD</v>
      </c>
      <c r="AB77" s="126"/>
      <c r="AC77" s="128"/>
      <c r="AF77" s="148"/>
    </row>
    <row r="78" spans="2:32" x14ac:dyDescent="0.2">
      <c r="B78" s="102" t="s">
        <v>202</v>
      </c>
      <c r="C78" s="43"/>
      <c r="D78" s="43"/>
      <c r="E78" s="43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28"/>
    </row>
    <row r="79" spans="2:32" x14ac:dyDescent="0.2">
      <c r="B79" s="55" t="s">
        <v>30</v>
      </c>
      <c r="C79" s="43"/>
      <c r="D79" s="43"/>
      <c r="E79" s="43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33"/>
      <c r="AA79" s="116"/>
      <c r="AB79" s="116"/>
      <c r="AC79" s="128"/>
    </row>
    <row r="80" spans="2:32" ht="12" customHeight="1" x14ac:dyDescent="0.2">
      <c r="B80" s="48" t="str">
        <f>'2017 Determination - Revenue'!$B$28</f>
        <v>Border</v>
      </c>
      <c r="C80" s="57" t="str">
        <f>'2017 Determination - Revenue'!$C$18</f>
        <v>%</v>
      </c>
      <c r="D80" s="43"/>
      <c r="E80" s="43"/>
      <c r="F80" s="31">
        <v>0.65</v>
      </c>
      <c r="G80" s="31">
        <v>0.55000000000000004</v>
      </c>
      <c r="H80" s="31">
        <v>0.35</v>
      </c>
      <c r="I80" s="31">
        <v>0.6</v>
      </c>
      <c r="J80" s="31">
        <v>0.4</v>
      </c>
      <c r="K80" s="31">
        <v>0.96160074708827048</v>
      </c>
      <c r="L80" s="31">
        <v>0.13839384105607955</v>
      </c>
      <c r="M80" s="31">
        <v>0.539439584742478</v>
      </c>
      <c r="N80" s="31">
        <v>0.16670339942696896</v>
      </c>
      <c r="O80" s="31">
        <v>0.3804940350611139</v>
      </c>
      <c r="P80" s="31">
        <v>0.25184189888614927</v>
      </c>
      <c r="Q80" s="31">
        <v>0.25349809885931562</v>
      </c>
      <c r="R80" s="31">
        <v>0.23741444866920153</v>
      </c>
      <c r="S80" s="31">
        <v>2.688212927756654E-2</v>
      </c>
      <c r="T80" s="31">
        <v>1</v>
      </c>
      <c r="U80" s="31">
        <v>1</v>
      </c>
      <c r="V80" s="31">
        <v>1</v>
      </c>
      <c r="W80" s="136">
        <v>0.35189999999999999</v>
      </c>
      <c r="X80" s="136">
        <v>0.1</v>
      </c>
      <c r="Y80" s="31">
        <v>0.32705384480963978</v>
      </c>
      <c r="Z80" s="31">
        <v>1.1238046030286686</v>
      </c>
      <c r="AA80" s="31">
        <v>0.26340447841712961</v>
      </c>
      <c r="AB80" s="116"/>
      <c r="AC80" s="128"/>
    </row>
    <row r="81" spans="2:29" x14ac:dyDescent="0.2">
      <c r="B81" s="48" t="str">
        <f>'2017 Determination - Revenue'!$B$29</f>
        <v>Gwydir</v>
      </c>
      <c r="C81" s="57" t="str">
        <f>'2017 Determination - Revenue'!$C$18</f>
        <v>%</v>
      </c>
      <c r="D81" s="43"/>
      <c r="E81" s="43"/>
      <c r="F81" s="31">
        <v>0.75</v>
      </c>
      <c r="G81" s="31">
        <v>0.82</v>
      </c>
      <c r="H81" s="31">
        <v>1.6818532818532819</v>
      </c>
      <c r="I81" s="31">
        <v>0.49365735483382545</v>
      </c>
      <c r="J81" s="31">
        <v>0.44698039215686275</v>
      </c>
      <c r="K81" s="31">
        <v>0.26623529411764707</v>
      </c>
      <c r="L81" s="31">
        <v>0</v>
      </c>
      <c r="M81" s="31">
        <v>0.30715686274509807</v>
      </c>
      <c r="N81" s="31">
        <v>4.598039215686274E-2</v>
      </c>
      <c r="O81" s="31">
        <v>0.21882630029440631</v>
      </c>
      <c r="P81" s="31">
        <v>0</v>
      </c>
      <c r="Q81" s="31">
        <v>0.24245098039215687</v>
      </c>
      <c r="R81" s="31">
        <v>0</v>
      </c>
      <c r="S81" s="31">
        <v>0</v>
      </c>
      <c r="T81" s="31">
        <v>0.82900000000000007</v>
      </c>
      <c r="U81" s="31">
        <v>1</v>
      </c>
      <c r="V81" s="31">
        <v>1.62</v>
      </c>
      <c r="W81" s="31">
        <v>0</v>
      </c>
      <c r="X81" s="31">
        <v>0</v>
      </c>
      <c r="Y81" s="31">
        <v>5.2815084418196247E-2</v>
      </c>
      <c r="Z81" s="31">
        <v>0.78630178646758153</v>
      </c>
      <c r="AA81" s="31">
        <v>0.17589946337299991</v>
      </c>
      <c r="AB81" s="116"/>
      <c r="AC81" s="128"/>
    </row>
    <row r="82" spans="2:29" x14ac:dyDescent="0.2">
      <c r="B82" s="48" t="str">
        <f>'2017 Determination - Revenue'!$B$30</f>
        <v>Namoi</v>
      </c>
      <c r="C82" s="57" t="str">
        <f>'2017 Determination - Revenue'!$C$18</f>
        <v>%</v>
      </c>
      <c r="D82" s="43"/>
      <c r="E82" s="43"/>
      <c r="F82" s="31">
        <v>1</v>
      </c>
      <c r="G82" s="31">
        <v>1</v>
      </c>
      <c r="H82" s="31">
        <v>2.3193548387096774</v>
      </c>
      <c r="I82" s="31">
        <v>0.66704453441295553</v>
      </c>
      <c r="J82" s="31">
        <v>1.2267206477732793</v>
      </c>
      <c r="K82" s="31">
        <v>0.29801619433198379</v>
      </c>
      <c r="L82" s="31">
        <v>0</v>
      </c>
      <c r="M82" s="31">
        <v>0.46469635627530365</v>
      </c>
      <c r="N82" s="31">
        <v>0.14133603238866396</v>
      </c>
      <c r="O82" s="31">
        <v>0.29975719497365222</v>
      </c>
      <c r="P82" s="31">
        <v>0</v>
      </c>
      <c r="Q82" s="31">
        <v>0.1362753036437247</v>
      </c>
      <c r="R82" s="31">
        <v>0.23732793522267207</v>
      </c>
      <c r="S82" s="31">
        <v>5.7489878542510116E-3</v>
      </c>
      <c r="T82" s="31">
        <v>1.093</v>
      </c>
      <c r="U82" s="31">
        <v>1.165</v>
      </c>
      <c r="V82" s="31">
        <v>1</v>
      </c>
      <c r="W82" s="31">
        <v>0.53180000000000005</v>
      </c>
      <c r="X82" s="31">
        <v>0.04</v>
      </c>
      <c r="Y82" s="31">
        <v>2.2961498605644164E-2</v>
      </c>
      <c r="Z82" s="31">
        <v>1.2368683685158548</v>
      </c>
      <c r="AA82" s="31">
        <v>0.11017987461052117</v>
      </c>
      <c r="AB82" s="116"/>
      <c r="AC82" s="128"/>
    </row>
    <row r="83" spans="2:29" x14ac:dyDescent="0.2">
      <c r="B83" s="48" t="str">
        <f>'2017 Determination - Revenue'!$B$31</f>
        <v>Peel</v>
      </c>
      <c r="C83" s="57" t="str">
        <f>'2017 Determination - Revenue'!$C$18</f>
        <v>%</v>
      </c>
      <c r="D83" s="43"/>
      <c r="E83" s="43"/>
      <c r="F83" s="31">
        <v>0.65</v>
      </c>
      <c r="G83" s="31">
        <v>1</v>
      </c>
      <c r="H83" s="31">
        <v>1</v>
      </c>
      <c r="I83" s="31">
        <v>1</v>
      </c>
      <c r="J83" s="31">
        <v>1</v>
      </c>
      <c r="K83" s="31">
        <v>1</v>
      </c>
      <c r="L83" s="31">
        <v>0.6</v>
      </c>
      <c r="M83" s="31">
        <v>0.35</v>
      </c>
      <c r="N83" s="31">
        <v>0.65</v>
      </c>
      <c r="O83" s="31">
        <v>0.45</v>
      </c>
      <c r="P83" s="31">
        <v>0</v>
      </c>
      <c r="Q83" s="31">
        <v>0.5</v>
      </c>
      <c r="R83" s="31">
        <v>0.8</v>
      </c>
      <c r="S83" s="31">
        <v>0</v>
      </c>
      <c r="T83" s="31">
        <v>1</v>
      </c>
      <c r="U83" s="31">
        <v>1</v>
      </c>
      <c r="V83" s="31">
        <v>0.83</v>
      </c>
      <c r="W83" s="31">
        <v>0.45</v>
      </c>
      <c r="X83" s="31">
        <v>0</v>
      </c>
      <c r="Y83" s="31">
        <v>0.17000460102537135</v>
      </c>
      <c r="Z83" s="31">
        <v>0.99999671355330622</v>
      </c>
      <c r="AA83" s="31">
        <v>1.0252404251729375</v>
      </c>
      <c r="AB83" s="116"/>
      <c r="AC83" s="128"/>
    </row>
    <row r="84" spans="2:29" x14ac:dyDescent="0.2">
      <c r="B84" s="48" t="str">
        <f>'2017 Determination - Revenue'!$B$32</f>
        <v>Lachlan</v>
      </c>
      <c r="C84" s="57" t="str">
        <f>'2017 Determination - Revenue'!$C$18</f>
        <v>%</v>
      </c>
      <c r="D84" s="43"/>
      <c r="E84" s="43"/>
      <c r="F84" s="31">
        <v>1</v>
      </c>
      <c r="G84" s="31">
        <v>0.65</v>
      </c>
      <c r="H84" s="31">
        <v>1</v>
      </c>
      <c r="I84" s="31">
        <v>0.74</v>
      </c>
      <c r="J84" s="31">
        <v>0.84</v>
      </c>
      <c r="K84" s="31">
        <v>0.57999999999999996</v>
      </c>
      <c r="L84" s="31">
        <v>0.03</v>
      </c>
      <c r="M84" s="31">
        <v>0</v>
      </c>
      <c r="N84" s="31">
        <v>0</v>
      </c>
      <c r="O84" s="31">
        <v>0.19</v>
      </c>
      <c r="P84" s="31">
        <v>0</v>
      </c>
      <c r="Q84" s="31">
        <v>0</v>
      </c>
      <c r="R84" s="31">
        <v>0</v>
      </c>
      <c r="S84" s="31">
        <v>0</v>
      </c>
      <c r="T84" s="31">
        <v>1</v>
      </c>
      <c r="U84" s="31">
        <v>1</v>
      </c>
      <c r="V84" s="31">
        <v>0</v>
      </c>
      <c r="W84" s="31">
        <v>0</v>
      </c>
      <c r="X84" s="31">
        <v>0.02</v>
      </c>
      <c r="Y84" s="31">
        <v>0.2586422779225177</v>
      </c>
      <c r="Z84" s="31">
        <v>1.38</v>
      </c>
      <c r="AA84" s="31">
        <v>4.7009285394803021E-2</v>
      </c>
      <c r="AB84" s="116"/>
      <c r="AC84" s="128"/>
    </row>
    <row r="85" spans="2:29" x14ac:dyDescent="0.2">
      <c r="B85" s="48" t="str">
        <f>'2017 Determination - Revenue'!$B$33</f>
        <v>Macquarie</v>
      </c>
      <c r="C85" s="57" t="str">
        <f>'2017 Determination - Revenue'!$C$18</f>
        <v>%</v>
      </c>
      <c r="D85" s="43"/>
      <c r="E85" s="43"/>
      <c r="F85" s="31">
        <v>0.85</v>
      </c>
      <c r="G85" s="31">
        <v>0.1</v>
      </c>
      <c r="H85" s="31">
        <v>1</v>
      </c>
      <c r="I85" s="31">
        <v>1</v>
      </c>
      <c r="J85" s="31">
        <v>1</v>
      </c>
      <c r="K85" s="31">
        <v>0.9</v>
      </c>
      <c r="L85" s="31">
        <v>0</v>
      </c>
      <c r="M85" s="31">
        <v>0.19</v>
      </c>
      <c r="N85" s="31">
        <v>0.09</v>
      </c>
      <c r="O85" s="31">
        <v>0.44</v>
      </c>
      <c r="P85" s="31">
        <v>0</v>
      </c>
      <c r="Q85" s="31">
        <v>0.05</v>
      </c>
      <c r="R85" s="31">
        <v>0.1</v>
      </c>
      <c r="S85" s="31">
        <v>0</v>
      </c>
      <c r="T85" s="31">
        <v>1</v>
      </c>
      <c r="U85" s="31">
        <v>0.49</v>
      </c>
      <c r="V85" s="31">
        <v>0.64</v>
      </c>
      <c r="W85" s="31">
        <v>5.9999999999999995E-4</v>
      </c>
      <c r="X85" s="31">
        <v>0.02</v>
      </c>
      <c r="Y85" s="31">
        <v>7.0003751979750409E-2</v>
      </c>
      <c r="Z85" s="31">
        <v>1</v>
      </c>
      <c r="AA85" s="31">
        <v>0.3799987066500477</v>
      </c>
      <c r="AB85" s="116"/>
      <c r="AC85" s="128"/>
    </row>
    <row r="86" spans="2:29" x14ac:dyDescent="0.2">
      <c r="B86" s="48" t="str">
        <f>'2017 Determination - Revenue'!$B$34</f>
        <v>Murray</v>
      </c>
      <c r="C86" s="57" t="str">
        <f>'2017 Determination - Revenue'!$C$18</f>
        <v>%</v>
      </c>
      <c r="D86" s="43"/>
      <c r="E86" s="43"/>
      <c r="F86" s="31">
        <v>1</v>
      </c>
      <c r="G86" s="31">
        <v>0.84</v>
      </c>
      <c r="H86" s="31">
        <v>0.93</v>
      </c>
      <c r="I86" s="31">
        <v>0.35</v>
      </c>
      <c r="J86" s="31">
        <v>0.95</v>
      </c>
      <c r="K86" s="31">
        <v>1.05</v>
      </c>
      <c r="L86" s="31">
        <v>0.1</v>
      </c>
      <c r="M86" s="31">
        <v>0.55000000000000004</v>
      </c>
      <c r="N86" s="31">
        <v>0.49</v>
      </c>
      <c r="O86" s="31">
        <v>0.63</v>
      </c>
      <c r="P86" s="31">
        <v>0</v>
      </c>
      <c r="Q86" s="31">
        <v>0</v>
      </c>
      <c r="R86" s="31">
        <v>0.09</v>
      </c>
      <c r="S86" s="31">
        <v>0.27</v>
      </c>
      <c r="T86" s="31">
        <v>1</v>
      </c>
      <c r="U86" s="31">
        <v>1</v>
      </c>
      <c r="V86" s="31">
        <v>1</v>
      </c>
      <c r="W86" s="31">
        <v>1</v>
      </c>
      <c r="X86" s="31">
        <v>0.65</v>
      </c>
      <c r="Y86" s="31">
        <v>0.27808785904052524</v>
      </c>
      <c r="Z86" s="31">
        <v>1</v>
      </c>
      <c r="AA86" s="31">
        <v>0.54119557459420597</v>
      </c>
      <c r="AB86" s="116"/>
      <c r="AC86" s="128"/>
    </row>
    <row r="87" spans="2:29" x14ac:dyDescent="0.2">
      <c r="B87" s="48" t="str">
        <f>'2017 Determination - Revenue'!$B$35</f>
        <v>Murrumbidgee</v>
      </c>
      <c r="C87" s="57" t="str">
        <f>'2017 Determination - Revenue'!$C$18</f>
        <v>%</v>
      </c>
      <c r="D87" s="43"/>
      <c r="E87" s="43"/>
      <c r="F87" s="31">
        <v>1</v>
      </c>
      <c r="G87" s="31">
        <v>0.9</v>
      </c>
      <c r="H87" s="31">
        <v>0.85</v>
      </c>
      <c r="I87" s="31">
        <v>0.78</v>
      </c>
      <c r="J87" s="31">
        <v>0.9</v>
      </c>
      <c r="K87" s="31">
        <v>0.72</v>
      </c>
      <c r="L87" s="31">
        <v>0.38</v>
      </c>
      <c r="M87" s="31">
        <v>0.41</v>
      </c>
      <c r="N87" s="31">
        <v>0.4</v>
      </c>
      <c r="O87" s="31">
        <v>0.54</v>
      </c>
      <c r="P87" s="31">
        <v>0.1</v>
      </c>
      <c r="Q87" s="31">
        <v>0.13</v>
      </c>
      <c r="R87" s="31">
        <v>0.21</v>
      </c>
      <c r="S87" s="31">
        <v>0.27</v>
      </c>
      <c r="T87" s="31">
        <v>1</v>
      </c>
      <c r="U87" s="31">
        <v>1</v>
      </c>
      <c r="V87" s="31">
        <v>1</v>
      </c>
      <c r="W87" s="31">
        <v>0.79979999999999996</v>
      </c>
      <c r="X87" s="31">
        <v>0.59</v>
      </c>
      <c r="Y87" s="31">
        <v>0.44246020635437283</v>
      </c>
      <c r="Z87" s="31">
        <v>1.0000004409438206</v>
      </c>
      <c r="AA87" s="31">
        <v>0.41440233626427525</v>
      </c>
      <c r="AB87" s="116"/>
      <c r="AC87" s="128"/>
    </row>
    <row r="88" spans="2:29" x14ac:dyDescent="0.2">
      <c r="B88" s="48" t="str">
        <f>'2017 Determination - Revenue'!$B$36</f>
        <v>Lowbidgee</v>
      </c>
      <c r="C88" s="57" t="str">
        <f>'2017 Determination - Revenue'!$C$18</f>
        <v>%</v>
      </c>
      <c r="D88" s="43"/>
      <c r="E88" s="4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116"/>
      <c r="AC88" s="128"/>
    </row>
    <row r="89" spans="2:29" x14ac:dyDescent="0.2">
      <c r="B89" s="48"/>
      <c r="C89" s="57"/>
      <c r="D89" s="43"/>
      <c r="E89" s="43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28"/>
    </row>
    <row r="90" spans="2:29" x14ac:dyDescent="0.2">
      <c r="B90" s="55" t="s">
        <v>31</v>
      </c>
      <c r="C90" s="57"/>
      <c r="D90" s="43"/>
      <c r="E90" s="43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33"/>
      <c r="AA90" s="116"/>
      <c r="AB90" s="116"/>
      <c r="AC90" s="128"/>
    </row>
    <row r="91" spans="2:29" ht="12" customHeight="1" x14ac:dyDescent="0.2">
      <c r="B91" s="48" t="str">
        <f>'2017 Determination - Revenue'!$B$28</f>
        <v>Border</v>
      </c>
      <c r="C91" s="57" t="str">
        <f>'2017 Determination - Revenue'!$C$18</f>
        <v>%</v>
      </c>
      <c r="D91" s="43"/>
      <c r="E91" s="43"/>
      <c r="F91" s="31">
        <v>1</v>
      </c>
      <c r="G91" s="31">
        <v>1</v>
      </c>
      <c r="H91" s="31">
        <v>1</v>
      </c>
      <c r="I91" s="31">
        <v>1</v>
      </c>
      <c r="J91" s="31">
        <v>1</v>
      </c>
      <c r="K91" s="31">
        <v>1</v>
      </c>
      <c r="L91" s="31">
        <v>1</v>
      </c>
      <c r="M91" s="31">
        <v>1</v>
      </c>
      <c r="N91" s="31">
        <v>1</v>
      </c>
      <c r="O91" s="31">
        <v>1</v>
      </c>
      <c r="P91" s="31">
        <v>1</v>
      </c>
      <c r="Q91" s="31">
        <v>1</v>
      </c>
      <c r="R91" s="31">
        <v>1</v>
      </c>
      <c r="S91" s="31">
        <v>1</v>
      </c>
      <c r="T91" s="31">
        <v>1</v>
      </c>
      <c r="U91" s="31">
        <v>1</v>
      </c>
      <c r="V91" s="31">
        <v>1</v>
      </c>
      <c r="W91" s="31">
        <v>1</v>
      </c>
      <c r="X91" s="31">
        <v>1</v>
      </c>
      <c r="Y91" s="31">
        <v>1.0003204101249599</v>
      </c>
      <c r="Z91" s="31">
        <v>1</v>
      </c>
      <c r="AA91" s="31">
        <v>1</v>
      </c>
      <c r="AB91" s="116"/>
      <c r="AC91" s="128"/>
    </row>
    <row r="92" spans="2:29" x14ac:dyDescent="0.2">
      <c r="B92" s="48" t="str">
        <f>'2017 Determination - Revenue'!$B$29</f>
        <v>Gwydir</v>
      </c>
      <c r="C92" s="57" t="str">
        <f>'2017 Determination - Revenue'!$C$18</f>
        <v>%</v>
      </c>
      <c r="D92" s="43"/>
      <c r="E92" s="43"/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1</v>
      </c>
      <c r="L92" s="31">
        <v>1</v>
      </c>
      <c r="M92" s="31">
        <v>1</v>
      </c>
      <c r="N92" s="31">
        <v>1</v>
      </c>
      <c r="O92" s="31">
        <v>1</v>
      </c>
      <c r="P92" s="31">
        <v>1</v>
      </c>
      <c r="Q92" s="31">
        <v>1</v>
      </c>
      <c r="R92" s="31">
        <v>1</v>
      </c>
      <c r="S92" s="31">
        <v>1</v>
      </c>
      <c r="T92" s="31">
        <v>1</v>
      </c>
      <c r="U92" s="31">
        <v>1</v>
      </c>
      <c r="V92" s="31">
        <v>1</v>
      </c>
      <c r="W92" s="31">
        <v>1</v>
      </c>
      <c r="X92" s="31">
        <v>1</v>
      </c>
      <c r="Y92" s="31">
        <v>0.99754828212586233</v>
      </c>
      <c r="Z92" s="31">
        <v>1</v>
      </c>
      <c r="AA92" s="31">
        <v>1</v>
      </c>
      <c r="AB92" s="116"/>
      <c r="AC92" s="128"/>
    </row>
    <row r="93" spans="2:29" x14ac:dyDescent="0.2">
      <c r="B93" s="48" t="str">
        <f>'2017 Determination - Revenue'!$B$30</f>
        <v>Namoi</v>
      </c>
      <c r="C93" s="57" t="str">
        <f>'2017 Determination - Revenue'!$C$18</f>
        <v>%</v>
      </c>
      <c r="D93" s="43"/>
      <c r="E93" s="43"/>
      <c r="F93" s="31">
        <v>1</v>
      </c>
      <c r="G93" s="31">
        <v>1</v>
      </c>
      <c r="H93" s="31">
        <v>1</v>
      </c>
      <c r="I93" s="31">
        <v>1</v>
      </c>
      <c r="J93" s="31">
        <v>1</v>
      </c>
      <c r="K93" s="31">
        <v>1</v>
      </c>
      <c r="L93" s="31">
        <v>1</v>
      </c>
      <c r="M93" s="31">
        <v>1</v>
      </c>
      <c r="N93" s="31">
        <v>1</v>
      </c>
      <c r="O93" s="31">
        <v>1</v>
      </c>
      <c r="P93" s="31">
        <v>1</v>
      </c>
      <c r="Q93" s="31">
        <v>1</v>
      </c>
      <c r="R93" s="31">
        <v>1</v>
      </c>
      <c r="S93" s="31">
        <v>1</v>
      </c>
      <c r="T93" s="31">
        <v>1</v>
      </c>
      <c r="U93" s="31">
        <v>1</v>
      </c>
      <c r="V93" s="31">
        <v>1</v>
      </c>
      <c r="W93" s="31">
        <v>1</v>
      </c>
      <c r="X93" s="31">
        <v>1</v>
      </c>
      <c r="Y93" s="31">
        <v>1.0018046469659372</v>
      </c>
      <c r="Z93" s="31">
        <v>1</v>
      </c>
      <c r="AA93" s="31">
        <v>0.99278141213625082</v>
      </c>
      <c r="AB93" s="116"/>
      <c r="AC93" s="128"/>
    </row>
    <row r="94" spans="2:29" x14ac:dyDescent="0.2">
      <c r="B94" s="48" t="str">
        <f>'2017 Determination - Revenue'!$B$31</f>
        <v>Peel</v>
      </c>
      <c r="C94" s="57" t="str">
        <f>'2017 Determination - Revenue'!$C$18</f>
        <v>%</v>
      </c>
      <c r="D94" s="43"/>
      <c r="E94" s="43"/>
      <c r="F94" s="31">
        <v>1</v>
      </c>
      <c r="G94" s="31">
        <v>1</v>
      </c>
      <c r="H94" s="31">
        <v>1</v>
      </c>
      <c r="I94" s="31">
        <v>1</v>
      </c>
      <c r="J94" s="31">
        <v>1</v>
      </c>
      <c r="K94" s="31">
        <v>1</v>
      </c>
      <c r="L94" s="31">
        <v>1</v>
      </c>
      <c r="M94" s="31">
        <v>1</v>
      </c>
      <c r="N94" s="31">
        <v>1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31">
        <v>1</v>
      </c>
      <c r="U94" s="31">
        <v>1</v>
      </c>
      <c r="V94" s="31">
        <v>1</v>
      </c>
      <c r="W94" s="31">
        <v>1</v>
      </c>
      <c r="X94" s="31">
        <v>0.69</v>
      </c>
      <c r="Y94" s="31">
        <v>1</v>
      </c>
      <c r="Z94" s="31">
        <v>1</v>
      </c>
      <c r="AA94" s="31">
        <v>1</v>
      </c>
      <c r="AB94" s="116"/>
      <c r="AC94" s="128"/>
    </row>
    <row r="95" spans="2:29" x14ac:dyDescent="0.2">
      <c r="B95" s="48" t="str">
        <f>'2017 Determination - Revenue'!$B$32</f>
        <v>Lachlan</v>
      </c>
      <c r="C95" s="57" t="str">
        <f>'2017 Determination - Revenue'!$C$18</f>
        <v>%</v>
      </c>
      <c r="D95" s="43"/>
      <c r="E95" s="43"/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1</v>
      </c>
      <c r="L95" s="31">
        <v>1</v>
      </c>
      <c r="M95" s="31">
        <v>0.7</v>
      </c>
      <c r="N95" s="31">
        <v>0.3</v>
      </c>
      <c r="O95" s="31">
        <v>1</v>
      </c>
      <c r="P95" s="31">
        <v>0.8</v>
      </c>
      <c r="Q95" s="31">
        <v>0.3</v>
      </c>
      <c r="R95" s="31">
        <v>0.3</v>
      </c>
      <c r="S95" s="31">
        <v>0.1</v>
      </c>
      <c r="T95" s="31">
        <v>1</v>
      </c>
      <c r="U95" s="31">
        <v>1</v>
      </c>
      <c r="V95" s="31">
        <v>1</v>
      </c>
      <c r="W95" s="31">
        <v>1</v>
      </c>
      <c r="X95" s="31">
        <v>1</v>
      </c>
      <c r="Y95" s="31">
        <v>1.0036594304062543</v>
      </c>
      <c r="Z95" s="31">
        <v>1.0000924940227918</v>
      </c>
      <c r="AA95" s="31">
        <v>0.99999650972042853</v>
      </c>
      <c r="AB95" s="116"/>
      <c r="AC95" s="128"/>
    </row>
    <row r="96" spans="2:29" x14ac:dyDescent="0.2">
      <c r="B96" s="48" t="str">
        <f>'2017 Determination - Revenue'!$B$33</f>
        <v>Macquarie</v>
      </c>
      <c r="C96" s="57" t="str">
        <f>'2017 Determination - Revenue'!$C$18</f>
        <v>%</v>
      </c>
      <c r="D96" s="43"/>
      <c r="E96" s="43"/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31">
        <v>1</v>
      </c>
      <c r="R96" s="31">
        <v>1</v>
      </c>
      <c r="S96" s="31">
        <v>1</v>
      </c>
      <c r="T96" s="31">
        <v>1</v>
      </c>
      <c r="U96" s="31">
        <v>1</v>
      </c>
      <c r="V96" s="31">
        <v>1</v>
      </c>
      <c r="W96" s="31">
        <v>1</v>
      </c>
      <c r="X96" s="31">
        <v>1</v>
      </c>
      <c r="Y96" s="31">
        <v>0.99932337516388836</v>
      </c>
      <c r="Z96" s="31">
        <v>1.0005692466266867</v>
      </c>
      <c r="AA96" s="31">
        <v>0.99988287106446772</v>
      </c>
      <c r="AB96" s="116"/>
      <c r="AC96" s="128"/>
    </row>
    <row r="97" spans="2:29" x14ac:dyDescent="0.2">
      <c r="B97" s="48" t="str">
        <f>'2017 Determination - Revenue'!$B$34</f>
        <v>Murray</v>
      </c>
      <c r="C97" s="57" t="str">
        <f>'2017 Determination - Revenue'!$C$18</f>
        <v>%</v>
      </c>
      <c r="D97" s="43"/>
      <c r="E97" s="43"/>
      <c r="F97" s="31">
        <v>1</v>
      </c>
      <c r="G97" s="31">
        <v>1</v>
      </c>
      <c r="H97" s="31">
        <v>1</v>
      </c>
      <c r="I97" s="31">
        <v>1</v>
      </c>
      <c r="J97" s="31">
        <v>1</v>
      </c>
      <c r="K97" s="31">
        <v>1</v>
      </c>
      <c r="L97" s="31">
        <v>1</v>
      </c>
      <c r="M97" s="31">
        <v>1</v>
      </c>
      <c r="N97" s="31">
        <v>0.97</v>
      </c>
      <c r="O97" s="31">
        <v>0.97</v>
      </c>
      <c r="P97" s="31">
        <v>0.69</v>
      </c>
      <c r="Q97" s="31">
        <v>0.5</v>
      </c>
      <c r="R97" s="31">
        <v>0.95</v>
      </c>
      <c r="S97" s="31">
        <v>0.97</v>
      </c>
      <c r="T97" s="31">
        <v>1</v>
      </c>
      <c r="U97" s="31">
        <v>1</v>
      </c>
      <c r="V97" s="31">
        <v>1</v>
      </c>
      <c r="W97" s="31">
        <v>1</v>
      </c>
      <c r="X97" s="31">
        <v>0.98</v>
      </c>
      <c r="Y97" s="31">
        <v>0.95624823835531536</v>
      </c>
      <c r="Z97" s="31">
        <v>1</v>
      </c>
      <c r="AA97" s="31">
        <v>0.97825464200844481</v>
      </c>
      <c r="AB97" s="116"/>
      <c r="AC97" s="128"/>
    </row>
    <row r="98" spans="2:29" x14ac:dyDescent="0.2">
      <c r="B98" s="48" t="str">
        <f>'2017 Determination - Revenue'!$B$35</f>
        <v>Murrumbidgee</v>
      </c>
      <c r="C98" s="57" t="str">
        <f>'2017 Determination - Revenue'!$C$18</f>
        <v>%</v>
      </c>
      <c r="D98" s="43"/>
      <c r="E98" s="43"/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1</v>
      </c>
      <c r="L98" s="31">
        <v>1</v>
      </c>
      <c r="M98" s="31">
        <v>0.95</v>
      </c>
      <c r="N98" s="31">
        <v>0.95</v>
      </c>
      <c r="O98" s="31">
        <v>0.95</v>
      </c>
      <c r="P98" s="31">
        <v>0.9</v>
      </c>
      <c r="Q98" s="31">
        <v>0.9</v>
      </c>
      <c r="R98" s="31">
        <v>0.95</v>
      </c>
      <c r="S98" s="31">
        <v>0.95</v>
      </c>
      <c r="T98" s="31">
        <v>0.99960000000000004</v>
      </c>
      <c r="U98" s="31">
        <v>1</v>
      </c>
      <c r="V98" s="31">
        <v>1</v>
      </c>
      <c r="W98" s="31">
        <v>0.97499999999999998</v>
      </c>
      <c r="X98" s="31">
        <v>0.96</v>
      </c>
      <c r="Y98" s="31">
        <v>0.95903132725386231</v>
      </c>
      <c r="Z98" s="31">
        <v>1.0000662916797587</v>
      </c>
      <c r="AA98" s="31">
        <v>0.95890493776800734</v>
      </c>
      <c r="AB98" s="116"/>
      <c r="AC98" s="128"/>
    </row>
    <row r="99" spans="2:29" x14ac:dyDescent="0.2">
      <c r="B99" s="48" t="str">
        <f>'2017 Determination - Revenue'!$B$36</f>
        <v>Lowbidgee</v>
      </c>
      <c r="C99" s="57" t="str">
        <f>'2017 Determination - Revenue'!$C$18</f>
        <v>%</v>
      </c>
      <c r="D99" s="43"/>
      <c r="E99" s="43"/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/>
      <c r="AA99" s="31"/>
      <c r="AB99" s="116"/>
      <c r="AC99" s="128"/>
    </row>
    <row r="100" spans="2:29" x14ac:dyDescent="0.2">
      <c r="B100" s="48"/>
      <c r="C100" s="57"/>
      <c r="D100" s="43"/>
      <c r="E100" s="43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28"/>
    </row>
    <row r="101" spans="2:29" x14ac:dyDescent="0.2">
      <c r="B101" s="55" t="s">
        <v>32</v>
      </c>
      <c r="C101" s="57"/>
      <c r="D101" s="43"/>
      <c r="E101" s="43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33"/>
      <c r="AA101" s="145"/>
      <c r="AB101" s="116"/>
      <c r="AC101" s="128"/>
    </row>
    <row r="102" spans="2:29" ht="12" customHeight="1" x14ac:dyDescent="0.2">
      <c r="B102" s="48" t="str">
        <f>'2017 Determination - Revenue'!$B$28</f>
        <v>Border</v>
      </c>
      <c r="C102" s="57" t="str">
        <f>'2017 Determination - Revenue'!$C$18</f>
        <v>%</v>
      </c>
      <c r="D102" s="43"/>
      <c r="E102" s="43"/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136">
        <v>0</v>
      </c>
      <c r="AB102" s="116"/>
      <c r="AC102" s="128"/>
    </row>
    <row r="103" spans="2:29" x14ac:dyDescent="0.2">
      <c r="B103" s="48" t="str">
        <f>'2017 Determination - Revenue'!$B$29</f>
        <v>Gwydir</v>
      </c>
      <c r="C103" s="57" t="str">
        <f>'2017 Determination - Revenue'!$C$18</f>
        <v>%</v>
      </c>
      <c r="D103" s="43"/>
      <c r="E103" s="43"/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136">
        <v>0</v>
      </c>
      <c r="AB103" s="116"/>
      <c r="AC103" s="128"/>
    </row>
    <row r="104" spans="2:29" x14ac:dyDescent="0.2">
      <c r="B104" s="48" t="str">
        <f>'2017 Determination - Revenue'!$B$30</f>
        <v>Namoi</v>
      </c>
      <c r="C104" s="57" t="str">
        <f>'2017 Determination - Revenue'!$C$18</f>
        <v>%</v>
      </c>
      <c r="D104" s="43"/>
      <c r="E104" s="43"/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136">
        <v>0</v>
      </c>
      <c r="AB104" s="116"/>
      <c r="AC104" s="128"/>
    </row>
    <row r="105" spans="2:29" x14ac:dyDescent="0.2">
      <c r="B105" s="48" t="str">
        <f>'2017 Determination - Revenue'!$B$31</f>
        <v>Peel</v>
      </c>
      <c r="C105" s="57" t="str">
        <f>'2017 Determination - Revenue'!$C$18</f>
        <v>%</v>
      </c>
      <c r="D105" s="43"/>
      <c r="E105" s="43"/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136">
        <v>0</v>
      </c>
      <c r="AB105" s="116"/>
      <c r="AC105" s="128"/>
    </row>
    <row r="106" spans="2:29" x14ac:dyDescent="0.2">
      <c r="B106" s="48" t="str">
        <f>'2017 Determination - Revenue'!$B$32</f>
        <v>Lachlan</v>
      </c>
      <c r="C106" s="57" t="str">
        <f>'2017 Determination - Revenue'!$C$18</f>
        <v>%</v>
      </c>
      <c r="D106" s="43"/>
      <c r="E106" s="43"/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136">
        <v>0</v>
      </c>
      <c r="AB106" s="116"/>
      <c r="AC106" s="128"/>
    </row>
    <row r="107" spans="2:29" x14ac:dyDescent="0.2">
      <c r="B107" s="48" t="str">
        <f>'2017 Determination - Revenue'!$B$33</f>
        <v>Macquarie</v>
      </c>
      <c r="C107" s="57" t="str">
        <f>'2017 Determination - Revenue'!$C$18</f>
        <v>%</v>
      </c>
      <c r="D107" s="43"/>
      <c r="E107" s="43"/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136">
        <v>0</v>
      </c>
      <c r="AB107" s="116"/>
      <c r="AC107" s="128"/>
    </row>
    <row r="108" spans="2:29" x14ac:dyDescent="0.2">
      <c r="B108" s="48" t="str">
        <f>'2017 Determination - Revenue'!$B$34</f>
        <v>Murray</v>
      </c>
      <c r="C108" s="57" t="str">
        <f>'2017 Determination - Revenue'!$C$18</f>
        <v>%</v>
      </c>
      <c r="D108" s="43"/>
      <c r="E108" s="43"/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136">
        <v>0</v>
      </c>
      <c r="AB108" s="116"/>
      <c r="AC108" s="128"/>
    </row>
    <row r="109" spans="2:29" x14ac:dyDescent="0.2">
      <c r="B109" s="48" t="str">
        <f>'2017 Determination - Revenue'!$B$35</f>
        <v>Murrumbidgee</v>
      </c>
      <c r="C109" s="57" t="str">
        <f>'2017 Determination - Revenue'!$C$18</f>
        <v>%</v>
      </c>
      <c r="D109" s="43"/>
      <c r="E109" s="43"/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136">
        <v>0</v>
      </c>
      <c r="AB109" s="116"/>
      <c r="AC109" s="128"/>
    </row>
    <row r="110" spans="2:29" x14ac:dyDescent="0.2">
      <c r="B110" s="48" t="str">
        <f>'2017 Determination - Revenue'!$B$36</f>
        <v>Lowbidgee</v>
      </c>
      <c r="C110" s="57" t="str">
        <f>'2017 Determination - Revenue'!$C$18</f>
        <v>%</v>
      </c>
      <c r="D110" s="43"/>
      <c r="E110" s="43"/>
      <c r="F110" s="31">
        <v>1</v>
      </c>
      <c r="G110" s="31">
        <v>1</v>
      </c>
      <c r="H110" s="31">
        <v>1</v>
      </c>
      <c r="I110" s="31">
        <v>1</v>
      </c>
      <c r="J110" s="31">
        <v>1</v>
      </c>
      <c r="K110" s="31">
        <v>1</v>
      </c>
      <c r="L110" s="31">
        <v>1</v>
      </c>
      <c r="M110" s="31">
        <v>1</v>
      </c>
      <c r="N110" s="31">
        <v>1</v>
      </c>
      <c r="O110" s="31">
        <v>1</v>
      </c>
      <c r="P110" s="31">
        <v>1</v>
      </c>
      <c r="Q110" s="31">
        <v>1</v>
      </c>
      <c r="R110" s="31">
        <v>1</v>
      </c>
      <c r="S110" s="31">
        <v>1</v>
      </c>
      <c r="T110" s="31">
        <v>1</v>
      </c>
      <c r="U110" s="31">
        <v>1</v>
      </c>
      <c r="V110" s="31">
        <v>1</v>
      </c>
      <c r="W110" s="31">
        <v>1</v>
      </c>
      <c r="X110" s="31">
        <v>1</v>
      </c>
      <c r="Y110" s="31">
        <v>1</v>
      </c>
      <c r="Z110" s="31">
        <v>1</v>
      </c>
      <c r="AA110" s="136">
        <v>1</v>
      </c>
      <c r="AB110" s="116"/>
      <c r="AC110" s="128"/>
    </row>
    <row r="111" spans="2:29" x14ac:dyDescent="0.2">
      <c r="B111" s="48"/>
      <c r="C111" s="43"/>
      <c r="D111" s="43"/>
      <c r="E111" s="43"/>
      <c r="F111" s="132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45"/>
      <c r="AB111" s="116"/>
      <c r="AC111" s="128"/>
    </row>
    <row r="112" spans="2:29" x14ac:dyDescent="0.2">
      <c r="B112" s="50"/>
      <c r="C112" s="41"/>
      <c r="D112" s="41"/>
      <c r="E112" s="41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1"/>
    </row>
    <row r="115" spans="2:32" x14ac:dyDescent="0.2">
      <c r="B115" s="38" t="s">
        <v>161</v>
      </c>
      <c r="C115" s="43"/>
      <c r="D115" s="43"/>
      <c r="E115" s="43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F115" s="148"/>
    </row>
    <row r="116" spans="2:32" x14ac:dyDescent="0.2">
      <c r="B116" s="71" t="str">
        <f>'2017 Determination - Revenue'!B$16</f>
        <v>Financial year</v>
      </c>
      <c r="C116" s="46" t="str">
        <f>'2017 Determination - Revenue'!C$23</f>
        <v>Units</v>
      </c>
      <c r="D116" s="46"/>
      <c r="E116" s="46"/>
      <c r="F116" s="206" t="str">
        <f t="shared" ref="F116:Z116" si="11">F$16</f>
        <v>1996-97</v>
      </c>
      <c r="G116" s="206" t="str">
        <f t="shared" si="11"/>
        <v>1997-98</v>
      </c>
      <c r="H116" s="206" t="str">
        <f t="shared" si="11"/>
        <v>1998-99</v>
      </c>
      <c r="I116" s="206" t="str">
        <f t="shared" si="11"/>
        <v>1999-00</v>
      </c>
      <c r="J116" s="206" t="str">
        <f t="shared" si="11"/>
        <v>2000-01</v>
      </c>
      <c r="K116" s="206" t="str">
        <f t="shared" si="11"/>
        <v>2001-02</v>
      </c>
      <c r="L116" s="206" t="str">
        <f t="shared" si="11"/>
        <v>2002-03</v>
      </c>
      <c r="M116" s="206" t="str">
        <f t="shared" si="11"/>
        <v>2003-04</v>
      </c>
      <c r="N116" s="206" t="str">
        <f t="shared" si="11"/>
        <v>2004-05</v>
      </c>
      <c r="O116" s="206" t="str">
        <f t="shared" si="11"/>
        <v>2005-06</v>
      </c>
      <c r="P116" s="206" t="str">
        <f t="shared" si="11"/>
        <v>2006-07</v>
      </c>
      <c r="Q116" s="206" t="str">
        <f t="shared" si="11"/>
        <v>2007-08</v>
      </c>
      <c r="R116" s="206" t="str">
        <f t="shared" si="11"/>
        <v>2008-09</v>
      </c>
      <c r="S116" s="206" t="str">
        <f t="shared" si="11"/>
        <v>2009-10</v>
      </c>
      <c r="T116" s="206" t="str">
        <f t="shared" si="11"/>
        <v>2010-11</v>
      </c>
      <c r="U116" s="206" t="str">
        <f t="shared" si="11"/>
        <v>2011-12</v>
      </c>
      <c r="V116" s="206" t="str">
        <f t="shared" si="11"/>
        <v>2012-13</v>
      </c>
      <c r="W116" s="206" t="str">
        <f t="shared" si="11"/>
        <v>2013-14</v>
      </c>
      <c r="X116" s="206" t="str">
        <f t="shared" si="11"/>
        <v>2014-15</v>
      </c>
      <c r="Y116" s="206" t="str">
        <f t="shared" si="11"/>
        <v>2015-16</v>
      </c>
      <c r="Z116" s="206" t="str">
        <f t="shared" si="11"/>
        <v>2016-17</v>
      </c>
      <c r="AA116" s="173" t="str">
        <f>AA$16</f>
        <v>2017-18</v>
      </c>
      <c r="AB116" s="173" t="str">
        <f>'2017 Determination - Revenue'!G$16</f>
        <v>2018-19</v>
      </c>
      <c r="AC116" s="127"/>
      <c r="AF116" s="148"/>
    </row>
    <row r="117" spans="2:32" x14ac:dyDescent="0.2">
      <c r="B117" s="55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205" t="s">
        <v>145</v>
      </c>
      <c r="AA117" s="197" t="str">
        <f>F17</f>
        <v>Actual</v>
      </c>
      <c r="AB117" s="195" t="s">
        <v>109</v>
      </c>
      <c r="AC117" s="128"/>
      <c r="AF117" s="148"/>
    </row>
    <row r="118" spans="2:32" x14ac:dyDescent="0.2">
      <c r="B118" s="55"/>
      <c r="C118" s="43"/>
      <c r="D118" s="43"/>
      <c r="E118" s="43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40"/>
      <c r="Z118" s="133"/>
      <c r="AA118" s="116"/>
      <c r="AB118" s="116"/>
      <c r="AC118" s="128"/>
      <c r="AF118" s="148"/>
    </row>
    <row r="119" spans="2:32" s="148" customFormat="1" x14ac:dyDescent="0.2">
      <c r="B119" s="55" t="s">
        <v>162</v>
      </c>
      <c r="C119" s="43"/>
      <c r="D119" s="43"/>
      <c r="E119" s="43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40"/>
      <c r="Z119" s="133"/>
      <c r="AA119" s="116"/>
      <c r="AB119" s="116"/>
      <c r="AC119" s="128"/>
      <c r="AD119" s="39"/>
    </row>
    <row r="120" spans="2:32" x14ac:dyDescent="0.2">
      <c r="B120" s="87" t="str">
        <f>'Updated Volumes'!B$33</f>
        <v xml:space="preserve">Minor customers (filtered) </v>
      </c>
      <c r="C120" s="43" t="str">
        <f>'MDB calcs'!$C$102</f>
        <v>#</v>
      </c>
      <c r="D120" s="43"/>
      <c r="E120" s="43"/>
      <c r="F120" s="204" t="s">
        <v>145</v>
      </c>
      <c r="G120" s="204" t="s">
        <v>145</v>
      </c>
      <c r="H120" s="204" t="s">
        <v>145</v>
      </c>
      <c r="I120" s="204" t="s">
        <v>145</v>
      </c>
      <c r="J120" s="204" t="s">
        <v>145</v>
      </c>
      <c r="K120" s="204" t="s">
        <v>145</v>
      </c>
      <c r="L120" s="204" t="s">
        <v>145</v>
      </c>
      <c r="M120" s="204" t="s">
        <v>145</v>
      </c>
      <c r="N120" s="204" t="s">
        <v>145</v>
      </c>
      <c r="O120" s="204" t="s">
        <v>145</v>
      </c>
      <c r="P120" s="204" t="s">
        <v>145</v>
      </c>
      <c r="Q120" s="204" t="s">
        <v>145</v>
      </c>
      <c r="R120" s="204" t="s">
        <v>145</v>
      </c>
      <c r="S120" s="204" t="s">
        <v>145</v>
      </c>
      <c r="T120" s="204" t="s">
        <v>145</v>
      </c>
      <c r="U120" s="204" t="s">
        <v>145</v>
      </c>
      <c r="V120" s="204" t="s">
        <v>145</v>
      </c>
      <c r="W120" s="204" t="s">
        <v>145</v>
      </c>
      <c r="X120" s="204" t="s">
        <v>145</v>
      </c>
      <c r="Y120" s="204" t="s">
        <v>145</v>
      </c>
      <c r="Z120" s="204" t="s">
        <v>145</v>
      </c>
      <c r="AA120" s="135">
        <v>216</v>
      </c>
      <c r="AB120" s="135">
        <v>224</v>
      </c>
      <c r="AC120" s="128"/>
    </row>
    <row r="121" spans="2:32" x14ac:dyDescent="0.2">
      <c r="B121" s="87" t="str">
        <f>'Updated Volumes'!B$32</f>
        <v xml:space="preserve">Minor customers (raw) </v>
      </c>
      <c r="C121" s="43" t="str">
        <f>'MDB calcs'!$C$102</f>
        <v>#</v>
      </c>
      <c r="D121" s="43"/>
      <c r="E121" s="43"/>
      <c r="F121" s="204" t="s">
        <v>145</v>
      </c>
      <c r="G121" s="204" t="s">
        <v>145</v>
      </c>
      <c r="H121" s="204" t="s">
        <v>145</v>
      </c>
      <c r="I121" s="204" t="s">
        <v>145</v>
      </c>
      <c r="J121" s="204" t="s">
        <v>145</v>
      </c>
      <c r="K121" s="204" t="s">
        <v>145</v>
      </c>
      <c r="L121" s="204" t="s">
        <v>145</v>
      </c>
      <c r="M121" s="204" t="s">
        <v>145</v>
      </c>
      <c r="N121" s="204" t="s">
        <v>145</v>
      </c>
      <c r="O121" s="204" t="s">
        <v>145</v>
      </c>
      <c r="P121" s="204" t="s">
        <v>145</v>
      </c>
      <c r="Q121" s="204" t="s">
        <v>145</v>
      </c>
      <c r="R121" s="204" t="s">
        <v>145</v>
      </c>
      <c r="S121" s="204" t="s">
        <v>145</v>
      </c>
      <c r="T121" s="204" t="s">
        <v>145</v>
      </c>
      <c r="U121" s="204" t="s">
        <v>145</v>
      </c>
      <c r="V121" s="204" t="s">
        <v>145</v>
      </c>
      <c r="W121" s="204" t="s">
        <v>145</v>
      </c>
      <c r="X121" s="204" t="s">
        <v>145</v>
      </c>
      <c r="Y121" s="204" t="s">
        <v>145</v>
      </c>
      <c r="Z121" s="204" t="s">
        <v>145</v>
      </c>
      <c r="AA121" s="135">
        <v>83</v>
      </c>
      <c r="AB121" s="135">
        <v>83</v>
      </c>
      <c r="AC121" s="128"/>
    </row>
    <row r="122" spans="2:32" s="148" customFormat="1" x14ac:dyDescent="0.2">
      <c r="B122" s="87"/>
      <c r="C122" s="43"/>
      <c r="D122" s="43"/>
      <c r="E122" s="43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35"/>
      <c r="AB122" s="135"/>
      <c r="AC122" s="128"/>
      <c r="AD122" s="39"/>
    </row>
    <row r="123" spans="2:32" s="148" customFormat="1" x14ac:dyDescent="0.2">
      <c r="B123" s="55" t="s">
        <v>131</v>
      </c>
      <c r="C123" s="43"/>
      <c r="D123" s="43"/>
      <c r="E123" s="43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40"/>
      <c r="Z123" s="116"/>
      <c r="AA123" s="116"/>
      <c r="AB123" s="116"/>
      <c r="AC123" s="128"/>
      <c r="AD123" s="39"/>
    </row>
    <row r="124" spans="2:32" s="148" customFormat="1" x14ac:dyDescent="0.2">
      <c r="B124" s="48" t="str">
        <f>B$31</f>
        <v xml:space="preserve">Energy Australia </v>
      </c>
      <c r="C124" s="43" t="str">
        <f t="shared" ref="C124:C126" si="12">C$20</f>
        <v>ML</v>
      </c>
      <c r="D124" s="43"/>
      <c r="E124" s="43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40"/>
      <c r="AA124" s="135">
        <v>8184</v>
      </c>
      <c r="AB124" s="135">
        <v>8184</v>
      </c>
      <c r="AC124" s="128"/>
      <c r="AD124" s="39"/>
    </row>
    <row r="125" spans="2:32" s="148" customFormat="1" x14ac:dyDescent="0.2">
      <c r="B125" s="48" t="str">
        <f>B$32</f>
        <v xml:space="preserve">Minor customers (raw) </v>
      </c>
      <c r="C125" s="43" t="str">
        <f t="shared" si="12"/>
        <v>ML</v>
      </c>
      <c r="D125" s="43"/>
      <c r="E125" s="43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40"/>
      <c r="AA125" s="135">
        <v>16.600000000000001</v>
      </c>
      <c r="AB125" s="135">
        <v>16.600000000000001</v>
      </c>
      <c r="AC125" s="128"/>
      <c r="AD125" s="39"/>
    </row>
    <row r="126" spans="2:32" s="148" customFormat="1" x14ac:dyDescent="0.2">
      <c r="B126" s="48" t="str">
        <f>B$33</f>
        <v xml:space="preserve">Minor customers (filtered) </v>
      </c>
      <c r="C126" s="43" t="str">
        <f t="shared" si="12"/>
        <v>ML</v>
      </c>
      <c r="D126" s="43"/>
      <c r="E126" s="43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40"/>
      <c r="AA126" s="135">
        <v>43.2</v>
      </c>
      <c r="AB126" s="135">
        <v>44.8</v>
      </c>
      <c r="AC126" s="128"/>
      <c r="AD126" s="39"/>
    </row>
    <row r="127" spans="2:32" x14ac:dyDescent="0.2">
      <c r="B127" s="50"/>
      <c r="C127" s="41"/>
      <c r="D127" s="41"/>
      <c r="E127" s="41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O207"/>
  <sheetViews>
    <sheetView showGridLines="0" zoomScaleNormal="100" workbookViewId="0"/>
  </sheetViews>
  <sheetFormatPr defaultRowHeight="12" x14ac:dyDescent="0.2"/>
  <cols>
    <col min="1" max="1" width="3" style="37" customWidth="1"/>
    <col min="2" max="2" width="40.7109375" style="37" customWidth="1"/>
    <col min="3" max="3" width="9" style="37" customWidth="1"/>
    <col min="4" max="5" width="5.7109375" style="37" customWidth="1"/>
    <col min="6" max="7" width="13.7109375" style="37" customWidth="1"/>
    <col min="8" max="8" width="5.7109375" style="37" customWidth="1"/>
    <col min="9" max="9" width="11.85546875" style="37" bestFit="1" customWidth="1"/>
    <col min="10" max="16384" width="9.140625" style="37"/>
  </cols>
  <sheetData>
    <row r="1" spans="2:15" x14ac:dyDescent="0.2">
      <c r="N1" s="148"/>
      <c r="O1" s="148"/>
    </row>
    <row r="2" spans="2:15" ht="18" x14ac:dyDescent="0.25">
      <c r="B2" s="40" t="s">
        <v>183</v>
      </c>
      <c r="N2" s="148"/>
      <c r="O2" s="148"/>
    </row>
    <row r="3" spans="2:15" x14ac:dyDescent="0.2">
      <c r="B3" s="37" t="s">
        <v>194</v>
      </c>
    </row>
    <row r="5" spans="2:15" x14ac:dyDescent="0.2">
      <c r="B5" s="163" t="s">
        <v>28</v>
      </c>
      <c r="C5" s="163"/>
      <c r="D5" s="163"/>
      <c r="F5" s="209" t="s">
        <v>29</v>
      </c>
    </row>
    <row r="6" spans="2:15" ht="14.25" customHeight="1" x14ac:dyDescent="0.2">
      <c r="B6" s="210" t="str">
        <f>B14</f>
        <v>TABLE 2.1 - INFLATION</v>
      </c>
      <c r="C6" s="211"/>
      <c r="D6" s="211"/>
      <c r="E6" s="46"/>
      <c r="F6" s="212">
        <f>ROW(B14)</f>
        <v>14</v>
      </c>
    </row>
    <row r="7" spans="2:15" x14ac:dyDescent="0.2">
      <c r="B7" s="207" t="str">
        <f>B22</f>
        <v xml:space="preserve">TABLE 2.2 - REVENUE REQUIREMENT EXCLUDING MDBA/BRC REVENUE </v>
      </c>
      <c r="C7" s="207"/>
      <c r="D7" s="207"/>
      <c r="E7" s="43"/>
      <c r="F7" s="153">
        <f>ROW(B22)</f>
        <v>22</v>
      </c>
    </row>
    <row r="8" spans="2:15" x14ac:dyDescent="0.2">
      <c r="B8" s="207" t="str">
        <f>B70</f>
        <v>TABLE 2.3 - MDBA/BRC REVENUE REQUIREMENT</v>
      </c>
      <c r="C8" s="207"/>
      <c r="D8" s="207"/>
      <c r="E8" s="43"/>
      <c r="F8" s="153">
        <f>ROW(B70)</f>
        <v>70</v>
      </c>
    </row>
    <row r="9" spans="2:15" x14ac:dyDescent="0.2">
      <c r="B9" s="207" t="str">
        <f>B100</f>
        <v>TABLE 2.4 - SECURITY FACTORS</v>
      </c>
      <c r="C9" s="207"/>
      <c r="D9" s="207"/>
      <c r="E9" s="43"/>
      <c r="F9" s="153">
        <f>ROW(B100)</f>
        <v>100</v>
      </c>
      <c r="J9" s="148"/>
    </row>
    <row r="10" spans="2:15" s="148" customFormat="1" x14ac:dyDescent="0.2">
      <c r="B10" s="208" t="str">
        <f>B119</f>
        <v>TABLE 2.5 - CUSTOMER USAGE VOLUMES FOR CALCULATION OF BILLS</v>
      </c>
      <c r="C10" s="208"/>
      <c r="D10" s="208"/>
      <c r="E10" s="41"/>
      <c r="F10" s="134">
        <f>ROW(B119)</f>
        <v>119</v>
      </c>
    </row>
    <row r="11" spans="2:15" x14ac:dyDescent="0.2">
      <c r="J11" s="148"/>
    </row>
    <row r="12" spans="2:15" x14ac:dyDescent="0.2">
      <c r="J12" s="148"/>
    </row>
    <row r="13" spans="2:15" x14ac:dyDescent="0.2">
      <c r="J13" s="148"/>
    </row>
    <row r="14" spans="2:15" x14ac:dyDescent="0.2">
      <c r="B14" s="38" t="s">
        <v>64</v>
      </c>
      <c r="J14" s="148"/>
    </row>
    <row r="15" spans="2:15" x14ac:dyDescent="0.2">
      <c r="B15" s="45" t="s">
        <v>25</v>
      </c>
      <c r="C15" s="46" t="str">
        <f>C$23</f>
        <v>Units</v>
      </c>
      <c r="D15" s="46"/>
      <c r="E15" s="46"/>
      <c r="F15" s="190">
        <f>G15-1</f>
        <v>2018</v>
      </c>
      <c r="G15" s="191">
        <v>2019</v>
      </c>
      <c r="H15" s="47"/>
      <c r="J15" s="148"/>
    </row>
    <row r="16" spans="2:15" ht="12" customHeight="1" x14ac:dyDescent="0.2">
      <c r="B16" s="48" t="s">
        <v>26</v>
      </c>
      <c r="C16" s="43"/>
      <c r="D16" s="43"/>
      <c r="E16" s="43"/>
      <c r="F16" s="174" t="str">
        <f>F15-1&amp;"-"&amp;RIGHT(F15,2)</f>
        <v>2017-18</v>
      </c>
      <c r="G16" s="174" t="str">
        <f>G15-1&amp;"-"&amp;RIGHT(G15,2)</f>
        <v>2018-19</v>
      </c>
      <c r="H16" s="49"/>
      <c r="J16" s="148"/>
    </row>
    <row r="17" spans="2:10" ht="12" customHeight="1" x14ac:dyDescent="0.2">
      <c r="B17" s="48"/>
      <c r="C17" s="43"/>
      <c r="D17" s="43"/>
      <c r="E17" s="43"/>
      <c r="F17" s="146"/>
      <c r="G17" s="43"/>
      <c r="H17" s="49"/>
      <c r="J17" s="148"/>
    </row>
    <row r="18" spans="2:10" ht="12" customHeight="1" x14ac:dyDescent="0.2">
      <c r="B18" s="48" t="s">
        <v>60</v>
      </c>
      <c r="C18" s="29" t="s">
        <v>1</v>
      </c>
      <c r="D18" s="43"/>
      <c r="F18" s="251">
        <v>2.1000000000000001E-2</v>
      </c>
      <c r="G18" s="251">
        <v>1.9E-2</v>
      </c>
      <c r="H18" s="49"/>
      <c r="I18" s="156"/>
      <c r="J18" s="148"/>
    </row>
    <row r="19" spans="2:10" x14ac:dyDescent="0.2">
      <c r="B19" s="50"/>
      <c r="C19" s="41"/>
      <c r="D19" s="41"/>
      <c r="E19" s="41"/>
      <c r="F19" s="41"/>
      <c r="G19" s="41"/>
      <c r="H19" s="51"/>
      <c r="J19" s="148"/>
    </row>
    <row r="20" spans="2:10" x14ac:dyDescent="0.2">
      <c r="J20" s="148"/>
    </row>
    <row r="21" spans="2:10" x14ac:dyDescent="0.2">
      <c r="J21" s="148"/>
    </row>
    <row r="22" spans="2:10" x14ac:dyDescent="0.2">
      <c r="B22" s="38" t="s">
        <v>65</v>
      </c>
      <c r="J22" s="148"/>
    </row>
    <row r="23" spans="2:10" x14ac:dyDescent="0.2">
      <c r="B23" s="45" t="str">
        <f>B16</f>
        <v>Financial year</v>
      </c>
      <c r="C23" s="46" t="s">
        <v>27</v>
      </c>
      <c r="D23" s="46"/>
      <c r="E23" s="46"/>
      <c r="F23" s="175" t="str">
        <f>F$16</f>
        <v>2017-18</v>
      </c>
      <c r="G23" s="175" t="str">
        <f>G$16</f>
        <v>2018-19</v>
      </c>
      <c r="H23" s="192"/>
      <c r="J23" s="148"/>
    </row>
    <row r="24" spans="2:10" x14ac:dyDescent="0.2">
      <c r="B24" s="48"/>
      <c r="C24" s="43"/>
      <c r="D24" s="43"/>
      <c r="E24" s="53"/>
      <c r="F24" s="176" t="s">
        <v>61</v>
      </c>
      <c r="G24" s="177" t="str">
        <f>'2017 Determination - Revenue'!$F$24</f>
        <v>$2016-17</v>
      </c>
      <c r="H24" s="193"/>
      <c r="J24" s="148"/>
    </row>
    <row r="25" spans="2:10" x14ac:dyDescent="0.2">
      <c r="B25" s="48"/>
      <c r="C25" s="43"/>
      <c r="D25" s="43"/>
      <c r="E25" s="43"/>
      <c r="F25" s="43"/>
      <c r="G25" s="43"/>
      <c r="H25" s="49"/>
    </row>
    <row r="26" spans="2:10" x14ac:dyDescent="0.2">
      <c r="B26" s="55" t="s">
        <v>12</v>
      </c>
      <c r="C26" s="43"/>
      <c r="D26" s="43"/>
      <c r="E26" s="43"/>
      <c r="F26" s="43"/>
      <c r="G26" s="43"/>
      <c r="H26" s="49"/>
    </row>
    <row r="27" spans="2:10" s="148" customFormat="1" x14ac:dyDescent="0.2">
      <c r="B27" s="102" t="s">
        <v>196</v>
      </c>
      <c r="C27" s="43"/>
      <c r="D27" s="43"/>
      <c r="E27" s="43"/>
      <c r="F27" s="43"/>
      <c r="G27" s="43"/>
      <c r="H27" s="49"/>
    </row>
    <row r="28" spans="2:10" ht="12" customHeight="1" x14ac:dyDescent="0.2">
      <c r="B28" s="30" t="s">
        <v>17</v>
      </c>
      <c r="C28" s="29" t="s">
        <v>13</v>
      </c>
      <c r="D28" s="43"/>
      <c r="E28" s="43"/>
      <c r="F28" s="135">
        <v>1344.7697650285472</v>
      </c>
      <c r="G28" s="135">
        <v>1344.7697650285472</v>
      </c>
      <c r="H28" s="49"/>
    </row>
    <row r="29" spans="2:10" x14ac:dyDescent="0.2">
      <c r="B29" s="30" t="s">
        <v>18</v>
      </c>
      <c r="C29" s="43" t="str">
        <f t="shared" ref="C29:C66" si="0">C$28</f>
        <v>$'000</v>
      </c>
      <c r="D29" s="43"/>
      <c r="E29" s="43"/>
      <c r="F29" s="135">
        <v>5187.1886948974634</v>
      </c>
      <c r="G29" s="135">
        <v>5187.1886948974634</v>
      </c>
      <c r="H29" s="49"/>
    </row>
    <row r="30" spans="2:10" x14ac:dyDescent="0.2">
      <c r="B30" s="30" t="s">
        <v>19</v>
      </c>
      <c r="C30" s="43" t="str">
        <f t="shared" si="0"/>
        <v>$'000</v>
      </c>
      <c r="D30" s="43"/>
      <c r="E30" s="43"/>
      <c r="F30" s="135">
        <v>5486.6491176172922</v>
      </c>
      <c r="G30" s="135">
        <v>5486.6491176172922</v>
      </c>
      <c r="H30" s="49"/>
    </row>
    <row r="31" spans="2:10" x14ac:dyDescent="0.2">
      <c r="B31" s="30" t="s">
        <v>20</v>
      </c>
      <c r="C31" s="43" t="str">
        <f t="shared" si="0"/>
        <v>$'000</v>
      </c>
      <c r="D31" s="43"/>
      <c r="E31" s="43"/>
      <c r="F31" s="135">
        <v>1055.9400280129389</v>
      </c>
      <c r="G31" s="135">
        <v>1055.9400280129389</v>
      </c>
      <c r="H31" s="49"/>
    </row>
    <row r="32" spans="2:10" x14ac:dyDescent="0.2">
      <c r="B32" s="30" t="s">
        <v>21</v>
      </c>
      <c r="C32" s="43" t="str">
        <f t="shared" si="0"/>
        <v>$'000</v>
      </c>
      <c r="D32" s="43"/>
      <c r="E32" s="43"/>
      <c r="F32" s="135">
        <v>6536.1319155625815</v>
      </c>
      <c r="G32" s="135">
        <v>6536.1319155625815</v>
      </c>
      <c r="H32" s="49"/>
    </row>
    <row r="33" spans="2:8" x14ac:dyDescent="0.2">
      <c r="B33" s="30" t="s">
        <v>22</v>
      </c>
      <c r="C33" s="43" t="str">
        <f t="shared" si="0"/>
        <v>$'000</v>
      </c>
      <c r="D33" s="43"/>
      <c r="E33" s="43"/>
      <c r="F33" s="135">
        <v>5952.9292820896098</v>
      </c>
      <c r="G33" s="135">
        <v>5952.9292820896098</v>
      </c>
      <c r="H33" s="49"/>
    </row>
    <row r="34" spans="2:8" x14ac:dyDescent="0.2">
      <c r="B34" s="30" t="s">
        <v>23</v>
      </c>
      <c r="C34" s="43" t="str">
        <f t="shared" si="0"/>
        <v>$'000</v>
      </c>
      <c r="D34" s="43"/>
      <c r="E34" s="43"/>
      <c r="F34" s="135">
        <v>4947.1990109016042</v>
      </c>
      <c r="G34" s="135">
        <v>4947.1990109016042</v>
      </c>
      <c r="H34" s="49"/>
    </row>
    <row r="35" spans="2:8" x14ac:dyDescent="0.2">
      <c r="B35" s="30" t="s">
        <v>24</v>
      </c>
      <c r="C35" s="43" t="str">
        <f t="shared" si="0"/>
        <v>$'000</v>
      </c>
      <c r="D35" s="43"/>
      <c r="E35" s="43"/>
      <c r="F35" s="135">
        <v>9568.6577255460525</v>
      </c>
      <c r="G35" s="135">
        <v>9568.6577255460525</v>
      </c>
      <c r="H35" s="49"/>
    </row>
    <row r="36" spans="2:8" x14ac:dyDescent="0.2">
      <c r="B36" s="30" t="s">
        <v>48</v>
      </c>
      <c r="C36" s="43" t="str">
        <f t="shared" si="0"/>
        <v>$'000</v>
      </c>
      <c r="D36" s="43"/>
      <c r="E36" s="43"/>
      <c r="F36" s="135">
        <v>585.59474030538888</v>
      </c>
      <c r="G36" s="135">
        <v>585.59474030538888</v>
      </c>
      <c r="H36" s="49"/>
    </row>
    <row r="37" spans="2:8" x14ac:dyDescent="0.2">
      <c r="B37" s="48"/>
      <c r="C37" s="43"/>
      <c r="D37" s="43"/>
      <c r="E37" s="43"/>
      <c r="F37" s="57"/>
      <c r="G37" s="57"/>
      <c r="H37" s="49"/>
    </row>
    <row r="38" spans="2:8" x14ac:dyDescent="0.2">
      <c r="B38" s="55" t="s">
        <v>14</v>
      </c>
      <c r="C38" s="43"/>
      <c r="D38" s="43"/>
      <c r="E38" s="43"/>
      <c r="F38" s="57"/>
      <c r="G38" s="57"/>
      <c r="H38" s="49"/>
    </row>
    <row r="39" spans="2:8" s="148" customFormat="1" x14ac:dyDescent="0.2">
      <c r="B39" s="102" t="s">
        <v>199</v>
      </c>
      <c r="C39" s="43"/>
      <c r="D39" s="43"/>
      <c r="E39" s="43"/>
      <c r="F39" s="57"/>
      <c r="G39" s="57"/>
      <c r="H39" s="49"/>
    </row>
    <row r="40" spans="2:8" ht="12" customHeight="1" x14ac:dyDescent="0.2">
      <c r="B40" s="48" t="str">
        <f>B$28</f>
        <v>Border</v>
      </c>
      <c r="C40" s="43" t="str">
        <f>C$28</f>
        <v>$'000</v>
      </c>
      <c r="D40" s="43"/>
      <c r="E40" s="43"/>
      <c r="F40" s="135">
        <v>0.42300375905943677</v>
      </c>
      <c r="G40" s="135">
        <v>0.42283210292037304</v>
      </c>
      <c r="H40" s="49"/>
    </row>
    <row r="41" spans="2:8" x14ac:dyDescent="0.2">
      <c r="B41" s="48" t="str">
        <f>B$29</f>
        <v>Gwydir</v>
      </c>
      <c r="C41" s="43" t="str">
        <f t="shared" ref="C41:C48" si="1">C$28</f>
        <v>$'000</v>
      </c>
      <c r="D41" s="43"/>
      <c r="E41" s="43"/>
      <c r="F41" s="135">
        <v>2.7630963593181632</v>
      </c>
      <c r="G41" s="135">
        <v>2.924583884810791</v>
      </c>
      <c r="H41" s="49"/>
    </row>
    <row r="42" spans="2:8" x14ac:dyDescent="0.2">
      <c r="B42" s="48" t="str">
        <f>B$30</f>
        <v>Namoi</v>
      </c>
      <c r="C42" s="43" t="str">
        <f t="shared" si="1"/>
        <v>$'000</v>
      </c>
      <c r="D42" s="43"/>
      <c r="E42" s="43"/>
      <c r="F42" s="135">
        <v>2.9666332624247782</v>
      </c>
      <c r="G42" s="135">
        <v>3.1721037305938724</v>
      </c>
      <c r="H42" s="49"/>
    </row>
    <row r="43" spans="2:8" x14ac:dyDescent="0.2">
      <c r="B43" s="48" t="str">
        <f>B$31</f>
        <v>Peel</v>
      </c>
      <c r="C43" s="43" t="str">
        <f t="shared" si="1"/>
        <v>$'000</v>
      </c>
      <c r="D43" s="43"/>
      <c r="E43" s="43"/>
      <c r="F43" s="135">
        <v>0.57981288010505405</v>
      </c>
      <c r="G43" s="135">
        <v>0.62893235568073658</v>
      </c>
      <c r="H43" s="49"/>
    </row>
    <row r="44" spans="2:8" x14ac:dyDescent="0.2">
      <c r="B44" s="48" t="str">
        <f>B$32</f>
        <v>Lachlan</v>
      </c>
      <c r="C44" s="43" t="str">
        <f t="shared" si="1"/>
        <v>$'000</v>
      </c>
      <c r="D44" s="43"/>
      <c r="E44" s="43"/>
      <c r="F44" s="135">
        <v>4.3930446623463713</v>
      </c>
      <c r="G44" s="135">
        <v>4.6462324913137074</v>
      </c>
      <c r="H44" s="49"/>
    </row>
    <row r="45" spans="2:8" x14ac:dyDescent="0.2">
      <c r="B45" s="48" t="str">
        <f>B$33</f>
        <v>Macquarie</v>
      </c>
      <c r="C45" s="43" t="str">
        <f t="shared" si="1"/>
        <v>$'000</v>
      </c>
      <c r="D45" s="43"/>
      <c r="E45" s="43"/>
      <c r="F45" s="135">
        <v>3.5063339822320896</v>
      </c>
      <c r="G45" s="135">
        <v>3.6716043145472503</v>
      </c>
      <c r="H45" s="49"/>
    </row>
    <row r="46" spans="2:8" x14ac:dyDescent="0.2">
      <c r="B46" s="48" t="str">
        <f>B$34</f>
        <v>Murray</v>
      </c>
      <c r="C46" s="43" t="str">
        <f t="shared" si="1"/>
        <v>$'000</v>
      </c>
      <c r="D46" s="43"/>
      <c r="E46" s="43"/>
      <c r="F46" s="135">
        <v>3.2523265922854026</v>
      </c>
      <c r="G46" s="135">
        <v>3.2329692077925882</v>
      </c>
      <c r="H46" s="49"/>
    </row>
    <row r="47" spans="2:8" x14ac:dyDescent="0.2">
      <c r="B47" s="48" t="str">
        <f>B$35</f>
        <v>Murrumbidgee</v>
      </c>
      <c r="C47" s="43" t="str">
        <f t="shared" si="1"/>
        <v>$'000</v>
      </c>
      <c r="D47" s="43"/>
      <c r="E47" s="43"/>
      <c r="F47" s="135">
        <v>4.8425500382906774</v>
      </c>
      <c r="G47" s="135">
        <v>5.4895476637761655</v>
      </c>
      <c r="H47" s="49"/>
    </row>
    <row r="48" spans="2:8" x14ac:dyDescent="0.2">
      <c r="B48" s="48" t="str">
        <f>B$36</f>
        <v>Lowbidgee</v>
      </c>
      <c r="C48" s="43" t="str">
        <f t="shared" si="1"/>
        <v>$'000</v>
      </c>
      <c r="D48" s="43"/>
      <c r="E48" s="43"/>
      <c r="F48" s="135">
        <v>0.25186174210439005</v>
      </c>
      <c r="G48" s="135">
        <v>0.48143298824675335</v>
      </c>
      <c r="H48" s="49"/>
    </row>
    <row r="49" spans="2:10" x14ac:dyDescent="0.2">
      <c r="B49" s="48"/>
      <c r="C49" s="43"/>
      <c r="D49" s="43"/>
      <c r="E49" s="43"/>
      <c r="F49" s="104"/>
      <c r="G49" s="104"/>
      <c r="H49" s="49"/>
    </row>
    <row r="50" spans="2:10" x14ac:dyDescent="0.2">
      <c r="B50" s="55" t="s">
        <v>35</v>
      </c>
      <c r="C50" s="43"/>
      <c r="D50" s="43"/>
      <c r="E50" s="43"/>
      <c r="F50" s="57"/>
      <c r="G50" s="57"/>
      <c r="H50" s="49"/>
    </row>
    <row r="51" spans="2:10" s="148" customFormat="1" x14ac:dyDescent="0.2">
      <c r="B51" s="102" t="s">
        <v>197</v>
      </c>
      <c r="C51" s="43"/>
      <c r="D51" s="43"/>
      <c r="E51" s="43"/>
      <c r="F51" s="57"/>
      <c r="G51" s="57"/>
      <c r="H51" s="49"/>
    </row>
    <row r="52" spans="2:10" ht="12" customHeight="1" x14ac:dyDescent="0.2">
      <c r="B52" s="48" t="str">
        <f>B$28</f>
        <v>Border</v>
      </c>
      <c r="C52" s="43" t="str">
        <f t="shared" ref="C52:C60" si="2">C$18</f>
        <v>%</v>
      </c>
      <c r="D52" s="43"/>
      <c r="E52" s="43"/>
      <c r="F52" s="152">
        <v>0.39985398308317421</v>
      </c>
      <c r="G52" s="152">
        <v>0.39985398308317421</v>
      </c>
      <c r="H52" s="49"/>
    </row>
    <row r="53" spans="2:10" x14ac:dyDescent="0.2">
      <c r="B53" s="48" t="str">
        <f>B$29</f>
        <v>Gwydir</v>
      </c>
      <c r="C53" s="43" t="str">
        <f t="shared" si="2"/>
        <v>%</v>
      </c>
      <c r="D53" s="43"/>
      <c r="E53" s="43"/>
      <c r="F53" s="152">
        <v>0.39964720618660354</v>
      </c>
      <c r="G53" s="152">
        <v>0.39964720618660354</v>
      </c>
      <c r="H53" s="49"/>
    </row>
    <row r="54" spans="2:10" x14ac:dyDescent="0.2">
      <c r="B54" s="48" t="str">
        <f>B$30</f>
        <v>Namoi</v>
      </c>
      <c r="C54" s="43" t="str">
        <f t="shared" si="2"/>
        <v>%</v>
      </c>
      <c r="D54" s="43"/>
      <c r="E54" s="43"/>
      <c r="F54" s="152">
        <v>0.39941731550503651</v>
      </c>
      <c r="G54" s="152">
        <v>0.39941731550503651</v>
      </c>
      <c r="H54" s="49"/>
    </row>
    <row r="55" spans="2:10" ht="12" customHeight="1" x14ac:dyDescent="0.2">
      <c r="B55" s="48" t="str">
        <f>B$31</f>
        <v>Peel</v>
      </c>
      <c r="C55" s="43" t="str">
        <f t="shared" si="2"/>
        <v>%</v>
      </c>
      <c r="D55" s="43"/>
      <c r="E55" s="43"/>
      <c r="F55" s="152">
        <v>0.39992435178089208</v>
      </c>
      <c r="G55" s="152">
        <v>0.79994956149462293</v>
      </c>
      <c r="H55" s="49"/>
    </row>
    <row r="56" spans="2:10" x14ac:dyDescent="0.2">
      <c r="B56" s="48" t="str">
        <f>B$32</f>
        <v>Lachlan</v>
      </c>
      <c r="C56" s="43" t="str">
        <f t="shared" si="2"/>
        <v>%</v>
      </c>
      <c r="D56" s="43"/>
      <c r="E56" s="43"/>
      <c r="F56" s="152">
        <v>0.39953044957981787</v>
      </c>
      <c r="G56" s="152">
        <v>0.39953044957981787</v>
      </c>
      <c r="H56" s="49"/>
    </row>
    <row r="57" spans="2:10" x14ac:dyDescent="0.2">
      <c r="B57" s="48" t="str">
        <f>B$33</f>
        <v>Macquarie</v>
      </c>
      <c r="C57" s="43" t="str">
        <f t="shared" si="2"/>
        <v>%</v>
      </c>
      <c r="D57" s="43"/>
      <c r="E57" s="43"/>
      <c r="F57" s="152">
        <v>0.39966791364333193</v>
      </c>
      <c r="G57" s="152">
        <v>0.39966791364333193</v>
      </c>
      <c r="H57" s="49"/>
    </row>
    <row r="58" spans="2:10" x14ac:dyDescent="0.2">
      <c r="B58" s="48" t="str">
        <f>B$34</f>
        <v>Murray</v>
      </c>
      <c r="C58" s="43" t="str">
        <f t="shared" si="2"/>
        <v>%</v>
      </c>
      <c r="D58" s="43"/>
      <c r="E58" s="43"/>
      <c r="F58" s="152">
        <v>0.39961980123667473</v>
      </c>
      <c r="G58" s="152">
        <v>0.39961980123667473</v>
      </c>
      <c r="H58" s="49"/>
    </row>
    <row r="59" spans="2:10" x14ac:dyDescent="0.2">
      <c r="B59" s="48" t="str">
        <f>B$35</f>
        <v>Murrumbidgee</v>
      </c>
      <c r="C59" s="43" t="str">
        <f t="shared" si="2"/>
        <v>%</v>
      </c>
      <c r="D59" s="43"/>
      <c r="E59" s="43"/>
      <c r="F59" s="152">
        <v>0.3996816330095963</v>
      </c>
      <c r="G59" s="152">
        <v>0.3996816330095963</v>
      </c>
      <c r="H59" s="49"/>
    </row>
    <row r="60" spans="2:10" x14ac:dyDescent="0.2">
      <c r="B60" s="48" t="str">
        <f>B$36</f>
        <v>Lowbidgee</v>
      </c>
      <c r="C60" s="43" t="str">
        <f t="shared" si="2"/>
        <v>%</v>
      </c>
      <c r="D60" s="43"/>
      <c r="E60" s="43"/>
      <c r="F60" s="152">
        <v>1</v>
      </c>
      <c r="G60" s="152">
        <v>1</v>
      </c>
      <c r="H60" s="49"/>
    </row>
    <row r="61" spans="2:10" ht="12" customHeight="1" x14ac:dyDescent="0.2">
      <c r="B61" s="48"/>
      <c r="C61" s="43"/>
      <c r="D61" s="43"/>
      <c r="E61" s="43"/>
      <c r="F61" s="57"/>
      <c r="G61" s="57"/>
      <c r="H61" s="49"/>
    </row>
    <row r="62" spans="2:10" x14ac:dyDescent="0.2">
      <c r="B62" s="55" t="s">
        <v>54</v>
      </c>
      <c r="C62" s="43"/>
      <c r="D62" s="43"/>
      <c r="E62" s="43"/>
      <c r="F62" s="57"/>
      <c r="G62" s="57"/>
      <c r="H62" s="49"/>
    </row>
    <row r="63" spans="2:10" s="148" customFormat="1" x14ac:dyDescent="0.2">
      <c r="B63" s="102" t="s">
        <v>195</v>
      </c>
      <c r="C63" s="43"/>
      <c r="D63" s="43"/>
      <c r="E63" s="43"/>
      <c r="F63" s="57"/>
      <c r="G63" s="57"/>
      <c r="H63" s="49"/>
    </row>
    <row r="64" spans="2:10" x14ac:dyDescent="0.2">
      <c r="B64" s="48" t="str">
        <f>'Updated Volumes'!B$31</f>
        <v xml:space="preserve">Energy Australia </v>
      </c>
      <c r="C64" s="43" t="str">
        <f t="shared" si="0"/>
        <v>$'000</v>
      </c>
      <c r="D64" s="43"/>
      <c r="E64" s="43"/>
      <c r="F64" s="135">
        <v>3582.3064354548201</v>
      </c>
      <c r="G64" s="135">
        <v>3582.3064354548201</v>
      </c>
      <c r="H64" s="49"/>
      <c r="I64" s="148"/>
      <c r="J64" s="148"/>
    </row>
    <row r="65" spans="2:10" s="148" customFormat="1" x14ac:dyDescent="0.2">
      <c r="B65" s="48" t="str">
        <f>'Updated Volumes'!B$32</f>
        <v xml:space="preserve">Minor customers (raw) </v>
      </c>
      <c r="C65" s="43" t="str">
        <f t="shared" si="0"/>
        <v>$'000</v>
      </c>
      <c r="D65" s="43"/>
      <c r="E65" s="43"/>
      <c r="F65" s="135">
        <v>31.820077004246794</v>
      </c>
      <c r="G65" s="135">
        <v>31.820077004246794</v>
      </c>
      <c r="H65" s="49"/>
    </row>
    <row r="66" spans="2:10" s="148" customFormat="1" x14ac:dyDescent="0.2">
      <c r="B66" s="48" t="str">
        <f>'Updated Volumes'!B$33</f>
        <v xml:space="preserve">Minor customers (filtered) </v>
      </c>
      <c r="C66" s="43" t="str">
        <f t="shared" si="0"/>
        <v>$'000</v>
      </c>
      <c r="D66" s="43"/>
      <c r="E66" s="43"/>
      <c r="F66" s="135">
        <v>140.89264543944256</v>
      </c>
      <c r="G66" s="135">
        <v>140.89264543944256</v>
      </c>
      <c r="H66" s="49"/>
    </row>
    <row r="67" spans="2:10" x14ac:dyDescent="0.2">
      <c r="B67" s="50"/>
      <c r="C67" s="41"/>
      <c r="D67" s="41"/>
      <c r="E67" s="41"/>
      <c r="F67" s="63"/>
      <c r="G67" s="63"/>
      <c r="H67" s="51"/>
      <c r="J67" s="148"/>
    </row>
    <row r="68" spans="2:10" x14ac:dyDescent="0.2">
      <c r="B68" s="46"/>
      <c r="C68" s="46"/>
      <c r="D68" s="46"/>
      <c r="E68" s="58"/>
      <c r="F68" s="59"/>
      <c r="G68" s="59"/>
      <c r="H68" s="46"/>
      <c r="J68" s="148"/>
    </row>
    <row r="69" spans="2:10" x14ac:dyDescent="0.2">
      <c r="F69" s="61"/>
      <c r="G69" s="61"/>
      <c r="J69" s="148"/>
    </row>
    <row r="70" spans="2:10" x14ac:dyDescent="0.2">
      <c r="B70" s="38" t="s">
        <v>154</v>
      </c>
      <c r="F70" s="61"/>
      <c r="G70" s="61"/>
      <c r="J70" s="148"/>
    </row>
    <row r="71" spans="2:10" x14ac:dyDescent="0.2">
      <c r="B71" s="45" t="str">
        <f>B$16</f>
        <v>Financial year</v>
      </c>
      <c r="C71" s="46" t="str">
        <f>C$23</f>
        <v>Units</v>
      </c>
      <c r="D71" s="46"/>
      <c r="E71" s="46"/>
      <c r="F71" s="178" t="str">
        <f>F$16</f>
        <v>2017-18</v>
      </c>
      <c r="G71" s="178" t="str">
        <f>G$16</f>
        <v>2018-19</v>
      </c>
      <c r="H71" s="47"/>
      <c r="J71" s="148"/>
    </row>
    <row r="72" spans="2:10" x14ac:dyDescent="0.2">
      <c r="B72" s="48"/>
      <c r="C72" s="43"/>
      <c r="D72" s="43"/>
      <c r="E72" s="43"/>
      <c r="F72" s="179" t="str">
        <f>'2017 Determination - Revenue'!$F$24</f>
        <v>$2016-17</v>
      </c>
      <c r="G72" s="179" t="str">
        <f>'2017 Determination - Revenue'!$F$24</f>
        <v>$2016-17</v>
      </c>
      <c r="H72" s="49"/>
      <c r="J72" s="148"/>
    </row>
    <row r="73" spans="2:10" x14ac:dyDescent="0.2">
      <c r="B73" s="55" t="s">
        <v>164</v>
      </c>
      <c r="C73" s="43"/>
      <c r="D73" s="43"/>
      <c r="E73" s="43"/>
      <c r="F73" s="57"/>
      <c r="G73" s="57"/>
      <c r="H73" s="49"/>
    </row>
    <row r="74" spans="2:10" s="148" customFormat="1" x14ac:dyDescent="0.2">
      <c r="B74" s="102" t="s">
        <v>200</v>
      </c>
      <c r="C74" s="43"/>
      <c r="D74" s="43"/>
      <c r="E74" s="43"/>
      <c r="F74" s="57"/>
      <c r="G74" s="57"/>
      <c r="H74" s="49"/>
    </row>
    <row r="75" spans="2:10" ht="12" customHeight="1" x14ac:dyDescent="0.2">
      <c r="B75" s="48" t="str">
        <f>B$28</f>
        <v>Border</v>
      </c>
      <c r="C75" s="43" t="str">
        <f>C$28</f>
        <v>$'000</v>
      </c>
      <c r="D75" s="43"/>
      <c r="E75" s="43"/>
      <c r="F75" s="135">
        <v>580.74690708289779</v>
      </c>
      <c r="G75" s="135">
        <v>580.74690708289779</v>
      </c>
      <c r="H75" s="49"/>
    </row>
    <row r="76" spans="2:10" x14ac:dyDescent="0.2">
      <c r="B76" s="48" t="str">
        <f>B$29</f>
        <v>Gwydir</v>
      </c>
      <c r="C76" s="43" t="str">
        <f t="shared" ref="C76:C83" si="3">C$28</f>
        <v>$'000</v>
      </c>
      <c r="D76" s="43"/>
      <c r="E76" s="43"/>
      <c r="F76" s="135">
        <v>0</v>
      </c>
      <c r="G76" s="135">
        <v>0</v>
      </c>
      <c r="H76" s="49"/>
    </row>
    <row r="77" spans="2:10" x14ac:dyDescent="0.2">
      <c r="B77" s="48" t="str">
        <f>B$30</f>
        <v>Namoi</v>
      </c>
      <c r="C77" s="43" t="str">
        <f t="shared" si="3"/>
        <v>$'000</v>
      </c>
      <c r="D77" s="43"/>
      <c r="E77" s="43"/>
      <c r="F77" s="135">
        <v>0</v>
      </c>
      <c r="G77" s="135">
        <v>0</v>
      </c>
      <c r="H77" s="49"/>
    </row>
    <row r="78" spans="2:10" x14ac:dyDescent="0.2">
      <c r="B78" s="48" t="str">
        <f>B$31</f>
        <v>Peel</v>
      </c>
      <c r="C78" s="43" t="str">
        <f t="shared" si="3"/>
        <v>$'000</v>
      </c>
      <c r="D78" s="43"/>
      <c r="E78" s="43"/>
      <c r="F78" s="135">
        <v>0</v>
      </c>
      <c r="G78" s="135">
        <v>0</v>
      </c>
      <c r="H78" s="49"/>
    </row>
    <row r="79" spans="2:10" x14ac:dyDescent="0.2">
      <c r="B79" s="48" t="str">
        <f>B$32</f>
        <v>Lachlan</v>
      </c>
      <c r="C79" s="43" t="str">
        <f t="shared" si="3"/>
        <v>$'000</v>
      </c>
      <c r="D79" s="43"/>
      <c r="E79" s="43"/>
      <c r="F79" s="135">
        <v>0</v>
      </c>
      <c r="G79" s="135">
        <v>0</v>
      </c>
      <c r="H79" s="49"/>
    </row>
    <row r="80" spans="2:10" x14ac:dyDescent="0.2">
      <c r="B80" s="48" t="str">
        <f>B$33</f>
        <v>Macquarie</v>
      </c>
      <c r="C80" s="43" t="str">
        <f t="shared" si="3"/>
        <v>$'000</v>
      </c>
      <c r="D80" s="43"/>
      <c r="E80" s="43"/>
      <c r="F80" s="135">
        <v>0</v>
      </c>
      <c r="G80" s="135">
        <v>0</v>
      </c>
      <c r="H80" s="49"/>
    </row>
    <row r="81" spans="2:8" x14ac:dyDescent="0.2">
      <c r="B81" s="48" t="str">
        <f>B$34</f>
        <v>Murray</v>
      </c>
      <c r="C81" s="43" t="str">
        <f t="shared" si="3"/>
        <v>$'000</v>
      </c>
      <c r="D81" s="43"/>
      <c r="E81" s="43"/>
      <c r="F81" s="135">
        <v>11669.017502586279</v>
      </c>
      <c r="G81" s="135">
        <v>11669.017502586279</v>
      </c>
      <c r="H81" s="49"/>
    </row>
    <row r="82" spans="2:8" x14ac:dyDescent="0.2">
      <c r="B82" s="48" t="str">
        <f>B$35</f>
        <v>Murrumbidgee</v>
      </c>
      <c r="C82" s="43" t="str">
        <f t="shared" si="3"/>
        <v>$'000</v>
      </c>
      <c r="D82" s="43"/>
      <c r="E82" s="43"/>
      <c r="F82" s="135">
        <v>2609.0415598931481</v>
      </c>
      <c r="G82" s="135">
        <v>2609.0415598931481</v>
      </c>
      <c r="H82" s="49"/>
    </row>
    <row r="83" spans="2:8" x14ac:dyDescent="0.2">
      <c r="B83" s="48" t="str">
        <f>B$36</f>
        <v>Lowbidgee</v>
      </c>
      <c r="C83" s="43" t="str">
        <f t="shared" si="3"/>
        <v>$'000</v>
      </c>
      <c r="D83" s="43"/>
      <c r="E83" s="43"/>
      <c r="F83" s="135">
        <v>0</v>
      </c>
      <c r="G83" s="135">
        <v>0</v>
      </c>
      <c r="H83" s="49"/>
    </row>
    <row r="84" spans="2:8" x14ac:dyDescent="0.2">
      <c r="B84" s="48"/>
      <c r="C84" s="43"/>
      <c r="D84" s="43"/>
      <c r="E84" s="43"/>
      <c r="F84" s="57"/>
      <c r="G84" s="57"/>
      <c r="H84" s="49"/>
    </row>
    <row r="85" spans="2:8" x14ac:dyDescent="0.2">
      <c r="B85" s="55" t="s">
        <v>165</v>
      </c>
      <c r="C85" s="43"/>
      <c r="D85" s="43"/>
      <c r="E85" s="43"/>
      <c r="F85" s="57"/>
      <c r="G85" s="57"/>
      <c r="H85" s="49"/>
    </row>
    <row r="86" spans="2:8" s="148" customFormat="1" x14ac:dyDescent="0.2">
      <c r="B86" s="102" t="s">
        <v>198</v>
      </c>
      <c r="C86" s="43"/>
      <c r="D86" s="43"/>
      <c r="E86" s="43"/>
      <c r="F86" s="57"/>
      <c r="G86" s="57"/>
      <c r="H86" s="49"/>
    </row>
    <row r="87" spans="2:8" ht="12" customHeight="1" x14ac:dyDescent="0.2">
      <c r="B87" s="48" t="str">
        <f>B$28</f>
        <v>Border</v>
      </c>
      <c r="C87" s="43" t="str">
        <f t="shared" ref="C87:C95" si="4">C$18</f>
        <v>%</v>
      </c>
      <c r="D87" s="43"/>
      <c r="E87" s="43"/>
      <c r="F87" s="152">
        <v>0.8</v>
      </c>
      <c r="G87" s="152">
        <v>0.8</v>
      </c>
      <c r="H87" s="49"/>
    </row>
    <row r="88" spans="2:8" x14ac:dyDescent="0.2">
      <c r="B88" s="48" t="str">
        <f>B$29</f>
        <v>Gwydir</v>
      </c>
      <c r="C88" s="43" t="str">
        <f t="shared" si="4"/>
        <v>%</v>
      </c>
      <c r="D88" s="43"/>
      <c r="E88" s="43"/>
      <c r="F88" s="152">
        <v>0</v>
      </c>
      <c r="G88" s="152">
        <v>0</v>
      </c>
      <c r="H88" s="49"/>
    </row>
    <row r="89" spans="2:8" x14ac:dyDescent="0.2">
      <c r="B89" s="48" t="str">
        <f>B$30</f>
        <v>Namoi</v>
      </c>
      <c r="C89" s="43" t="str">
        <f t="shared" si="4"/>
        <v>%</v>
      </c>
      <c r="D89" s="43"/>
      <c r="E89" s="43"/>
      <c r="F89" s="152">
        <v>0</v>
      </c>
      <c r="G89" s="152">
        <v>0</v>
      </c>
      <c r="H89" s="49"/>
    </row>
    <row r="90" spans="2:8" x14ac:dyDescent="0.2">
      <c r="B90" s="48" t="str">
        <f>B$31</f>
        <v>Peel</v>
      </c>
      <c r="C90" s="43" t="str">
        <f t="shared" si="4"/>
        <v>%</v>
      </c>
      <c r="D90" s="43"/>
      <c r="E90" s="43"/>
      <c r="F90" s="152">
        <v>0</v>
      </c>
      <c r="G90" s="152">
        <v>0</v>
      </c>
      <c r="H90" s="49"/>
    </row>
    <row r="91" spans="2:8" x14ac:dyDescent="0.2">
      <c r="B91" s="48" t="str">
        <f>B$32</f>
        <v>Lachlan</v>
      </c>
      <c r="C91" s="43" t="str">
        <f t="shared" si="4"/>
        <v>%</v>
      </c>
      <c r="D91" s="43"/>
      <c r="E91" s="43"/>
      <c r="F91" s="152">
        <v>0</v>
      </c>
      <c r="G91" s="152">
        <v>0</v>
      </c>
      <c r="H91" s="49"/>
    </row>
    <row r="92" spans="2:8" x14ac:dyDescent="0.2">
      <c r="B92" s="48" t="str">
        <f>B$33</f>
        <v>Macquarie</v>
      </c>
      <c r="C92" s="43" t="str">
        <f t="shared" si="4"/>
        <v>%</v>
      </c>
      <c r="D92" s="43"/>
      <c r="E92" s="43"/>
      <c r="F92" s="152">
        <v>0</v>
      </c>
      <c r="G92" s="152">
        <v>0</v>
      </c>
      <c r="H92" s="49"/>
    </row>
    <row r="93" spans="2:8" x14ac:dyDescent="0.2">
      <c r="B93" s="48" t="str">
        <f>B$34</f>
        <v>Murray</v>
      </c>
      <c r="C93" s="43" t="str">
        <f t="shared" si="4"/>
        <v>%</v>
      </c>
      <c r="D93" s="43"/>
      <c r="E93" s="43"/>
      <c r="F93" s="152">
        <v>0.8</v>
      </c>
      <c r="G93" s="152">
        <v>0.8</v>
      </c>
      <c r="H93" s="49"/>
    </row>
    <row r="94" spans="2:8" x14ac:dyDescent="0.2">
      <c r="B94" s="48" t="str">
        <f>B$35</f>
        <v>Murrumbidgee</v>
      </c>
      <c r="C94" s="43" t="str">
        <f t="shared" si="4"/>
        <v>%</v>
      </c>
      <c r="D94" s="43"/>
      <c r="E94" s="43"/>
      <c r="F94" s="152">
        <v>0.8</v>
      </c>
      <c r="G94" s="152">
        <v>0.8</v>
      </c>
      <c r="H94" s="49"/>
    </row>
    <row r="95" spans="2:8" x14ac:dyDescent="0.2">
      <c r="B95" s="48" t="str">
        <f>B$36</f>
        <v>Lowbidgee</v>
      </c>
      <c r="C95" s="43" t="str">
        <f t="shared" si="4"/>
        <v>%</v>
      </c>
      <c r="D95" s="43"/>
      <c r="E95" s="43"/>
      <c r="F95" s="152">
        <v>0</v>
      </c>
      <c r="G95" s="152">
        <v>0</v>
      </c>
      <c r="H95" s="49"/>
    </row>
    <row r="96" spans="2:8" x14ac:dyDescent="0.2">
      <c r="B96" s="48"/>
      <c r="C96" s="43"/>
      <c r="D96" s="43"/>
      <c r="E96" s="43"/>
      <c r="F96" s="57"/>
      <c r="G96" s="57"/>
      <c r="H96" s="49"/>
    </row>
    <row r="97" spans="2:11" x14ac:dyDescent="0.2">
      <c r="B97" s="50"/>
      <c r="C97" s="41"/>
      <c r="D97" s="41"/>
      <c r="E97" s="41"/>
      <c r="F97" s="63"/>
      <c r="G97" s="63"/>
      <c r="H97" s="51"/>
      <c r="K97" s="148"/>
    </row>
    <row r="98" spans="2:11" x14ac:dyDescent="0.2">
      <c r="F98" s="61"/>
      <c r="G98" s="61"/>
      <c r="K98" s="148"/>
    </row>
    <row r="99" spans="2:11" x14ac:dyDescent="0.2">
      <c r="F99" s="61"/>
      <c r="G99" s="61"/>
      <c r="K99" s="148"/>
    </row>
    <row r="100" spans="2:11" x14ac:dyDescent="0.2">
      <c r="B100" s="38" t="s">
        <v>192</v>
      </c>
      <c r="F100" s="61"/>
      <c r="G100" s="61"/>
      <c r="K100" s="148"/>
    </row>
    <row r="101" spans="2:11" x14ac:dyDescent="0.2">
      <c r="B101" s="45" t="str">
        <f>B$16</f>
        <v>Financial year</v>
      </c>
      <c r="C101" s="46" t="str">
        <f>C$23</f>
        <v>Units</v>
      </c>
      <c r="D101" s="46"/>
      <c r="E101" s="46"/>
      <c r="F101" s="180" t="str">
        <f>F$16</f>
        <v>2017-18</v>
      </c>
      <c r="G101" s="180" t="str">
        <f>G$16</f>
        <v>2018-19</v>
      </c>
      <c r="H101" s="47"/>
      <c r="K101" s="148"/>
    </row>
    <row r="102" spans="2:11" s="148" customFormat="1" x14ac:dyDescent="0.2">
      <c r="B102" s="48"/>
      <c r="C102" s="43"/>
      <c r="D102" s="43"/>
      <c r="E102" s="43"/>
      <c r="F102" s="57"/>
      <c r="G102" s="57"/>
      <c r="H102" s="49"/>
    </row>
    <row r="103" spans="2:11" x14ac:dyDescent="0.2">
      <c r="B103" s="102" t="s">
        <v>184</v>
      </c>
      <c r="C103" s="43"/>
      <c r="D103" s="43"/>
      <c r="E103" s="43"/>
      <c r="F103" s="43"/>
      <c r="G103" s="43"/>
      <c r="H103" s="49"/>
    </row>
    <row r="104" spans="2:11" x14ac:dyDescent="0.2">
      <c r="B104" s="55" t="s">
        <v>166</v>
      </c>
      <c r="C104" s="43"/>
      <c r="D104" s="43"/>
      <c r="E104" s="43"/>
      <c r="F104" s="57"/>
      <c r="G104" s="57"/>
      <c r="H104" s="49"/>
    </row>
    <row r="105" spans="2:11" s="148" customFormat="1" x14ac:dyDescent="0.2">
      <c r="B105" s="102" t="s">
        <v>201</v>
      </c>
      <c r="C105" s="43"/>
      <c r="D105" s="43"/>
      <c r="E105" s="43"/>
      <c r="F105" s="57"/>
      <c r="G105" s="57"/>
      <c r="H105" s="49"/>
    </row>
    <row r="106" spans="2:11" ht="12" customHeight="1" x14ac:dyDescent="0.2">
      <c r="B106" s="48" t="str">
        <f>B$28</f>
        <v>Border</v>
      </c>
      <c r="C106" s="29" t="s">
        <v>16</v>
      </c>
      <c r="D106" s="43"/>
      <c r="E106" s="43"/>
      <c r="F106" s="135">
        <v>1.25</v>
      </c>
      <c r="G106" s="135">
        <v>1.25</v>
      </c>
      <c r="H106" s="49"/>
    </row>
    <row r="107" spans="2:11" x14ac:dyDescent="0.2">
      <c r="B107" s="48" t="str">
        <f>B$29</f>
        <v>Gwydir</v>
      </c>
      <c r="C107" s="43" t="str">
        <f t="shared" ref="C107:C114" si="5">$C$106</f>
        <v>#</v>
      </c>
      <c r="D107" s="43"/>
      <c r="E107" s="43"/>
      <c r="F107" s="135">
        <v>1.3973221876662663</v>
      </c>
      <c r="G107" s="135">
        <v>1.3973221876662663</v>
      </c>
      <c r="H107" s="49"/>
    </row>
    <row r="108" spans="2:11" x14ac:dyDescent="0.2">
      <c r="B108" s="48" t="str">
        <f>B$30</f>
        <v>Namoi</v>
      </c>
      <c r="C108" s="43" t="str">
        <f t="shared" si="5"/>
        <v>#</v>
      </c>
      <c r="D108" s="43"/>
      <c r="E108" s="43"/>
      <c r="F108" s="135">
        <v>1.25</v>
      </c>
      <c r="G108" s="135">
        <v>1.25</v>
      </c>
      <c r="H108" s="49"/>
    </row>
    <row r="109" spans="2:11" ht="12" customHeight="1" x14ac:dyDescent="0.2">
      <c r="B109" s="48" t="str">
        <f>B$31</f>
        <v>Peel</v>
      </c>
      <c r="C109" s="43" t="str">
        <f t="shared" si="5"/>
        <v>#</v>
      </c>
      <c r="D109" s="43"/>
      <c r="E109" s="43"/>
      <c r="F109" s="135">
        <v>6.5419452232046584</v>
      </c>
      <c r="G109" s="135">
        <v>6.5419452232046584</v>
      </c>
      <c r="H109" s="49"/>
    </row>
    <row r="110" spans="2:11" x14ac:dyDescent="0.2">
      <c r="B110" s="48" t="str">
        <f>B$32</f>
        <v>Lachlan</v>
      </c>
      <c r="C110" s="43" t="str">
        <f t="shared" si="5"/>
        <v>#</v>
      </c>
      <c r="D110" s="43"/>
      <c r="E110" s="43"/>
      <c r="F110" s="135">
        <v>2.4952177609078148</v>
      </c>
      <c r="G110" s="135">
        <v>2.4952177609078148</v>
      </c>
      <c r="H110" s="49"/>
    </row>
    <row r="111" spans="2:11" ht="12" customHeight="1" x14ac:dyDescent="0.2">
      <c r="B111" s="48" t="str">
        <f>B$33</f>
        <v>Macquarie</v>
      </c>
      <c r="C111" s="43" t="str">
        <f t="shared" si="5"/>
        <v>#</v>
      </c>
      <c r="D111" s="43"/>
      <c r="E111" s="43"/>
      <c r="F111" s="135">
        <v>1.8848346670243046</v>
      </c>
      <c r="G111" s="135">
        <v>1.8848346670243046</v>
      </c>
      <c r="H111" s="49"/>
    </row>
    <row r="112" spans="2:11" x14ac:dyDescent="0.2">
      <c r="B112" s="48" t="str">
        <f>B$34</f>
        <v>Murray</v>
      </c>
      <c r="C112" s="43" t="str">
        <f t="shared" si="5"/>
        <v>#</v>
      </c>
      <c r="D112" s="43"/>
      <c r="E112" s="43"/>
      <c r="F112" s="135">
        <v>1.308492141839708</v>
      </c>
      <c r="G112" s="135">
        <v>1.308492141839708</v>
      </c>
      <c r="H112" s="49"/>
    </row>
    <row r="113" spans="2:12" x14ac:dyDescent="0.2">
      <c r="B113" s="48" t="str">
        <f>B$35</f>
        <v>Murrumbidgee</v>
      </c>
      <c r="C113" s="43" t="str">
        <f t="shared" si="5"/>
        <v>#</v>
      </c>
      <c r="D113" s="43"/>
      <c r="E113" s="43"/>
      <c r="F113" s="135">
        <v>1.6929690711534331</v>
      </c>
      <c r="G113" s="135">
        <v>1.6929690711534331</v>
      </c>
      <c r="H113" s="49"/>
    </row>
    <row r="114" spans="2:12" x14ac:dyDescent="0.2">
      <c r="B114" s="48" t="str">
        <f>B$36</f>
        <v>Lowbidgee</v>
      </c>
      <c r="C114" s="43" t="str">
        <f t="shared" si="5"/>
        <v>#</v>
      </c>
      <c r="D114" s="43"/>
      <c r="E114" s="43"/>
      <c r="F114" s="135">
        <v>0</v>
      </c>
      <c r="G114" s="135">
        <v>0</v>
      </c>
      <c r="H114" s="49"/>
    </row>
    <row r="115" spans="2:12" x14ac:dyDescent="0.2">
      <c r="B115" s="48"/>
      <c r="C115" s="43"/>
      <c r="D115" s="43"/>
      <c r="E115" s="43"/>
      <c r="F115" s="43"/>
      <c r="G115" s="43"/>
      <c r="H115" s="49"/>
    </row>
    <row r="116" spans="2:12" x14ac:dyDescent="0.2">
      <c r="B116" s="50"/>
      <c r="C116" s="41"/>
      <c r="D116" s="41"/>
      <c r="E116" s="41"/>
      <c r="F116" s="41"/>
      <c r="G116" s="41"/>
      <c r="H116" s="51"/>
    </row>
    <row r="117" spans="2:12" x14ac:dyDescent="0.2">
      <c r="B117" s="43"/>
      <c r="C117" s="43"/>
      <c r="D117" s="43"/>
      <c r="E117" s="43"/>
      <c r="F117" s="43"/>
      <c r="G117" s="43"/>
      <c r="H117" s="43"/>
    </row>
    <row r="118" spans="2:12" x14ac:dyDescent="0.2">
      <c r="B118" s="148"/>
      <c r="J118" s="148"/>
      <c r="K118" s="148"/>
      <c r="L118" s="148"/>
    </row>
    <row r="119" spans="2:12" x14ac:dyDescent="0.2">
      <c r="B119" s="38" t="s">
        <v>172</v>
      </c>
      <c r="C119" s="148"/>
      <c r="D119" s="148"/>
      <c r="E119" s="148"/>
      <c r="G119" s="61"/>
      <c r="H119" s="148"/>
      <c r="I119" s="148"/>
      <c r="J119" s="148"/>
      <c r="K119" s="148"/>
      <c r="L119" s="148"/>
    </row>
    <row r="120" spans="2:12" x14ac:dyDescent="0.2">
      <c r="B120" s="45" t="str">
        <f>B$16</f>
        <v>Financial year</v>
      </c>
      <c r="C120" s="46" t="str">
        <f>C$23</f>
        <v>Units</v>
      </c>
      <c r="D120" s="46"/>
      <c r="E120" s="46"/>
      <c r="F120" s="178" t="str">
        <f>F$16</f>
        <v>2017-18</v>
      </c>
      <c r="G120" s="178" t="str">
        <f>G$16</f>
        <v>2018-19</v>
      </c>
      <c r="H120" s="47"/>
      <c r="I120" s="148"/>
      <c r="J120" s="148"/>
      <c r="K120" s="148"/>
      <c r="L120" s="148"/>
    </row>
    <row r="121" spans="2:12" ht="11.25" customHeight="1" x14ac:dyDescent="0.2">
      <c r="B121" s="48"/>
      <c r="C121" s="43"/>
      <c r="D121" s="43"/>
      <c r="E121" s="43"/>
      <c r="F121" s="64"/>
      <c r="G121" s="64"/>
      <c r="H121" s="49"/>
      <c r="I121" s="148"/>
      <c r="J121" s="148"/>
      <c r="K121" s="148"/>
      <c r="L121" s="148"/>
    </row>
    <row r="122" spans="2:12" s="148" customFormat="1" ht="11.25" customHeight="1" x14ac:dyDescent="0.2">
      <c r="B122" s="102" t="s">
        <v>185</v>
      </c>
      <c r="C122" s="43"/>
      <c r="D122" s="43"/>
      <c r="E122" s="43"/>
      <c r="F122" s="57"/>
      <c r="G122" s="57"/>
      <c r="H122" s="49"/>
    </row>
    <row r="123" spans="2:12" s="148" customFormat="1" ht="3" customHeight="1" x14ac:dyDescent="0.2">
      <c r="B123" s="102"/>
      <c r="C123" s="43"/>
      <c r="D123" s="43"/>
      <c r="E123" s="43"/>
      <c r="F123" s="57"/>
      <c r="G123" s="57"/>
      <c r="H123" s="49"/>
    </row>
    <row r="124" spans="2:12" x14ac:dyDescent="0.2">
      <c r="B124" s="55" t="s">
        <v>75</v>
      </c>
      <c r="C124" s="43"/>
      <c r="D124" s="43"/>
      <c r="E124" s="43"/>
      <c r="F124" s="57"/>
      <c r="G124" s="57"/>
      <c r="H124" s="49"/>
      <c r="I124" s="148"/>
      <c r="J124" s="148"/>
      <c r="K124" s="148"/>
      <c r="L124" s="148"/>
    </row>
    <row r="125" spans="2:12" x14ac:dyDescent="0.2">
      <c r="B125" s="48" t="s">
        <v>72</v>
      </c>
      <c r="C125" s="43" t="str">
        <f>'Updated Volumes'!$C$31</f>
        <v>kL</v>
      </c>
      <c r="E125" s="43"/>
      <c r="F125" s="150">
        <v>100</v>
      </c>
      <c r="G125" s="150">
        <v>100</v>
      </c>
      <c r="H125" s="49"/>
      <c r="I125" s="148"/>
      <c r="J125" s="148"/>
      <c r="K125" s="148"/>
      <c r="L125" s="148"/>
    </row>
    <row r="126" spans="2:12" x14ac:dyDescent="0.2">
      <c r="B126" s="48" t="s">
        <v>73</v>
      </c>
      <c r="C126" s="43" t="str">
        <f>'Updated Volumes'!$C$31</f>
        <v>kL</v>
      </c>
      <c r="D126" s="43"/>
      <c r="E126" s="43"/>
      <c r="F126" s="150">
        <v>500</v>
      </c>
      <c r="G126" s="150">
        <v>500</v>
      </c>
      <c r="H126" s="49"/>
      <c r="I126" s="148"/>
      <c r="J126" s="148"/>
      <c r="K126" s="148"/>
      <c r="L126" s="148"/>
    </row>
    <row r="127" spans="2:12" x14ac:dyDescent="0.2">
      <c r="B127" s="48" t="s">
        <v>74</v>
      </c>
      <c r="C127" s="43" t="str">
        <f>'Updated Volumes'!$C$31</f>
        <v>kL</v>
      </c>
      <c r="D127" s="43"/>
      <c r="E127" s="43"/>
      <c r="F127" s="150">
        <v>1000</v>
      </c>
      <c r="G127" s="150">
        <v>1000</v>
      </c>
      <c r="H127" s="49"/>
      <c r="I127" s="148"/>
      <c r="J127" s="148"/>
      <c r="K127" s="148"/>
      <c r="L127" s="148"/>
    </row>
    <row r="128" spans="2:12" x14ac:dyDescent="0.2">
      <c r="B128" s="48"/>
      <c r="C128" s="43"/>
      <c r="D128" s="43"/>
      <c r="E128" s="43"/>
      <c r="F128" s="151"/>
      <c r="G128" s="151"/>
      <c r="H128" s="49"/>
      <c r="I128" s="148"/>
      <c r="J128" s="148"/>
      <c r="K128" s="148"/>
      <c r="L128" s="148"/>
    </row>
    <row r="129" spans="2:12" x14ac:dyDescent="0.2">
      <c r="B129" s="55" t="s">
        <v>76</v>
      </c>
      <c r="C129" s="43"/>
      <c r="D129" s="43"/>
      <c r="E129" s="43"/>
      <c r="F129" s="151"/>
      <c r="G129" s="151"/>
      <c r="H129" s="49"/>
      <c r="I129" s="148"/>
      <c r="J129" s="148"/>
      <c r="K129" s="148"/>
      <c r="L129" s="148"/>
    </row>
    <row r="130" spans="2:12" x14ac:dyDescent="0.2">
      <c r="B130" s="48" t="str">
        <f>B$125</f>
        <v>Small consumption customers</v>
      </c>
      <c r="C130" s="43" t="str">
        <f t="shared" ref="C130:C132" si="6">C$18</f>
        <v>%</v>
      </c>
      <c r="D130" s="43"/>
      <c r="E130" s="43"/>
      <c r="F130" s="152">
        <v>1</v>
      </c>
      <c r="G130" s="152">
        <v>1</v>
      </c>
      <c r="H130" s="49"/>
      <c r="I130" s="148"/>
      <c r="J130" s="148"/>
      <c r="K130" s="148"/>
      <c r="L130" s="148"/>
    </row>
    <row r="131" spans="2:12" x14ac:dyDescent="0.2">
      <c r="B131" s="48" t="str">
        <f>B$126</f>
        <v>Medium consumption customers</v>
      </c>
      <c r="C131" s="43" t="str">
        <f t="shared" si="6"/>
        <v>%</v>
      </c>
      <c r="D131" s="43"/>
      <c r="E131" s="43"/>
      <c r="F131" s="152">
        <v>1</v>
      </c>
      <c r="G131" s="152">
        <v>1</v>
      </c>
      <c r="H131" s="49"/>
      <c r="I131" s="148"/>
      <c r="J131" s="148"/>
      <c r="K131" s="148"/>
      <c r="L131" s="148"/>
    </row>
    <row r="132" spans="2:12" x14ac:dyDescent="0.2">
      <c r="B132" s="48" t="str">
        <f>B$127</f>
        <v>Large consumption customers</v>
      </c>
      <c r="C132" s="43" t="str">
        <f t="shared" si="6"/>
        <v>%</v>
      </c>
      <c r="D132" s="43"/>
      <c r="E132" s="43"/>
      <c r="F132" s="152">
        <v>1</v>
      </c>
      <c r="G132" s="152">
        <v>1</v>
      </c>
      <c r="H132" s="49"/>
      <c r="I132" s="148"/>
      <c r="J132" s="148"/>
      <c r="K132" s="148"/>
      <c r="L132" s="148"/>
    </row>
    <row r="133" spans="2:12" s="148" customFormat="1" x14ac:dyDescent="0.2">
      <c r="B133" s="48"/>
      <c r="C133" s="43"/>
      <c r="D133" s="43"/>
      <c r="E133" s="43"/>
      <c r="F133" s="43"/>
      <c r="G133" s="43"/>
      <c r="H133" s="49"/>
    </row>
    <row r="134" spans="2:12" s="148" customFormat="1" x14ac:dyDescent="0.2">
      <c r="B134" s="55" t="s">
        <v>77</v>
      </c>
      <c r="C134" s="43"/>
      <c r="D134" s="43"/>
      <c r="E134" s="43"/>
      <c r="F134" s="151"/>
      <c r="G134" s="151"/>
      <c r="H134" s="49"/>
    </row>
    <row r="135" spans="2:12" s="148" customFormat="1" x14ac:dyDescent="0.2">
      <c r="B135" s="48" t="str">
        <f>B$125</f>
        <v>Small consumption customers</v>
      </c>
      <c r="C135" s="43" t="str">
        <f>'Updated Volumes'!$C$31</f>
        <v>kL</v>
      </c>
      <c r="D135" s="43"/>
      <c r="E135" s="43"/>
      <c r="F135" s="150">
        <v>100</v>
      </c>
      <c r="G135" s="150">
        <v>100</v>
      </c>
      <c r="H135" s="49"/>
    </row>
    <row r="136" spans="2:12" s="148" customFormat="1" x14ac:dyDescent="0.2">
      <c r="B136" s="48" t="str">
        <f>B$126</f>
        <v>Medium consumption customers</v>
      </c>
      <c r="C136" s="43" t="str">
        <f>'Updated Volumes'!$C$31</f>
        <v>kL</v>
      </c>
      <c r="D136" s="43"/>
      <c r="E136" s="43"/>
      <c r="F136" s="150">
        <v>500</v>
      </c>
      <c r="G136" s="150">
        <v>500</v>
      </c>
      <c r="H136" s="49"/>
    </row>
    <row r="137" spans="2:12" s="148" customFormat="1" x14ac:dyDescent="0.2">
      <c r="B137" s="48" t="str">
        <f>B$127</f>
        <v>Large consumption customers</v>
      </c>
      <c r="C137" s="43" t="str">
        <f>'Updated Volumes'!$C$31</f>
        <v>kL</v>
      </c>
      <c r="D137" s="43"/>
      <c r="E137" s="43"/>
      <c r="F137" s="150">
        <v>1000</v>
      </c>
      <c r="G137" s="150">
        <v>1000</v>
      </c>
      <c r="H137" s="49"/>
    </row>
    <row r="138" spans="2:12" s="148" customFormat="1" x14ac:dyDescent="0.2">
      <c r="B138" s="48"/>
      <c r="C138" s="43"/>
      <c r="D138" s="43"/>
      <c r="E138" s="43"/>
      <c r="F138" s="43"/>
      <c r="G138" s="43"/>
      <c r="H138" s="49"/>
    </row>
    <row r="139" spans="2:12" s="148" customFormat="1" x14ac:dyDescent="0.2">
      <c r="B139" s="55" t="s">
        <v>78</v>
      </c>
      <c r="C139" s="43"/>
      <c r="D139" s="43"/>
      <c r="E139" s="43"/>
      <c r="F139" s="151"/>
      <c r="G139" s="151"/>
      <c r="H139" s="49"/>
    </row>
    <row r="140" spans="2:12" s="148" customFormat="1" x14ac:dyDescent="0.2">
      <c r="B140" s="48" t="str">
        <f>B$125</f>
        <v>Small consumption customers</v>
      </c>
      <c r="C140" s="43" t="str">
        <f t="shared" ref="C140:C142" si="7">C$18</f>
        <v>%</v>
      </c>
      <c r="D140" s="43"/>
      <c r="E140" s="43"/>
      <c r="F140" s="152">
        <v>0.6</v>
      </c>
      <c r="G140" s="152">
        <v>0.6</v>
      </c>
      <c r="H140" s="49"/>
    </row>
    <row r="141" spans="2:12" s="148" customFormat="1" x14ac:dyDescent="0.2">
      <c r="B141" s="48" t="str">
        <f>B$126</f>
        <v>Medium consumption customers</v>
      </c>
      <c r="C141" s="43" t="str">
        <f t="shared" si="7"/>
        <v>%</v>
      </c>
      <c r="D141" s="43"/>
      <c r="E141" s="43"/>
      <c r="F141" s="152">
        <v>0.6</v>
      </c>
      <c r="G141" s="152">
        <v>0.6</v>
      </c>
      <c r="H141" s="49"/>
    </row>
    <row r="142" spans="2:12" s="148" customFormat="1" x14ac:dyDescent="0.2">
      <c r="B142" s="48" t="str">
        <f>B$127</f>
        <v>Large consumption customers</v>
      </c>
      <c r="C142" s="43" t="str">
        <f t="shared" si="7"/>
        <v>%</v>
      </c>
      <c r="D142" s="43"/>
      <c r="E142" s="43"/>
      <c r="F142" s="152">
        <v>0.6</v>
      </c>
      <c r="G142" s="152">
        <v>0.6</v>
      </c>
      <c r="H142" s="49"/>
    </row>
    <row r="143" spans="2:12" x14ac:dyDescent="0.2">
      <c r="B143" s="50"/>
      <c r="C143" s="41"/>
      <c r="D143" s="41"/>
      <c r="E143" s="41"/>
      <c r="F143" s="41"/>
      <c r="G143" s="41"/>
      <c r="H143" s="51"/>
      <c r="I143" s="148"/>
      <c r="J143" s="148"/>
    </row>
    <row r="207" spans="9:9" x14ac:dyDescent="0.2">
      <c r="I207" s="6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0"/>
  <sheetViews>
    <sheetView showGridLines="0" zoomScaleNormal="100" workbookViewId="0"/>
  </sheetViews>
  <sheetFormatPr defaultRowHeight="12" x14ac:dyDescent="0.2"/>
  <cols>
    <col min="1" max="1" width="4.7109375" style="69" customWidth="1"/>
    <col min="2" max="2" width="50" style="69" bestFit="1" customWidth="1"/>
    <col min="3" max="5" width="9.140625" style="69"/>
    <col min="6" max="7" width="9.42578125" style="69" bestFit="1" customWidth="1"/>
    <col min="8" max="8" width="9.140625" style="143"/>
    <col min="9" max="10" width="13.85546875" style="143" customWidth="1"/>
    <col min="11" max="16384" width="9.140625" style="69"/>
  </cols>
  <sheetData>
    <row r="2" spans="2:13" ht="18" x14ac:dyDescent="0.25">
      <c r="B2" s="68" t="s">
        <v>59</v>
      </c>
    </row>
    <row r="3" spans="2:13" x14ac:dyDescent="0.2">
      <c r="B3" s="69" t="s">
        <v>186</v>
      </c>
    </row>
    <row r="5" spans="2:13" x14ac:dyDescent="0.2">
      <c r="B5" s="41" t="s">
        <v>28</v>
      </c>
      <c r="C5" s="41"/>
      <c r="D5" s="41"/>
      <c r="E5" s="42" t="s">
        <v>29</v>
      </c>
    </row>
    <row r="6" spans="2:13" x14ac:dyDescent="0.2">
      <c r="B6" s="37" t="str">
        <f>B13</f>
        <v>TABLE 3.1 - USAGE CHARGES</v>
      </c>
      <c r="C6" s="37"/>
      <c r="D6" s="37"/>
      <c r="E6" s="37">
        <f>ROW(B13)</f>
        <v>13</v>
      </c>
    </row>
    <row r="7" spans="2:13" x14ac:dyDescent="0.2">
      <c r="B7" s="37" t="str">
        <f>B30</f>
        <v>TABLE 3.2 - GENERAL SECURITY ENTITLEMENT CHARGES</v>
      </c>
      <c r="C7" s="37"/>
      <c r="D7" s="37"/>
      <c r="E7" s="37">
        <f>ROW(B30)</f>
        <v>30</v>
      </c>
      <c r="M7" s="143"/>
    </row>
    <row r="8" spans="2:13" x14ac:dyDescent="0.2">
      <c r="B8" s="43" t="str">
        <f>B47</f>
        <v xml:space="preserve">TABLE 3.3 - HIGH SECURITY ENTITLEMENT CHARGES </v>
      </c>
      <c r="C8" s="43"/>
      <c r="D8" s="43"/>
      <c r="E8" s="44">
        <f>ROW(B47)</f>
        <v>47</v>
      </c>
    </row>
    <row r="9" spans="2:13" s="143" customFormat="1" x14ac:dyDescent="0.2">
      <c r="B9" s="148" t="str">
        <f>B64</f>
        <v>TABLE 3.4 - MDBA AND BRC USAGE AND ENTITLEMENT CHARGES</v>
      </c>
      <c r="C9" s="148"/>
      <c r="D9" s="148"/>
      <c r="E9" s="148">
        <f>ROW(B64)</f>
        <v>64</v>
      </c>
    </row>
    <row r="10" spans="2:13" x14ac:dyDescent="0.2">
      <c r="B10" s="41" t="str">
        <f>B86</f>
        <v>TABLE 3.5 - FISH RIVER WATER SUPPLY SCHEME CHARGES</v>
      </c>
      <c r="C10" s="41"/>
      <c r="D10" s="41"/>
      <c r="E10" s="41">
        <f>ROW(B86)</f>
        <v>86</v>
      </c>
    </row>
    <row r="12" spans="2:13" x14ac:dyDescent="0.2">
      <c r="K12" s="143"/>
    </row>
    <row r="13" spans="2:13" x14ac:dyDescent="0.2">
      <c r="B13" s="70" t="s">
        <v>206</v>
      </c>
      <c r="E13" s="143"/>
      <c r="F13" s="143"/>
      <c r="G13" s="143"/>
      <c r="K13" s="143"/>
    </row>
    <row r="14" spans="2:13" ht="36" x14ac:dyDescent="0.2">
      <c r="B14" s="71" t="str">
        <f>'2017 Determination - Revenue'!B$16</f>
        <v>Financial year</v>
      </c>
      <c r="C14" s="72" t="str">
        <f>'2017 Determination - Revenue'!C$23</f>
        <v>Units</v>
      </c>
      <c r="D14" s="58"/>
      <c r="E14" s="58"/>
      <c r="F14" s="178" t="str">
        <f>'2017 Determination - Revenue'!F$16</f>
        <v>2017-18</v>
      </c>
      <c r="G14" s="178" t="str">
        <f>'2017 Determination - Revenue'!G$16</f>
        <v>2018-19</v>
      </c>
      <c r="H14" s="62"/>
      <c r="I14" s="62"/>
      <c r="J14" s="188" t="str">
        <f>J$48</f>
        <v>2018-19 charges expressed in</v>
      </c>
      <c r="K14" s="73"/>
    </row>
    <row r="15" spans="2:13" x14ac:dyDescent="0.2">
      <c r="B15" s="74"/>
      <c r="C15" s="60"/>
      <c r="D15" s="60"/>
      <c r="E15" s="60"/>
      <c r="F15" s="179" t="str">
        <f>'2017 Determination - Revenue'!$F$24</f>
        <v>$2016-17</v>
      </c>
      <c r="G15" s="179" t="str">
        <f>'2017 Determination - Revenue'!$F$24</f>
        <v>$2016-17</v>
      </c>
      <c r="H15" s="160"/>
      <c r="I15" s="160"/>
      <c r="J15" s="177" t="str">
        <f>J$49</f>
        <v>$2018-19</v>
      </c>
      <c r="K15" s="76"/>
    </row>
    <row r="16" spans="2:13" x14ac:dyDescent="0.2">
      <c r="B16" s="74"/>
      <c r="C16" s="60"/>
      <c r="D16" s="60"/>
      <c r="E16" s="60"/>
      <c r="F16" s="57"/>
      <c r="G16" s="57"/>
      <c r="H16" s="57"/>
      <c r="I16" s="57"/>
      <c r="J16" s="57"/>
      <c r="K16" s="76"/>
    </row>
    <row r="17" spans="2:15" x14ac:dyDescent="0.2">
      <c r="B17" s="74" t="s">
        <v>43</v>
      </c>
      <c r="C17" s="60"/>
      <c r="D17" s="60"/>
      <c r="E17" s="60"/>
      <c r="F17" s="57"/>
      <c r="G17" s="57"/>
      <c r="H17" s="57"/>
      <c r="I17" s="57"/>
      <c r="J17" s="57"/>
      <c r="K17" s="76"/>
    </row>
    <row r="18" spans="2:15" ht="12" customHeight="1" x14ac:dyDescent="0.2">
      <c r="B18" s="48" t="str">
        <f>'2017 Determination - Revenue'!$B$28</f>
        <v>Border</v>
      </c>
      <c r="C18" s="77" t="str">
        <f>Outputs!$C$27</f>
        <v>$/ML</v>
      </c>
      <c r="D18" s="60"/>
      <c r="E18" s="60"/>
      <c r="F18" s="159">
        <v>5.4449619575243808</v>
      </c>
      <c r="G18" s="159">
        <v>5.4449619575243808</v>
      </c>
      <c r="H18" s="161"/>
      <c r="I18" s="161"/>
      <c r="J18" s="161">
        <f>ROUND(ROUND(ROUND(G18,2)*(1+'2017 Determination - Revenue'!$F$18),2)*(1+'2017 Determination - Revenue'!$G$18),2)</f>
        <v>5.66</v>
      </c>
      <c r="K18" s="76"/>
      <c r="O18" s="143"/>
    </row>
    <row r="19" spans="2:15" x14ac:dyDescent="0.2">
      <c r="B19" s="48" t="str">
        <f>'2017 Determination - Revenue'!$B$29</f>
        <v>Gwydir</v>
      </c>
      <c r="C19" s="77" t="str">
        <f>Outputs!$C$27</f>
        <v>$/ML</v>
      </c>
      <c r="D19" s="60"/>
      <c r="E19" s="60"/>
      <c r="F19" s="159">
        <v>11.873139524320214</v>
      </c>
      <c r="G19" s="159">
        <v>11.873139524320214</v>
      </c>
      <c r="H19" s="161"/>
      <c r="I19" s="161"/>
      <c r="J19" s="161">
        <f>ROUND(ROUND(ROUND(G19,2)*(1+'2017 Determination - Revenue'!$F$18),2)*(1+'2017 Determination - Revenue'!$G$18),2)</f>
        <v>12.35</v>
      </c>
      <c r="K19" s="76"/>
      <c r="N19" s="143"/>
      <c r="O19" s="143"/>
    </row>
    <row r="20" spans="2:15" x14ac:dyDescent="0.2">
      <c r="B20" s="48" t="str">
        <f>'2017 Determination - Revenue'!$B$30</f>
        <v>Namoi</v>
      </c>
      <c r="C20" s="77" t="str">
        <f>Outputs!$C$27</f>
        <v>$/ML</v>
      </c>
      <c r="D20" s="60"/>
      <c r="E20" s="60"/>
      <c r="F20" s="159">
        <v>19.983537685794229</v>
      </c>
      <c r="G20" s="159">
        <v>19.983537685794229</v>
      </c>
      <c r="H20" s="161"/>
      <c r="I20" s="161"/>
      <c r="J20" s="161">
        <f>ROUND(ROUND(ROUND(G20,2)*(1+'2017 Determination - Revenue'!$F$18),2)*(1+'2017 Determination - Revenue'!$G$18),2)</f>
        <v>20.79</v>
      </c>
      <c r="K20" s="76"/>
      <c r="N20" s="143"/>
      <c r="O20" s="143"/>
    </row>
    <row r="21" spans="2:15" x14ac:dyDescent="0.2">
      <c r="B21" s="48" t="str">
        <f>'2017 Determination - Revenue'!$B$31</f>
        <v>Peel</v>
      </c>
      <c r="C21" s="77" t="str">
        <f>Outputs!$C$27</f>
        <v>$/ML</v>
      </c>
      <c r="D21" s="60"/>
      <c r="E21" s="60"/>
      <c r="F21" s="159">
        <v>55.091150391764842</v>
      </c>
      <c r="G21" s="159">
        <v>18.363716797254945</v>
      </c>
      <c r="H21" s="161"/>
      <c r="I21" s="161"/>
      <c r="J21" s="161">
        <f>ROUND(ROUND(ROUND(G21,2)*(1+'2017 Determination - Revenue'!$F$18),2)*(1+'2017 Determination - Revenue'!$G$18),2)</f>
        <v>19.11</v>
      </c>
      <c r="K21" s="76"/>
      <c r="N21" s="143"/>
      <c r="O21" s="143"/>
    </row>
    <row r="22" spans="2:15" x14ac:dyDescent="0.2">
      <c r="B22" s="48" t="str">
        <f>'2017 Determination - Revenue'!$B$32</f>
        <v>Lachlan</v>
      </c>
      <c r="C22" s="77" t="str">
        <f>Outputs!$C$27</f>
        <v>$/ML</v>
      </c>
      <c r="D22" s="60"/>
      <c r="E22" s="60"/>
      <c r="F22" s="159">
        <v>19.038335664987216</v>
      </c>
      <c r="G22" s="159">
        <v>19.038335664987216</v>
      </c>
      <c r="H22" s="161"/>
      <c r="I22" s="161"/>
      <c r="J22" s="161">
        <f>ROUND(ROUND(ROUND(G22,2)*(1+'2017 Determination - Revenue'!$F$18),2)*(1+'2017 Determination - Revenue'!$G$18),2)</f>
        <v>19.809999999999999</v>
      </c>
      <c r="K22" s="76"/>
      <c r="N22" s="143"/>
      <c r="O22" s="143"/>
    </row>
    <row r="23" spans="2:15" x14ac:dyDescent="0.2">
      <c r="B23" s="48" t="str">
        <f>'2017 Determination - Revenue'!$B$33</f>
        <v>Macquarie</v>
      </c>
      <c r="C23" s="77" t="str">
        <f>Outputs!$C$27</f>
        <v>$/ML</v>
      </c>
      <c r="D23" s="60"/>
      <c r="E23" s="60"/>
      <c r="F23" s="159">
        <v>13.78434038452443</v>
      </c>
      <c r="G23" s="159">
        <v>13.78434038452443</v>
      </c>
      <c r="H23" s="161"/>
      <c r="I23" s="161"/>
      <c r="J23" s="161">
        <f>ROUND(ROUND(ROUND(G23,2)*(1+'2017 Determination - Revenue'!$F$18),2)*(1+'2017 Determination - Revenue'!$G$18),2)</f>
        <v>14.34</v>
      </c>
      <c r="K23" s="76"/>
      <c r="N23" s="143"/>
      <c r="O23" s="143"/>
    </row>
    <row r="24" spans="2:15" x14ac:dyDescent="0.2">
      <c r="B24" s="48" t="str">
        <f>'2017 Determination - Revenue'!$B$34</f>
        <v>Murray</v>
      </c>
      <c r="C24" s="77" t="str">
        <f>Outputs!$C$27</f>
        <v>$/ML</v>
      </c>
      <c r="D24" s="60"/>
      <c r="E24" s="60"/>
      <c r="F24" s="159">
        <v>1.9059075031952837</v>
      </c>
      <c r="G24" s="159">
        <v>1.9059075031952837</v>
      </c>
      <c r="H24" s="161"/>
      <c r="I24" s="161"/>
      <c r="J24" s="161">
        <f>ROUND(ROUND(ROUND(G24,2)*(1+'2017 Determination - Revenue'!$F$18),2)*(1+'2017 Determination - Revenue'!$G$18),2)</f>
        <v>1.99</v>
      </c>
      <c r="K24" s="76"/>
      <c r="N24" s="143"/>
      <c r="O24" s="143"/>
    </row>
    <row r="25" spans="2:15" x14ac:dyDescent="0.2">
      <c r="B25" s="48" t="str">
        <f>'2017 Determination - Revenue'!$B$35</f>
        <v>Murrumbidgee</v>
      </c>
      <c r="C25" s="77" t="str">
        <f>Outputs!$C$27</f>
        <v>$/ML</v>
      </c>
      <c r="D25" s="60"/>
      <c r="E25" s="60"/>
      <c r="F25" s="159">
        <v>3.3066680084074336</v>
      </c>
      <c r="G25" s="159">
        <v>3.3066680084074336</v>
      </c>
      <c r="H25" s="161"/>
      <c r="I25" s="161"/>
      <c r="J25" s="161">
        <f>ROUND(ROUND(ROUND(G25,2)*(1+'2017 Determination - Revenue'!$F$18),2)*(1+'2017 Determination - Revenue'!$G$18),2)</f>
        <v>3.44</v>
      </c>
      <c r="K25" s="76"/>
      <c r="N25" s="143"/>
      <c r="O25" s="143"/>
    </row>
    <row r="26" spans="2:15" x14ac:dyDescent="0.2">
      <c r="B26" s="48" t="str">
        <f>'2017 Determination - Revenue'!$B$36</f>
        <v>Lowbidgee</v>
      </c>
      <c r="C26" s="77" t="str">
        <f>Outputs!$C$27</f>
        <v>$/ML</v>
      </c>
      <c r="D26" s="60"/>
      <c r="E26" s="60"/>
      <c r="F26" s="159">
        <v>0</v>
      </c>
      <c r="G26" s="159">
        <v>0</v>
      </c>
      <c r="H26" s="162"/>
      <c r="I26" s="162"/>
      <c r="J26" s="161">
        <f>ROUND(ROUND(ROUND(G26,2)*(1+'2017 Determination - Revenue'!$F$18),2)*(1+'2017 Determination - Revenue'!$G$18),2)</f>
        <v>0</v>
      </c>
      <c r="K26" s="76"/>
    </row>
    <row r="27" spans="2:15" x14ac:dyDescent="0.2">
      <c r="B27" s="50"/>
      <c r="C27" s="82"/>
      <c r="D27" s="82"/>
      <c r="E27" s="82"/>
      <c r="F27" s="63"/>
      <c r="G27" s="63"/>
      <c r="H27" s="63"/>
      <c r="I27" s="63"/>
      <c r="J27" s="63"/>
      <c r="K27" s="80"/>
    </row>
    <row r="28" spans="2:15" x14ac:dyDescent="0.2">
      <c r="B28" s="43"/>
      <c r="C28" s="75"/>
      <c r="D28" s="75"/>
      <c r="E28" s="75"/>
      <c r="F28" s="81"/>
      <c r="G28" s="81"/>
      <c r="H28" s="81"/>
      <c r="I28" s="81"/>
      <c r="J28" s="81"/>
    </row>
    <row r="29" spans="2:15" x14ac:dyDescent="0.2">
      <c r="B29" s="43"/>
      <c r="C29" s="75"/>
      <c r="D29" s="75"/>
      <c r="E29" s="75"/>
      <c r="F29" s="81"/>
      <c r="G29" s="81"/>
      <c r="H29" s="81"/>
      <c r="I29" s="81"/>
      <c r="J29" s="81"/>
    </row>
    <row r="30" spans="2:15" x14ac:dyDescent="0.2">
      <c r="B30" s="70" t="s">
        <v>132</v>
      </c>
      <c r="F30" s="61"/>
      <c r="G30" s="61"/>
      <c r="H30" s="61"/>
      <c r="I30" s="61"/>
      <c r="J30" s="61"/>
    </row>
    <row r="31" spans="2:15" ht="36" x14ac:dyDescent="0.2">
      <c r="B31" s="71" t="str">
        <f>'2017 Determination - Revenue'!B$16</f>
        <v>Financial year</v>
      </c>
      <c r="C31" s="72" t="str">
        <f>'2017 Determination - Revenue'!C$23</f>
        <v>Units</v>
      </c>
      <c r="D31" s="58"/>
      <c r="E31" s="58"/>
      <c r="F31" s="178" t="str">
        <f>'2017 Determination - Revenue'!F$16</f>
        <v>2017-18</v>
      </c>
      <c r="G31" s="178" t="str">
        <f>'2017 Determination - Revenue'!G$16</f>
        <v>2018-19</v>
      </c>
      <c r="H31" s="62"/>
      <c r="I31" s="62"/>
      <c r="J31" s="188" t="str">
        <f>J$48</f>
        <v>2018-19 charges expressed in</v>
      </c>
      <c r="K31" s="73"/>
    </row>
    <row r="32" spans="2:15" x14ac:dyDescent="0.2">
      <c r="B32" s="74"/>
      <c r="C32" s="60"/>
      <c r="D32" s="60"/>
      <c r="E32" s="60"/>
      <c r="F32" s="179" t="str">
        <f>'2017 Determination - Revenue'!$F$24</f>
        <v>$2016-17</v>
      </c>
      <c r="G32" s="179" t="str">
        <f>'2017 Determination - Revenue'!$F$24</f>
        <v>$2016-17</v>
      </c>
      <c r="H32" s="160"/>
      <c r="I32" s="160"/>
      <c r="J32" s="177" t="str">
        <f>J$49</f>
        <v>$2018-19</v>
      </c>
      <c r="K32" s="76"/>
    </row>
    <row r="33" spans="2:15" x14ac:dyDescent="0.2">
      <c r="B33" s="74"/>
      <c r="C33" s="60"/>
      <c r="D33" s="60"/>
      <c r="E33" s="60"/>
      <c r="F33" s="57"/>
      <c r="G33" s="57"/>
      <c r="H33" s="57"/>
      <c r="I33" s="57"/>
      <c r="J33" s="189"/>
      <c r="K33" s="76"/>
    </row>
    <row r="34" spans="2:15" x14ac:dyDescent="0.2">
      <c r="B34" s="74" t="s">
        <v>42</v>
      </c>
      <c r="C34" s="60"/>
      <c r="D34" s="60"/>
      <c r="E34" s="60"/>
      <c r="F34" s="57"/>
      <c r="G34" s="57"/>
      <c r="H34" s="57"/>
      <c r="I34" s="57"/>
      <c r="J34" s="57"/>
      <c r="K34" s="76"/>
    </row>
    <row r="35" spans="2:15" ht="12" customHeight="1" x14ac:dyDescent="0.2">
      <c r="B35" s="48" t="str">
        <f>'2017 Determination - Revenue'!$B$28</f>
        <v>Border</v>
      </c>
      <c r="C35" s="77" t="str">
        <f>Outputs!$C$27</f>
        <v>$/ML</v>
      </c>
      <c r="D35" s="60"/>
      <c r="E35" s="60"/>
      <c r="F35" s="159">
        <v>1.9788687190371097</v>
      </c>
      <c r="G35" s="159">
        <v>1.9788687190371097</v>
      </c>
      <c r="H35" s="161"/>
      <c r="I35" s="161"/>
      <c r="J35" s="161">
        <f>ROUND(ROUND(ROUND(G35,2)*(1+'2017 Determination - Revenue'!$F$18),2)*(1+'2017 Determination - Revenue'!$G$18),2)</f>
        <v>2.06</v>
      </c>
      <c r="K35" s="76"/>
      <c r="O35" s="143"/>
    </row>
    <row r="36" spans="2:15" x14ac:dyDescent="0.2">
      <c r="B36" s="48" t="str">
        <f>'2017 Determination - Revenue'!$B$29</f>
        <v>Gwydir</v>
      </c>
      <c r="C36" s="77" t="str">
        <f>Outputs!$C$27</f>
        <v>$/ML</v>
      </c>
      <c r="D36" s="60"/>
      <c r="E36" s="60"/>
      <c r="F36" s="159">
        <v>3.4798474827858135</v>
      </c>
      <c r="G36" s="159">
        <v>3.4798474827858135</v>
      </c>
      <c r="H36" s="161"/>
      <c r="I36" s="161"/>
      <c r="J36" s="161">
        <f>ROUND(ROUND(ROUND(G36,2)*(1+'2017 Determination - Revenue'!$F$18),2)*(1+'2017 Determination - Revenue'!$G$18),2)</f>
        <v>3.62</v>
      </c>
      <c r="K36" s="76"/>
      <c r="N36" s="143"/>
      <c r="O36" s="143"/>
    </row>
    <row r="37" spans="2:15" x14ac:dyDescent="0.2">
      <c r="B37" s="48" t="str">
        <f>'2017 Determination - Revenue'!$B$30</f>
        <v>Namoi</v>
      </c>
      <c r="C37" s="77" t="str">
        <f>Outputs!$C$27</f>
        <v>$/ML</v>
      </c>
      <c r="D37" s="60"/>
      <c r="E37" s="60"/>
      <c r="F37" s="159">
        <v>7.9573495340749334</v>
      </c>
      <c r="G37" s="159">
        <v>7.9573495340749334</v>
      </c>
      <c r="H37" s="161"/>
      <c r="I37" s="161"/>
      <c r="J37" s="161">
        <f>ROUND(ROUND(ROUND(G37,2)*(1+'2017 Determination - Revenue'!$F$18),2)*(1+'2017 Determination - Revenue'!$G$18),2)</f>
        <v>8.2799999999999994</v>
      </c>
      <c r="K37" s="76"/>
      <c r="N37" s="143"/>
      <c r="O37" s="143"/>
    </row>
    <row r="38" spans="2:15" x14ac:dyDescent="0.2">
      <c r="B38" s="48" t="str">
        <f>'2017 Determination - Revenue'!$B$31</f>
        <v>Peel</v>
      </c>
      <c r="C38" s="77" t="str">
        <f>Outputs!$C$27</f>
        <v>$/ML</v>
      </c>
      <c r="D38" s="60"/>
      <c r="E38" s="60"/>
      <c r="F38" s="159">
        <v>2.0088384355493285</v>
      </c>
      <c r="G38" s="159">
        <v>4.017676871098657</v>
      </c>
      <c r="H38" s="161"/>
      <c r="I38" s="161"/>
      <c r="J38" s="161">
        <f>ROUND(ROUND(ROUND(G38,2)*(1+'2017 Determination - Revenue'!$F$18),2)*(1+'2017 Determination - Revenue'!$G$18),2)</f>
        <v>4.18</v>
      </c>
      <c r="K38" s="76"/>
      <c r="N38" s="143"/>
      <c r="O38" s="143"/>
    </row>
    <row r="39" spans="2:15" x14ac:dyDescent="0.2">
      <c r="B39" s="48" t="str">
        <f>'2017 Determination - Revenue'!$B$32</f>
        <v>Lachlan</v>
      </c>
      <c r="C39" s="77" t="str">
        <f>Outputs!$C$27</f>
        <v>$/ML</v>
      </c>
      <c r="D39" s="60"/>
      <c r="E39" s="60"/>
      <c r="F39" s="159">
        <v>2.7294754839554174</v>
      </c>
      <c r="G39" s="159">
        <v>2.7294754839554174</v>
      </c>
      <c r="H39" s="161"/>
      <c r="I39" s="161"/>
      <c r="J39" s="161">
        <f>ROUND(ROUND(ROUND(G39,2)*(1+'2017 Determination - Revenue'!$F$18),2)*(1+'2017 Determination - Revenue'!$G$18),2)</f>
        <v>2.84</v>
      </c>
      <c r="K39" s="76"/>
      <c r="N39" s="143"/>
      <c r="O39" s="143"/>
    </row>
    <row r="40" spans="2:15" x14ac:dyDescent="0.2">
      <c r="B40" s="48" t="str">
        <f>'2017 Determination - Revenue'!$B$33</f>
        <v>Macquarie</v>
      </c>
      <c r="C40" s="77" t="str">
        <f>Outputs!$C$27</f>
        <v>$/ML</v>
      </c>
      <c r="D40" s="60"/>
      <c r="E40" s="60"/>
      <c r="F40" s="159">
        <v>2.8467811535599639</v>
      </c>
      <c r="G40" s="159">
        <v>2.8467811535599639</v>
      </c>
      <c r="H40" s="161"/>
      <c r="I40" s="161"/>
      <c r="J40" s="161">
        <f>ROUND(ROUND(ROUND(G40,2)*(1+'2017 Determination - Revenue'!$F$18),2)*(1+'2017 Determination - Revenue'!$G$18),2)</f>
        <v>2.97</v>
      </c>
      <c r="K40" s="76"/>
      <c r="N40" s="143"/>
      <c r="O40" s="143"/>
    </row>
    <row r="41" spans="2:15" x14ac:dyDescent="0.2">
      <c r="B41" s="48" t="str">
        <f>'2017 Determination - Revenue'!$B$34</f>
        <v>Murray</v>
      </c>
      <c r="C41" s="77" t="str">
        <f>Outputs!$C$27</f>
        <v>$/ML</v>
      </c>
      <c r="D41" s="60"/>
      <c r="E41" s="60"/>
      <c r="F41" s="159">
        <v>0.75379063074672403</v>
      </c>
      <c r="G41" s="159">
        <v>0.75379063074672403</v>
      </c>
      <c r="H41" s="161"/>
      <c r="I41" s="161"/>
      <c r="J41" s="161">
        <f>ROUND(ROUND(ROUND(G41,2)*(1+'2017 Determination - Revenue'!$F$18),2)*(1+'2017 Determination - Revenue'!$G$18),2)</f>
        <v>0.78</v>
      </c>
      <c r="K41" s="76"/>
      <c r="N41" s="143"/>
      <c r="O41" s="143"/>
    </row>
    <row r="42" spans="2:15" x14ac:dyDescent="0.2">
      <c r="B42" s="48" t="str">
        <f>'2017 Determination - Revenue'!$B$35</f>
        <v>Murrumbidgee</v>
      </c>
      <c r="C42" s="77" t="str">
        <f>Outputs!$C$27</f>
        <v>$/ML</v>
      </c>
      <c r="D42" s="60"/>
      <c r="E42" s="60"/>
      <c r="F42" s="159">
        <v>1.1144947783604038</v>
      </c>
      <c r="G42" s="159">
        <v>1.1144947783604038</v>
      </c>
      <c r="H42" s="161"/>
      <c r="I42" s="161"/>
      <c r="J42" s="161">
        <f>ROUND(ROUND(ROUND(G42,2)*(1+'2017 Determination - Revenue'!$F$18),2)*(1+'2017 Determination - Revenue'!$G$18),2)</f>
        <v>1.1499999999999999</v>
      </c>
      <c r="K42" s="76"/>
      <c r="N42" s="143"/>
      <c r="O42" s="143"/>
    </row>
    <row r="43" spans="2:15" x14ac:dyDescent="0.2">
      <c r="B43" s="48" t="str">
        <f>'2017 Determination - Revenue'!$B$36</f>
        <v>Lowbidgee</v>
      </c>
      <c r="C43" s="77" t="str">
        <f>Outputs!$C$27</f>
        <v>$/ML</v>
      </c>
      <c r="D43" s="60"/>
      <c r="E43" s="60"/>
      <c r="F43" s="159">
        <v>0.7831544756319907</v>
      </c>
      <c r="G43" s="159">
        <v>0.7831544756319907</v>
      </c>
      <c r="H43" s="161"/>
      <c r="I43" s="161"/>
      <c r="J43" s="161">
        <f>ROUND(ROUND(ROUND(G43,2)*(1+'2017 Determination - Revenue'!$F$18),2)*(1+'2017 Determination - Revenue'!$G$18),2)</f>
        <v>0.82</v>
      </c>
      <c r="K43" s="76"/>
      <c r="N43" s="143"/>
      <c r="O43" s="143"/>
    </row>
    <row r="44" spans="2:15" x14ac:dyDescent="0.2">
      <c r="B44" s="50"/>
      <c r="C44" s="82"/>
      <c r="D44" s="82"/>
      <c r="E44" s="82"/>
      <c r="F44" s="63"/>
      <c r="G44" s="63"/>
      <c r="H44" s="63"/>
      <c r="I44" s="63"/>
      <c r="J44" s="63"/>
      <c r="K44" s="80"/>
    </row>
    <row r="45" spans="2:15" x14ac:dyDescent="0.2">
      <c r="B45" s="43"/>
      <c r="C45" s="60"/>
      <c r="D45" s="60"/>
      <c r="E45" s="60"/>
      <c r="F45" s="57"/>
      <c r="G45" s="57"/>
      <c r="H45" s="57"/>
      <c r="I45" s="57"/>
      <c r="J45" s="57"/>
    </row>
    <row r="46" spans="2:15" x14ac:dyDescent="0.2">
      <c r="B46" s="83"/>
      <c r="C46" s="60"/>
      <c r="D46" s="60"/>
      <c r="E46" s="60"/>
      <c r="F46" s="57"/>
      <c r="G46" s="57"/>
      <c r="H46" s="57"/>
      <c r="I46" s="57"/>
      <c r="J46" s="57"/>
    </row>
    <row r="47" spans="2:15" x14ac:dyDescent="0.2">
      <c r="B47" s="70" t="s">
        <v>207</v>
      </c>
    </row>
    <row r="48" spans="2:15" ht="45.75" customHeight="1" x14ac:dyDescent="0.2">
      <c r="B48" s="71" t="str">
        <f>'2017 Determination - Revenue'!B$16</f>
        <v>Financial year</v>
      </c>
      <c r="C48" s="72" t="str">
        <f>'2017 Determination - Revenue'!C$23</f>
        <v>Units</v>
      </c>
      <c r="D48" s="52"/>
      <c r="E48" s="52"/>
      <c r="F48" s="175" t="str">
        <f>'2017 Determination - Revenue'!F$16</f>
        <v>2017-18</v>
      </c>
      <c r="G48" s="175" t="str">
        <f>'2017 Determination - Revenue'!G$16</f>
        <v>2018-19</v>
      </c>
      <c r="H48" s="175"/>
      <c r="I48" s="175"/>
      <c r="J48" s="188" t="s">
        <v>187</v>
      </c>
      <c r="K48" s="73"/>
    </row>
    <row r="49" spans="2:15" x14ac:dyDescent="0.2">
      <c r="B49" s="74"/>
      <c r="C49" s="75"/>
      <c r="D49" s="75"/>
      <c r="E49" s="75"/>
      <c r="F49" s="177" t="str">
        <f>'2017 Determination - Revenue'!$F$24</f>
        <v>$2016-17</v>
      </c>
      <c r="G49" s="177" t="str">
        <f>'2017 Determination - Revenue'!$F$24</f>
        <v>$2016-17</v>
      </c>
      <c r="H49" s="184"/>
      <c r="I49" s="184"/>
      <c r="J49" s="177" t="s">
        <v>95</v>
      </c>
      <c r="K49" s="76"/>
    </row>
    <row r="50" spans="2:15" x14ac:dyDescent="0.2">
      <c r="B50" s="74"/>
      <c r="C50" s="75"/>
      <c r="D50" s="75"/>
      <c r="E50" s="75"/>
      <c r="F50" s="75"/>
      <c r="G50" s="75"/>
      <c r="H50" s="75"/>
      <c r="I50" s="75"/>
      <c r="J50" s="75"/>
      <c r="K50" s="76"/>
    </row>
    <row r="51" spans="2:15" x14ac:dyDescent="0.2">
      <c r="B51" s="74" t="s">
        <v>41</v>
      </c>
      <c r="C51" s="75"/>
      <c r="D51" s="75"/>
      <c r="E51" s="75"/>
      <c r="F51" s="81"/>
      <c r="G51" s="81"/>
      <c r="H51" s="75"/>
      <c r="I51" s="75"/>
      <c r="J51" s="75"/>
      <c r="K51" s="76"/>
    </row>
    <row r="52" spans="2:15" ht="12" customHeight="1" x14ac:dyDescent="0.2">
      <c r="B52" s="48" t="str">
        <f>'2017 Determination - Revenue'!$B$28</f>
        <v>Border</v>
      </c>
      <c r="C52" s="77" t="str">
        <f>Outputs!$C$27</f>
        <v>$/ML</v>
      </c>
      <c r="D52" s="75"/>
      <c r="E52" s="75"/>
      <c r="F52" s="159">
        <v>5.3280912819709219</v>
      </c>
      <c r="G52" s="159">
        <v>5.3280912819709219</v>
      </c>
      <c r="H52" s="161"/>
      <c r="I52" s="161"/>
      <c r="J52" s="161">
        <f>ROUND(ROUND(ROUND(G52,2)*(1+'2017 Determination - Revenue'!$F$18),2)*(1+'2017 Determination - Revenue'!$G$18),2)</f>
        <v>5.54</v>
      </c>
      <c r="K52" s="76"/>
      <c r="O52" s="143"/>
    </row>
    <row r="53" spans="2:15" x14ac:dyDescent="0.2">
      <c r="B53" s="48" t="str">
        <f>'2017 Determination - Revenue'!$B$29</f>
        <v>Gwydir</v>
      </c>
      <c r="C53" s="77" t="str">
        <f>Outputs!$C$27</f>
        <v>$/ML</v>
      </c>
      <c r="D53" s="75"/>
      <c r="E53" s="75"/>
      <c r="F53" s="159">
        <v>11.081245442126379</v>
      </c>
      <c r="G53" s="159">
        <v>11.081245442126379</v>
      </c>
      <c r="H53" s="161"/>
      <c r="I53" s="161"/>
      <c r="J53" s="161">
        <f>ROUND(ROUND(ROUND(G53,2)*(1+'2017 Determination - Revenue'!$F$18),2)*(1+'2017 Determination - Revenue'!$G$18),2)</f>
        <v>11.52</v>
      </c>
      <c r="K53" s="76"/>
      <c r="N53" s="143"/>
      <c r="O53" s="143"/>
    </row>
    <row r="54" spans="2:15" x14ac:dyDescent="0.2">
      <c r="B54" s="48" t="str">
        <f>'2017 Determination - Revenue'!$B$30</f>
        <v>Namoi</v>
      </c>
      <c r="C54" s="77" t="str">
        <f>Outputs!$C$27</f>
        <v>$/ML</v>
      </c>
      <c r="D54" s="75"/>
      <c r="E54" s="75"/>
      <c r="F54" s="159">
        <v>17.078806213771792</v>
      </c>
      <c r="G54" s="159">
        <v>17.078806213771792</v>
      </c>
      <c r="H54" s="161"/>
      <c r="I54" s="161"/>
      <c r="J54" s="161">
        <f>ROUND(ROUND(ROUND(G54,2)*(1+'2017 Determination - Revenue'!$F$18),2)*(1+'2017 Determination - Revenue'!$G$18),2)</f>
        <v>17.77</v>
      </c>
      <c r="K54" s="76"/>
      <c r="N54" s="143"/>
      <c r="O54" s="143"/>
    </row>
    <row r="55" spans="2:15" x14ac:dyDescent="0.2">
      <c r="B55" s="48" t="str">
        <f>'2017 Determination - Revenue'!$B$31</f>
        <v>Peel</v>
      </c>
      <c r="C55" s="77" t="str">
        <f>Outputs!$C$27</f>
        <v>$/ML</v>
      </c>
      <c r="D55" s="75"/>
      <c r="E55" s="75"/>
      <c r="F55" s="159">
        <v>20.78395133436014</v>
      </c>
      <c r="G55" s="159">
        <v>41.567902668720279</v>
      </c>
      <c r="H55" s="161"/>
      <c r="I55" s="161"/>
      <c r="J55" s="161">
        <f>ROUND(ROUND(ROUND(G55,2)*(1+'2017 Determination - Revenue'!$F$18),2)*(1+'2017 Determination - Revenue'!$G$18),2)</f>
        <v>43.25</v>
      </c>
      <c r="K55" s="76"/>
      <c r="N55" s="143"/>
      <c r="O55" s="143"/>
    </row>
    <row r="56" spans="2:15" x14ac:dyDescent="0.2">
      <c r="B56" s="48" t="str">
        <f>'2017 Determination - Revenue'!$B$32</f>
        <v>Lachlan</v>
      </c>
      <c r="C56" s="77" t="str">
        <f>Outputs!$C$27</f>
        <v>$/ML</v>
      </c>
      <c r="D56" s="75"/>
      <c r="E56" s="75"/>
      <c r="F56" s="159">
        <v>15.379109814709489</v>
      </c>
      <c r="G56" s="159">
        <v>15.379109814709489</v>
      </c>
      <c r="H56" s="161"/>
      <c r="I56" s="161"/>
      <c r="J56" s="161">
        <f>ROUND(ROUND(ROUND(G56,2)*(1+'2017 Determination - Revenue'!$F$18),2)*(1+'2017 Determination - Revenue'!$G$18),2)</f>
        <v>16</v>
      </c>
      <c r="K56" s="76"/>
      <c r="N56" s="143"/>
      <c r="O56" s="143"/>
    </row>
    <row r="57" spans="2:15" x14ac:dyDescent="0.2">
      <c r="B57" s="48" t="str">
        <f>'2017 Determination - Revenue'!$B$33</f>
        <v>Macquarie</v>
      </c>
      <c r="C57" s="77" t="str">
        <f>Outputs!$C$27</f>
        <v>$/ML</v>
      </c>
      <c r="D57" s="75"/>
      <c r="E57" s="75"/>
      <c r="F57" s="159">
        <v>13.514162012252285</v>
      </c>
      <c r="G57" s="159">
        <v>13.514162012252285</v>
      </c>
      <c r="H57" s="161"/>
      <c r="I57" s="161"/>
      <c r="J57" s="161">
        <f>ROUND(ROUND(ROUND(G57,2)*(1+'2017 Determination - Revenue'!$F$18),2)*(1+'2017 Determination - Revenue'!$G$18),2)</f>
        <v>14.05</v>
      </c>
      <c r="K57" s="76"/>
      <c r="N57" s="143"/>
      <c r="O57" s="143"/>
    </row>
    <row r="58" spans="2:15" x14ac:dyDescent="0.2">
      <c r="B58" s="48" t="str">
        <f>'2017 Determination - Revenue'!$B$34</f>
        <v>Murray</v>
      </c>
      <c r="C58" s="77" t="str">
        <f>Outputs!$C$27</f>
        <v>$/ML</v>
      </c>
      <c r="D58" s="75"/>
      <c r="E58" s="75"/>
      <c r="F58" s="159">
        <v>1.5377364390374406</v>
      </c>
      <c r="G58" s="159">
        <v>1.5377364390374406</v>
      </c>
      <c r="H58" s="161"/>
      <c r="I58" s="161"/>
      <c r="J58" s="161">
        <f>ROUND(ROUND(ROUND(G58,2)*(1+'2017 Determination - Revenue'!$F$18),2)*(1+'2017 Determination - Revenue'!$G$18),2)</f>
        <v>1.6</v>
      </c>
      <c r="K58" s="76"/>
      <c r="N58" s="143"/>
      <c r="O58" s="143"/>
    </row>
    <row r="59" spans="2:15" x14ac:dyDescent="0.2">
      <c r="B59" s="48" t="str">
        <f>'2017 Determination - Revenue'!$B$35</f>
        <v>Murrumbidgee</v>
      </c>
      <c r="C59" s="77" t="str">
        <f>Outputs!$C$27</f>
        <v>$/ML</v>
      </c>
      <c r="D59" s="75"/>
      <c r="E59" s="75"/>
      <c r="F59" s="159">
        <v>2.9532745157454201</v>
      </c>
      <c r="G59" s="159">
        <v>2.9532745157454201</v>
      </c>
      <c r="H59" s="161"/>
      <c r="I59" s="161"/>
      <c r="J59" s="161">
        <f>ROUND(ROUND(ROUND(G59,2)*(1+'2017 Determination - Revenue'!$F$18),2)*(1+'2017 Determination - Revenue'!$G$18),2)</f>
        <v>3.07</v>
      </c>
      <c r="K59" s="76"/>
      <c r="N59" s="143"/>
      <c r="O59" s="143"/>
    </row>
    <row r="60" spans="2:15" x14ac:dyDescent="0.2">
      <c r="B60" s="48" t="str">
        <f>'2017 Determination - Revenue'!$B$36</f>
        <v>Lowbidgee</v>
      </c>
      <c r="C60" s="77" t="str">
        <f>Outputs!$C$27</f>
        <v>$/ML</v>
      </c>
      <c r="D60" s="75"/>
      <c r="E60" s="75"/>
      <c r="F60" s="159">
        <v>0</v>
      </c>
      <c r="G60" s="159">
        <v>0</v>
      </c>
      <c r="H60" s="162"/>
      <c r="I60" s="162"/>
      <c r="J60" s="161">
        <f>ROUND(ROUND(ROUND(G60,2)*(1+'2017 Determination - Revenue'!$F$18),2)*(1+'2017 Determination - Revenue'!$G$18),2)</f>
        <v>0</v>
      </c>
      <c r="K60" s="76"/>
    </row>
    <row r="61" spans="2:15" x14ac:dyDescent="0.2">
      <c r="B61" s="50"/>
      <c r="C61" s="78"/>
      <c r="D61" s="78"/>
      <c r="E61" s="78"/>
      <c r="F61" s="79"/>
      <c r="G61" s="79"/>
      <c r="H61" s="79"/>
      <c r="I61" s="79"/>
      <c r="J61" s="79"/>
      <c r="K61" s="80"/>
    </row>
    <row r="62" spans="2:15" x14ac:dyDescent="0.2">
      <c r="B62" s="43"/>
      <c r="C62" s="60"/>
      <c r="D62" s="60"/>
      <c r="E62" s="60"/>
      <c r="F62" s="57"/>
      <c r="G62" s="57"/>
      <c r="H62" s="57"/>
      <c r="I62" s="57"/>
      <c r="J62" s="57"/>
    </row>
    <row r="63" spans="2:15" s="143" customFormat="1" x14ac:dyDescent="0.2">
      <c r="B63" s="43"/>
      <c r="C63" s="60"/>
      <c r="D63" s="60"/>
      <c r="E63" s="60"/>
      <c r="F63" s="57"/>
      <c r="G63" s="57"/>
      <c r="H63" s="57"/>
      <c r="I63" s="57"/>
      <c r="J63" s="57"/>
    </row>
    <row r="64" spans="2:15" s="143" customFormat="1" x14ac:dyDescent="0.2">
      <c r="B64" s="70" t="s">
        <v>94</v>
      </c>
      <c r="F64" s="61"/>
      <c r="G64" s="61"/>
      <c r="H64" s="61"/>
      <c r="I64" s="61"/>
      <c r="J64" s="61"/>
    </row>
    <row r="65" spans="2:11" s="143" customFormat="1" ht="36" x14ac:dyDescent="0.2">
      <c r="B65" s="71" t="str">
        <f>'2017 Determination - Revenue'!B$16</f>
        <v>Financial year</v>
      </c>
      <c r="C65" s="72" t="str">
        <f>'2017 Determination - Revenue'!C$23</f>
        <v>Units</v>
      </c>
      <c r="D65" s="58"/>
      <c r="E65" s="58"/>
      <c r="F65" s="178" t="str">
        <f>'2017 Determination - Revenue'!F$16</f>
        <v>2017-18</v>
      </c>
      <c r="G65" s="178" t="str">
        <f>'2017 Determination - Revenue'!G$16</f>
        <v>2018-19</v>
      </c>
      <c r="H65" s="62"/>
      <c r="I65" s="62"/>
      <c r="J65" s="188" t="str">
        <f>J$48</f>
        <v>2018-19 charges expressed in</v>
      </c>
      <c r="K65" s="73"/>
    </row>
    <row r="66" spans="2:11" s="143" customFormat="1" x14ac:dyDescent="0.2">
      <c r="B66" s="74"/>
      <c r="C66" s="60"/>
      <c r="D66" s="60"/>
      <c r="E66" s="60"/>
      <c r="F66" s="179" t="str">
        <f>'2017 Determination - Revenue'!$F$24</f>
        <v>$2016-17</v>
      </c>
      <c r="G66" s="179" t="str">
        <f>'2017 Determination - Revenue'!$F$24</f>
        <v>$2016-17</v>
      </c>
      <c r="H66" s="160"/>
      <c r="I66" s="160"/>
      <c r="J66" s="177" t="str">
        <f>J$49</f>
        <v>$2018-19</v>
      </c>
      <c r="K66" s="76"/>
    </row>
    <row r="67" spans="2:11" s="143" customFormat="1" x14ac:dyDescent="0.2">
      <c r="B67" s="74"/>
      <c r="C67" s="60"/>
      <c r="D67" s="60"/>
      <c r="E67" s="60"/>
      <c r="F67" s="57"/>
      <c r="G67" s="57"/>
      <c r="H67" s="57"/>
      <c r="I67" s="57"/>
      <c r="J67" s="57"/>
      <c r="K67" s="76"/>
    </row>
    <row r="68" spans="2:11" s="143" customFormat="1" x14ac:dyDescent="0.2">
      <c r="B68" s="74" t="s">
        <v>93</v>
      </c>
      <c r="C68" s="60"/>
      <c r="D68" s="60"/>
      <c r="E68" s="60"/>
      <c r="F68" s="57"/>
      <c r="G68" s="57"/>
      <c r="H68" s="57"/>
      <c r="I68" s="57"/>
      <c r="J68" s="57"/>
      <c r="K68" s="76"/>
    </row>
    <row r="69" spans="2:11" s="143" customFormat="1" ht="12" customHeight="1" x14ac:dyDescent="0.2">
      <c r="B69" s="48" t="str">
        <f>'2017 Determination - Revenue'!$B$28</f>
        <v>Border</v>
      </c>
      <c r="C69" s="77" t="str">
        <f>Outputs!$C$27</f>
        <v>$/ML</v>
      </c>
      <c r="D69" s="60"/>
      <c r="E69" s="57"/>
      <c r="F69" s="159">
        <v>0.78386903671713781</v>
      </c>
      <c r="G69" s="159">
        <v>0.78386903671713781</v>
      </c>
      <c r="H69" s="161"/>
      <c r="I69" s="161"/>
      <c r="J69" s="161">
        <f>ROUND(ROUND(ROUND(G69,2)*(1+'2017 Determination - Revenue'!$F$18),2)*(1+'2017 Determination - Revenue'!$G$18),2)</f>
        <v>0.82</v>
      </c>
      <c r="K69" s="76"/>
    </row>
    <row r="70" spans="2:11" s="143" customFormat="1" x14ac:dyDescent="0.2">
      <c r="B70" s="48" t="str">
        <f>'2017 Determination - Revenue'!$B$34</f>
        <v>Murray</v>
      </c>
      <c r="C70" s="77" t="str">
        <f>Outputs!$C$27</f>
        <v>$/ML</v>
      </c>
      <c r="D70" s="60"/>
      <c r="E70" s="57"/>
      <c r="F70" s="159">
        <v>1.4985294573379557</v>
      </c>
      <c r="G70" s="159">
        <v>1.4985294573379557</v>
      </c>
      <c r="H70" s="161"/>
      <c r="I70" s="161"/>
      <c r="J70" s="161">
        <f>ROUND(ROUND(ROUND(G70,2)*(1+'2017 Determination - Revenue'!$F$18),2)*(1+'2017 Determination - Revenue'!$G$18),2)</f>
        <v>1.56</v>
      </c>
      <c r="K70" s="76"/>
    </row>
    <row r="71" spans="2:11" s="143" customFormat="1" x14ac:dyDescent="0.2">
      <c r="B71" s="48" t="str">
        <f>'2017 Determination - Revenue'!$B$35</f>
        <v>Murrumbidgee</v>
      </c>
      <c r="C71" s="77" t="str">
        <f>Outputs!$C$27</f>
        <v>$/ML</v>
      </c>
      <c r="D71" s="60"/>
      <c r="E71" s="57"/>
      <c r="F71" s="159">
        <v>0.3005578181756689</v>
      </c>
      <c r="G71" s="159">
        <v>0.3005578181756689</v>
      </c>
      <c r="H71" s="161"/>
      <c r="I71" s="161"/>
      <c r="J71" s="161">
        <f>ROUND(ROUND(ROUND(G71,2)*(1+'2017 Determination - Revenue'!$F$18),2)*(1+'2017 Determination - Revenue'!$G$18),2)</f>
        <v>0.32</v>
      </c>
      <c r="K71" s="76"/>
    </row>
    <row r="72" spans="2:11" s="143" customFormat="1" x14ac:dyDescent="0.2">
      <c r="B72" s="48"/>
      <c r="C72" s="77"/>
      <c r="D72" s="60"/>
      <c r="E72" s="60"/>
      <c r="F72" s="248"/>
      <c r="G72" s="248"/>
      <c r="H72" s="57"/>
      <c r="I72" s="57"/>
      <c r="J72" s="161"/>
      <c r="K72" s="76"/>
    </row>
    <row r="73" spans="2:11" s="143" customFormat="1" x14ac:dyDescent="0.2">
      <c r="B73" s="74" t="s">
        <v>91</v>
      </c>
      <c r="C73" s="60"/>
      <c r="D73" s="60"/>
      <c r="E73" s="60"/>
      <c r="F73" s="249"/>
      <c r="G73" s="249"/>
      <c r="H73" s="57"/>
      <c r="I73" s="57"/>
      <c r="J73" s="161"/>
      <c r="K73" s="76"/>
    </row>
    <row r="74" spans="2:11" s="143" customFormat="1" ht="12" customHeight="1" x14ac:dyDescent="0.2">
      <c r="B74" s="48" t="str">
        <f>'2017 Determination - Revenue'!$B$28</f>
        <v>Border</v>
      </c>
      <c r="C74" s="77" t="str">
        <f>Outputs!$C$27</f>
        <v>$/ML</v>
      </c>
      <c r="D74" s="60"/>
      <c r="E74" s="57"/>
      <c r="F74" s="159">
        <v>1.7103348160629046</v>
      </c>
      <c r="G74" s="159">
        <v>1.7103348160629046</v>
      </c>
      <c r="H74" s="161"/>
      <c r="I74" s="161"/>
      <c r="J74" s="161">
        <f>ROUND(ROUND(ROUND(G74,2)*(1+'2017 Determination - Revenue'!$F$18),2)*(1+'2017 Determination - Revenue'!$G$18),2)</f>
        <v>1.78</v>
      </c>
      <c r="K74" s="76"/>
    </row>
    <row r="75" spans="2:11" s="143" customFormat="1" x14ac:dyDescent="0.2">
      <c r="B75" s="48" t="str">
        <f>'2017 Determination - Revenue'!$B$34</f>
        <v>Murray</v>
      </c>
      <c r="C75" s="77" t="str">
        <f>Outputs!$C$27</f>
        <v>$/ML</v>
      </c>
      <c r="D75" s="60"/>
      <c r="E75" s="57"/>
      <c r="F75" s="159">
        <v>3.5616689641805239</v>
      </c>
      <c r="G75" s="159">
        <v>3.5616689641805239</v>
      </c>
      <c r="H75" s="161"/>
      <c r="I75" s="161"/>
      <c r="J75" s="161">
        <f>ROUND(ROUND(ROUND(G75,2)*(1+'2017 Determination - Revenue'!$F$18),2)*(1+'2017 Determination - Revenue'!$G$18),2)</f>
        <v>3.7</v>
      </c>
      <c r="K75" s="76"/>
    </row>
    <row r="76" spans="2:11" s="143" customFormat="1" x14ac:dyDescent="0.2">
      <c r="B76" s="48" t="str">
        <f>'2017 Determination - Revenue'!$B$35</f>
        <v>Murrumbidgee</v>
      </c>
      <c r="C76" s="77" t="str">
        <f>Outputs!$C$27</f>
        <v>$/ML</v>
      </c>
      <c r="D76" s="60"/>
      <c r="E76" s="57"/>
      <c r="F76" s="159">
        <v>0.60861535478820739</v>
      </c>
      <c r="G76" s="159">
        <v>0.60861535478820739</v>
      </c>
      <c r="H76" s="161"/>
      <c r="I76" s="161"/>
      <c r="J76" s="161">
        <f>ROUND(ROUND(ROUND(G76,2)*(1+'2017 Determination - Revenue'!$F$18),2)*(1+'2017 Determination - Revenue'!$G$18),2)</f>
        <v>0.63</v>
      </c>
      <c r="K76" s="76"/>
    </row>
    <row r="77" spans="2:11" s="143" customFormat="1" x14ac:dyDescent="0.2">
      <c r="B77" s="48"/>
      <c r="C77" s="60"/>
      <c r="D77" s="60"/>
      <c r="E77" s="60"/>
      <c r="F77" s="249"/>
      <c r="G77" s="249"/>
      <c r="H77" s="57"/>
      <c r="I77" s="57"/>
      <c r="J77" s="161"/>
      <c r="K77" s="76"/>
    </row>
    <row r="78" spans="2:11" s="143" customFormat="1" x14ac:dyDescent="0.2">
      <c r="B78" s="74" t="s">
        <v>92</v>
      </c>
      <c r="C78" s="60"/>
      <c r="D78" s="60"/>
      <c r="E78" s="60"/>
      <c r="F78" s="249"/>
      <c r="G78" s="249"/>
      <c r="H78" s="57"/>
      <c r="I78" s="57"/>
      <c r="J78" s="161"/>
      <c r="K78" s="76"/>
    </row>
    <row r="79" spans="2:11" s="143" customFormat="1" ht="12" customHeight="1" x14ac:dyDescent="0.2">
      <c r="B79" s="48" t="str">
        <f>'2017 Determination - Revenue'!$B$28</f>
        <v>Border</v>
      </c>
      <c r="C79" s="77" t="str">
        <f>Outputs!$C$27</f>
        <v>$/ML</v>
      </c>
      <c r="D79" s="60"/>
      <c r="E79" s="57"/>
      <c r="F79" s="159">
        <v>4.6050654775877584</v>
      </c>
      <c r="G79" s="159">
        <v>4.6050654775877584</v>
      </c>
      <c r="H79" s="161"/>
      <c r="I79" s="161"/>
      <c r="J79" s="161">
        <f>ROUND(ROUND(ROUND(G79,2)*(1+'2017 Determination - Revenue'!$F$18),2)*(1+'2017 Determination - Revenue'!$G$18),2)</f>
        <v>4.8</v>
      </c>
      <c r="K79" s="76"/>
    </row>
    <row r="80" spans="2:11" s="143" customFormat="1" x14ac:dyDescent="0.2">
      <c r="B80" s="48" t="str">
        <f>'2017 Determination - Revenue'!$B$34</f>
        <v>Murray</v>
      </c>
      <c r="C80" s="77" t="str">
        <f>Outputs!$C$27</f>
        <v>$/ML</v>
      </c>
      <c r="D80" s="60"/>
      <c r="E80" s="57"/>
      <c r="F80" s="159">
        <v>7.2658214716513054</v>
      </c>
      <c r="G80" s="159">
        <v>7.2658214716513054</v>
      </c>
      <c r="H80" s="161"/>
      <c r="I80" s="161"/>
      <c r="J80" s="161">
        <f>ROUND(ROUND(ROUND(G80,2)*(1+'2017 Determination - Revenue'!$F$18),2)*(1+'2017 Determination - Revenue'!$G$18),2)</f>
        <v>7.56</v>
      </c>
      <c r="K80" s="76"/>
    </row>
    <row r="81" spans="2:15" s="143" customFormat="1" x14ac:dyDescent="0.2">
      <c r="B81" s="48" t="str">
        <f>'2017 Determination - Revenue'!$B$35</f>
        <v>Murrumbidgee</v>
      </c>
      <c r="C81" s="77" t="str">
        <f>Outputs!$C$27</f>
        <v>$/ML</v>
      </c>
      <c r="D81" s="60"/>
      <c r="E81" s="57"/>
      <c r="F81" s="159">
        <v>1.6127560685673548</v>
      </c>
      <c r="G81" s="159">
        <v>1.6127560685673548</v>
      </c>
      <c r="H81" s="161"/>
      <c r="I81" s="161"/>
      <c r="J81" s="161">
        <f>ROUND(ROUND(ROUND(G81,2)*(1+'2017 Determination - Revenue'!$F$18),2)*(1+'2017 Determination - Revenue'!$G$18),2)</f>
        <v>1.67</v>
      </c>
      <c r="K81" s="76"/>
    </row>
    <row r="82" spans="2:15" s="143" customFormat="1" x14ac:dyDescent="0.2">
      <c r="B82" s="48"/>
      <c r="C82" s="60"/>
      <c r="D82" s="60"/>
      <c r="E82" s="60"/>
      <c r="F82" s="57"/>
      <c r="G82" s="57"/>
      <c r="H82" s="57"/>
      <c r="I82" s="57"/>
      <c r="J82" s="57"/>
      <c r="K82" s="76"/>
    </row>
    <row r="83" spans="2:15" s="143" customFormat="1" x14ac:dyDescent="0.2">
      <c r="B83" s="50"/>
      <c r="C83" s="82"/>
      <c r="D83" s="82"/>
      <c r="E83" s="82"/>
      <c r="F83" s="63"/>
      <c r="G83" s="63"/>
      <c r="H83" s="63"/>
      <c r="I83" s="63"/>
      <c r="J83" s="63"/>
      <c r="K83" s="80"/>
    </row>
    <row r="84" spans="2:15" s="143" customFormat="1" x14ac:dyDescent="0.2">
      <c r="B84" s="43"/>
      <c r="C84" s="60"/>
      <c r="D84" s="60"/>
      <c r="E84" s="60"/>
      <c r="F84" s="57"/>
      <c r="G84" s="57"/>
      <c r="H84" s="57"/>
      <c r="I84" s="57"/>
      <c r="J84" s="57"/>
    </row>
    <row r="85" spans="2:15" x14ac:dyDescent="0.2">
      <c r="B85" s="43"/>
      <c r="C85" s="60"/>
      <c r="D85" s="60"/>
      <c r="E85" s="60"/>
      <c r="F85" s="57"/>
      <c r="G85" s="57"/>
      <c r="H85" s="57"/>
      <c r="I85" s="57"/>
      <c r="J85" s="57"/>
    </row>
    <row r="86" spans="2:15" x14ac:dyDescent="0.2">
      <c r="B86" s="70" t="s">
        <v>136</v>
      </c>
      <c r="F86" s="61"/>
      <c r="G86" s="61"/>
      <c r="H86" s="61"/>
      <c r="I86" s="61"/>
      <c r="J86" s="61"/>
    </row>
    <row r="87" spans="2:15" ht="36" x14ac:dyDescent="0.2">
      <c r="B87" s="71" t="str">
        <f>'2017 Determination - Revenue'!B$16</f>
        <v>Financial year</v>
      </c>
      <c r="C87" s="72" t="str">
        <f>'2017 Determination - Revenue'!C$23</f>
        <v>Units</v>
      </c>
      <c r="D87" s="58"/>
      <c r="E87" s="58"/>
      <c r="F87" s="178" t="str">
        <f>'2017 Determination - Revenue'!F$16</f>
        <v>2017-18</v>
      </c>
      <c r="G87" s="178" t="str">
        <f>'2017 Determination - Revenue'!G$16</f>
        <v>2018-19</v>
      </c>
      <c r="H87" s="62"/>
      <c r="I87" s="62"/>
      <c r="J87" s="188" t="str">
        <f>J$48</f>
        <v>2018-19 charges expressed in</v>
      </c>
      <c r="K87" s="73"/>
    </row>
    <row r="88" spans="2:15" x14ac:dyDescent="0.2">
      <c r="B88" s="74"/>
      <c r="C88" s="60"/>
      <c r="D88" s="60"/>
      <c r="E88" s="60"/>
      <c r="F88" s="179" t="str">
        <f>'2017 Determination - Revenue'!$F$24</f>
        <v>$2016-17</v>
      </c>
      <c r="G88" s="179" t="str">
        <f>'2017 Determination - Revenue'!$F$24</f>
        <v>$2016-17</v>
      </c>
      <c r="H88" s="160"/>
      <c r="I88" s="160"/>
      <c r="J88" s="177" t="str">
        <f>J$49</f>
        <v>$2018-19</v>
      </c>
      <c r="K88" s="76"/>
      <c r="M88" s="143"/>
    </row>
    <row r="89" spans="2:15" x14ac:dyDescent="0.2">
      <c r="B89" s="74"/>
      <c r="C89" s="60"/>
      <c r="D89" s="60"/>
      <c r="E89" s="60"/>
      <c r="F89" s="57"/>
      <c r="G89" s="57"/>
      <c r="H89" s="57"/>
      <c r="I89" s="57"/>
      <c r="J89" s="57"/>
      <c r="K89" s="76"/>
      <c r="M89" s="143"/>
    </row>
    <row r="90" spans="2:15" x14ac:dyDescent="0.2">
      <c r="B90" s="74" t="s">
        <v>45</v>
      </c>
      <c r="C90" s="60"/>
      <c r="D90" s="60"/>
      <c r="E90" s="60"/>
      <c r="F90" s="57"/>
      <c r="G90" s="57"/>
      <c r="H90" s="57"/>
      <c r="I90" s="57"/>
      <c r="J90" s="57"/>
      <c r="K90" s="76"/>
      <c r="M90" s="143"/>
    </row>
    <row r="91" spans="2:15" ht="12" customHeight="1" x14ac:dyDescent="0.2">
      <c r="B91" s="84" t="str">
        <f>'Updated Volumes'!B$31</f>
        <v xml:space="preserve">Energy Australia </v>
      </c>
      <c r="C91" s="77" t="str">
        <f>Outputs!$C$148</f>
        <v>$/KL</v>
      </c>
      <c r="D91" s="60"/>
      <c r="E91" s="57"/>
      <c r="F91" s="159">
        <v>0.3916320430805259</v>
      </c>
      <c r="G91" s="159">
        <v>0.3916320430805259</v>
      </c>
      <c r="H91" s="161"/>
      <c r="I91" s="161"/>
      <c r="J91" s="161">
        <f>ROUND(ROUND(ROUND(G91,2)*(1+'2017 Determination - Revenue'!$F$18),2)*(1+'2017 Determination - Revenue'!$G$18),2)</f>
        <v>0.41</v>
      </c>
      <c r="K91" s="76"/>
      <c r="M91" s="143"/>
      <c r="O91" s="143"/>
    </row>
    <row r="92" spans="2:15" s="143" customFormat="1" ht="12" customHeight="1" x14ac:dyDescent="0.2">
      <c r="B92" s="84" t="str">
        <f>'Updated Volumes'!B$32</f>
        <v xml:space="preserve">Minor customers (raw) </v>
      </c>
      <c r="C92" s="77" t="str">
        <f>Outputs!$C$148</f>
        <v>$/KL</v>
      </c>
      <c r="D92" s="60"/>
      <c r="E92" s="57"/>
      <c r="F92" s="159">
        <v>0.3916320430805259</v>
      </c>
      <c r="G92" s="159">
        <v>0.3916320430805259</v>
      </c>
      <c r="H92" s="161"/>
      <c r="I92" s="161"/>
      <c r="J92" s="161">
        <f>ROUND(ROUND(ROUND(G92,2)*(1+'2017 Determination - Revenue'!$F$18),2)*(1+'2017 Determination - Revenue'!$G$18),2)</f>
        <v>0.41</v>
      </c>
      <c r="K92" s="76"/>
    </row>
    <row r="93" spans="2:15" x14ac:dyDescent="0.2">
      <c r="B93" s="84" t="str">
        <f>'Updated Volumes'!B$33</f>
        <v xml:space="preserve">Minor customers (filtered) </v>
      </c>
      <c r="C93" s="77" t="str">
        <f>Outputs!$C$148</f>
        <v>$/KL</v>
      </c>
      <c r="D93" s="60"/>
      <c r="E93" s="57"/>
      <c r="F93" s="159">
        <v>0.7580403009206228</v>
      </c>
      <c r="G93" s="159">
        <v>0.7580403009206228</v>
      </c>
      <c r="H93" s="161"/>
      <c r="I93" s="161"/>
      <c r="J93" s="161">
        <f>ROUND(ROUND(ROUND(G93,2)*(1+'2017 Determination - Revenue'!$F$18),2)*(1+'2017 Determination - Revenue'!$G$18),2)</f>
        <v>0.79</v>
      </c>
      <c r="K93" s="76"/>
      <c r="N93" s="143"/>
      <c r="O93" s="143"/>
    </row>
    <row r="94" spans="2:15" x14ac:dyDescent="0.2">
      <c r="B94" s="84"/>
      <c r="C94" s="60"/>
      <c r="D94" s="60"/>
      <c r="E94" s="57"/>
      <c r="F94" s="57"/>
      <c r="G94" s="57"/>
      <c r="H94" s="57"/>
      <c r="I94" s="57"/>
      <c r="J94" s="161"/>
      <c r="K94" s="76"/>
    </row>
    <row r="95" spans="2:15" x14ac:dyDescent="0.2">
      <c r="B95" s="74" t="s">
        <v>46</v>
      </c>
      <c r="C95" s="60"/>
      <c r="D95" s="60"/>
      <c r="E95" s="57"/>
      <c r="F95" s="57"/>
      <c r="G95" s="57"/>
      <c r="H95" s="57"/>
      <c r="I95" s="57"/>
      <c r="J95" s="161"/>
      <c r="K95" s="76"/>
    </row>
    <row r="96" spans="2:15" x14ac:dyDescent="0.2">
      <c r="B96" s="84" t="str">
        <f>'Updated Volumes'!B$31</f>
        <v xml:space="preserve">Energy Australia </v>
      </c>
      <c r="C96" s="77" t="str">
        <f>Outputs!$C$148</f>
        <v>$/KL</v>
      </c>
      <c r="D96" s="60"/>
      <c r="E96" s="57"/>
      <c r="F96" s="159">
        <v>0.24476949700441</v>
      </c>
      <c r="G96" s="159">
        <v>0.24476949700441</v>
      </c>
      <c r="H96" s="161"/>
      <c r="I96" s="161"/>
      <c r="J96" s="161">
        <f>ROUND(ROUND(ROUND(G96,2)*(1+'2017 Determination - Revenue'!$F$18),2)*(1+'2017 Determination - Revenue'!$G$18),2)</f>
        <v>0.25</v>
      </c>
      <c r="K96" s="76"/>
      <c r="O96" s="143"/>
    </row>
    <row r="97" spans="2:15" s="143" customFormat="1" x14ac:dyDescent="0.2">
      <c r="B97" s="84" t="str">
        <f>'Updated Volumes'!B$32</f>
        <v xml:space="preserve">Minor customers (raw) </v>
      </c>
      <c r="C97" s="77" t="str">
        <f>Outputs!$C$148</f>
        <v>$/KL</v>
      </c>
      <c r="D97" s="60"/>
      <c r="E97" s="57"/>
      <c r="F97" s="159">
        <v>0.24476949700441</v>
      </c>
      <c r="G97" s="159">
        <v>0.24476949700441</v>
      </c>
      <c r="H97" s="161"/>
      <c r="I97" s="161"/>
      <c r="J97" s="161">
        <f>ROUND(ROUND(ROUND(G97,2)*(1+'2017 Determination - Revenue'!$F$18),2)*(1+'2017 Determination - Revenue'!$G$18),2)</f>
        <v>0.25</v>
      </c>
      <c r="K97" s="76"/>
    </row>
    <row r="98" spans="2:15" x14ac:dyDescent="0.2">
      <c r="B98" s="84" t="str">
        <f>'Updated Volumes'!B$33</f>
        <v xml:space="preserve">Minor customers (filtered) </v>
      </c>
      <c r="C98" s="77" t="str">
        <f>Outputs!$C$148</f>
        <v>$/KL</v>
      </c>
      <c r="D98" s="60"/>
      <c r="E98" s="57"/>
      <c r="F98" s="159">
        <v>0.45655147010905456</v>
      </c>
      <c r="G98" s="159">
        <v>0.45655147010905456</v>
      </c>
      <c r="H98" s="161"/>
      <c r="I98" s="161"/>
      <c r="J98" s="161">
        <f>ROUND(ROUND(ROUND(G98,2)*(1+'2017 Determination - Revenue'!$F$18),2)*(1+'2017 Determination - Revenue'!$G$18),2)</f>
        <v>0.48</v>
      </c>
      <c r="K98" s="76"/>
      <c r="N98" s="143"/>
      <c r="O98" s="143"/>
    </row>
    <row r="99" spans="2:15" x14ac:dyDescent="0.2">
      <c r="B99" s="84"/>
      <c r="C99" s="60"/>
      <c r="D99" s="60"/>
      <c r="E99" s="57"/>
      <c r="F99" s="57"/>
      <c r="G99" s="57"/>
      <c r="H99" s="57"/>
      <c r="I99" s="57"/>
      <c r="J99" s="161"/>
      <c r="K99" s="76"/>
    </row>
    <row r="100" spans="2:15" x14ac:dyDescent="0.2">
      <c r="B100" s="74" t="s">
        <v>47</v>
      </c>
      <c r="C100" s="60"/>
      <c r="D100" s="60"/>
      <c r="E100" s="57"/>
      <c r="F100" s="57"/>
      <c r="G100" s="57"/>
      <c r="H100" s="57"/>
      <c r="I100" s="57"/>
      <c r="J100" s="161"/>
      <c r="K100" s="76"/>
    </row>
    <row r="101" spans="2:15" x14ac:dyDescent="0.2">
      <c r="B101" s="84" t="str">
        <f>'Updated Volumes'!B$31</f>
        <v xml:space="preserve">Energy Australia </v>
      </c>
      <c r="C101" s="77" t="str">
        <f>Outputs!$C$148</f>
        <v>$/KL</v>
      </c>
      <c r="D101" s="60"/>
      <c r="E101" s="57"/>
      <c r="F101" s="247">
        <f>F91+F96</f>
        <v>0.63640154008493588</v>
      </c>
      <c r="G101" s="247">
        <f>G91+G96</f>
        <v>0.63640154008493588</v>
      </c>
      <c r="H101" s="161"/>
      <c r="I101" s="161"/>
      <c r="J101" s="161">
        <f>J91+J96</f>
        <v>0.65999999999999992</v>
      </c>
      <c r="K101" s="76"/>
      <c r="O101" s="143"/>
    </row>
    <row r="102" spans="2:15" s="143" customFormat="1" x14ac:dyDescent="0.2">
      <c r="B102" s="84" t="str">
        <f>'Updated Volumes'!B$32</f>
        <v xml:space="preserve">Minor customers (raw) </v>
      </c>
      <c r="C102" s="77" t="str">
        <f>Outputs!$C$148</f>
        <v>$/KL</v>
      </c>
      <c r="D102" s="60"/>
      <c r="E102" s="57"/>
      <c r="F102" s="247">
        <f t="shared" ref="F102:G103" si="0">F92+F97</f>
        <v>0.63640154008493588</v>
      </c>
      <c r="G102" s="247">
        <f t="shared" si="0"/>
        <v>0.63640154008493588</v>
      </c>
      <c r="H102" s="161"/>
      <c r="I102" s="161"/>
      <c r="J102" s="161">
        <f t="shared" ref="J102:J103" si="1">J92+J97</f>
        <v>0.65999999999999992</v>
      </c>
      <c r="K102" s="76"/>
    </row>
    <row r="103" spans="2:15" x14ac:dyDescent="0.2">
      <c r="B103" s="84" t="str">
        <f>'Updated Volumes'!B$33</f>
        <v xml:space="preserve">Minor customers (filtered) </v>
      </c>
      <c r="C103" s="77" t="str">
        <f>Outputs!$C$148</f>
        <v>$/KL</v>
      </c>
      <c r="D103" s="60"/>
      <c r="E103" s="57"/>
      <c r="F103" s="247">
        <f t="shared" si="0"/>
        <v>1.2145917710296774</v>
      </c>
      <c r="G103" s="247">
        <f t="shared" si="0"/>
        <v>1.2145917710296774</v>
      </c>
      <c r="H103" s="161"/>
      <c r="I103" s="161"/>
      <c r="J103" s="161">
        <f t="shared" si="1"/>
        <v>1.27</v>
      </c>
      <c r="K103" s="76"/>
      <c r="N103" s="143"/>
      <c r="O103" s="143"/>
    </row>
    <row r="104" spans="2:15" x14ac:dyDescent="0.2">
      <c r="B104" s="85"/>
      <c r="C104" s="82"/>
      <c r="D104" s="82"/>
      <c r="E104" s="82"/>
      <c r="F104" s="82"/>
      <c r="G104" s="82"/>
      <c r="H104" s="82"/>
      <c r="I104" s="82"/>
      <c r="J104" s="82"/>
      <c r="K104" s="80"/>
    </row>
    <row r="107" spans="2:15" x14ac:dyDescent="0.2">
      <c r="F107" s="147"/>
    </row>
    <row r="108" spans="2:15" x14ac:dyDescent="0.2">
      <c r="G108" s="147"/>
    </row>
    <row r="109" spans="2:15" x14ac:dyDescent="0.2">
      <c r="G109" s="147"/>
    </row>
    <row r="110" spans="2:15" x14ac:dyDescent="0.2">
      <c r="G110" s="1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</sheetPr>
  <dimension ref="B2:T379"/>
  <sheetViews>
    <sheetView showGridLines="0" zoomScale="85" zoomScaleNormal="85" workbookViewId="0"/>
  </sheetViews>
  <sheetFormatPr defaultRowHeight="12" outlineLevelRow="1" x14ac:dyDescent="0.2"/>
  <cols>
    <col min="1" max="1" width="2.7109375" style="37" customWidth="1"/>
    <col min="2" max="2" width="40.7109375" style="37" customWidth="1"/>
    <col min="3" max="3" width="9" style="37" customWidth="1"/>
    <col min="4" max="5" width="5.7109375" style="37" customWidth="1"/>
    <col min="6" max="6" width="12.140625" style="37" customWidth="1"/>
    <col min="7" max="7" width="13.140625" style="37" customWidth="1"/>
    <col min="8" max="8" width="12.85546875" style="37" customWidth="1"/>
    <col min="9" max="9" width="19.5703125" style="37" customWidth="1"/>
    <col min="10" max="10" width="15.85546875" style="148" customWidth="1"/>
    <col min="11" max="11" width="16" style="37" customWidth="1"/>
    <col min="12" max="12" width="1.5703125" style="37" customWidth="1"/>
    <col min="13" max="13" width="18.28515625" style="93" customWidth="1"/>
    <col min="14" max="16384" width="9.140625" style="37"/>
  </cols>
  <sheetData>
    <row r="2" spans="2:13" ht="18" x14ac:dyDescent="0.25">
      <c r="B2" s="40" t="s">
        <v>137</v>
      </c>
    </row>
    <row r="3" spans="2:13" x14ac:dyDescent="0.2">
      <c r="B3" s="37" t="s">
        <v>38</v>
      </c>
    </row>
    <row r="4" spans="2:13" x14ac:dyDescent="0.2">
      <c r="I4" s="148"/>
    </row>
    <row r="5" spans="2:13" x14ac:dyDescent="0.2">
      <c r="B5" s="43" t="s">
        <v>28</v>
      </c>
      <c r="C5" s="43"/>
      <c r="D5" s="43"/>
      <c r="I5" s="44" t="s">
        <v>29</v>
      </c>
      <c r="J5" s="37"/>
    </row>
    <row r="6" spans="2:13" s="148" customFormat="1" x14ac:dyDescent="0.2">
      <c r="B6" s="62" t="str">
        <f>B20</f>
        <v xml:space="preserve">CHARGES </v>
      </c>
      <c r="C6" s="46"/>
      <c r="D6" s="46"/>
      <c r="E6" s="46"/>
      <c r="F6" s="46"/>
      <c r="G6" s="46"/>
      <c r="H6" s="46"/>
      <c r="I6" s="190"/>
      <c r="M6" s="93"/>
    </row>
    <row r="7" spans="2:13" s="93" customFormat="1" x14ac:dyDescent="0.2">
      <c r="B7" s="43" t="str">
        <f>B22</f>
        <v>TABLE 4.1 - TOTAL CHARGES FOR MDB CUSTOMERS</v>
      </c>
      <c r="C7" s="207"/>
      <c r="D7" s="207"/>
      <c r="E7" s="207"/>
      <c r="F7" s="207"/>
      <c r="G7" s="207"/>
      <c r="H7" s="207"/>
      <c r="I7" s="207">
        <f>ROW(B22)</f>
        <v>22</v>
      </c>
    </row>
    <row r="8" spans="2:13" x14ac:dyDescent="0.2">
      <c r="B8" s="43" t="str">
        <f>B63</f>
        <v>TABLE 4.2 -  WaterNSW CHARGES</v>
      </c>
      <c r="C8" s="43"/>
      <c r="D8" s="43"/>
      <c r="E8" s="43"/>
      <c r="F8" s="43"/>
      <c r="G8" s="43"/>
      <c r="H8" s="43"/>
      <c r="I8" s="43">
        <f>ROW(B63)</f>
        <v>63</v>
      </c>
      <c r="J8" s="37"/>
    </row>
    <row r="9" spans="2:13" x14ac:dyDescent="0.2">
      <c r="B9" s="43" t="str">
        <f>B103</f>
        <v>TABLE 4.3 -  MDBA/BRC CHARGES</v>
      </c>
      <c r="C9" s="43"/>
      <c r="D9" s="43"/>
      <c r="E9" s="43"/>
      <c r="F9" s="43"/>
      <c r="G9" s="43"/>
      <c r="H9" s="43"/>
      <c r="I9" s="43">
        <f>ROW(B103)</f>
        <v>103</v>
      </c>
    </row>
    <row r="10" spans="2:13" s="148" customFormat="1" x14ac:dyDescent="0.2">
      <c r="B10" s="43" t="str">
        <f>B143</f>
        <v>TABLE 4.4 - FISH RIVER WATER SUPPLY SCHEME CHARGES</v>
      </c>
      <c r="C10" s="43"/>
      <c r="D10" s="43"/>
      <c r="E10" s="43"/>
      <c r="F10" s="43"/>
      <c r="G10" s="43"/>
      <c r="H10" s="43"/>
      <c r="I10" s="43">
        <f>ROW(B143)</f>
        <v>143</v>
      </c>
      <c r="M10" s="93"/>
    </row>
    <row r="11" spans="2:13" s="148" customFormat="1" x14ac:dyDescent="0.2">
      <c r="B11" s="163" t="str">
        <f>B164</f>
        <v xml:space="preserve">CUSTOMER BILLS </v>
      </c>
      <c r="C11" s="43"/>
      <c r="D11" s="43"/>
      <c r="E11" s="43"/>
      <c r="F11" s="43"/>
      <c r="G11" s="43"/>
      <c r="H11" s="43"/>
      <c r="I11" s="43"/>
      <c r="M11" s="93"/>
    </row>
    <row r="12" spans="2:13" s="148" customFormat="1" x14ac:dyDescent="0.2">
      <c r="B12" s="43" t="str">
        <f>B166</f>
        <v>TABLE 4.5 - INDICATIVE BILLS FOR HIGH SECURITY CUSTOMERS  - WaterNSW CHARGES</v>
      </c>
      <c r="C12" s="43"/>
      <c r="D12" s="43"/>
      <c r="E12" s="43"/>
      <c r="F12" s="43"/>
      <c r="G12" s="43"/>
      <c r="H12" s="43"/>
      <c r="I12" s="43">
        <f>ROW(B166)</f>
        <v>166</v>
      </c>
      <c r="M12" s="93"/>
    </row>
    <row r="13" spans="2:13" s="148" customFormat="1" x14ac:dyDescent="0.2">
      <c r="B13" s="43" t="str">
        <f>B205</f>
        <v>TABLE 4.6 - INDICATIVE BILLS FOR GENERAL SECURITY CUSTOMERS  - WaterNSW CHARGES</v>
      </c>
      <c r="C13" s="43"/>
      <c r="D13" s="43"/>
      <c r="E13" s="43"/>
      <c r="F13" s="43"/>
      <c r="G13" s="43"/>
      <c r="H13" s="43"/>
      <c r="I13" s="43">
        <f>ROW(B205)</f>
        <v>205</v>
      </c>
      <c r="M13" s="93"/>
    </row>
    <row r="14" spans="2:13" s="148" customFormat="1" x14ac:dyDescent="0.2">
      <c r="B14" s="43" t="str">
        <f>B244</f>
        <v>TABLE 4.7 - INDICATIVE BILLS FOR HIGH SECURITY AND GENERAL SECURITY CUSTOMERS - MDBA/BRC CHARGES</v>
      </c>
      <c r="C14" s="43"/>
      <c r="D14" s="43"/>
      <c r="E14" s="43"/>
      <c r="F14" s="43"/>
      <c r="G14" s="43"/>
      <c r="H14" s="43"/>
      <c r="I14" s="43">
        <f>ROW(B244)</f>
        <v>244</v>
      </c>
      <c r="M14" s="93"/>
    </row>
    <row r="15" spans="2:13" s="148" customFormat="1" x14ac:dyDescent="0.2">
      <c r="B15" s="43" t="str">
        <f>B281</f>
        <v>TABLE 4.8 - INDICATIVE BILLS FOR CUSTOMERS IN THE FRWS</v>
      </c>
      <c r="C15" s="43"/>
      <c r="D15" s="43"/>
      <c r="E15" s="43"/>
      <c r="F15" s="43"/>
      <c r="G15" s="43"/>
      <c r="H15" s="43"/>
      <c r="I15" s="43">
        <f>ROW(B281)</f>
        <v>281</v>
      </c>
      <c r="M15" s="93"/>
    </row>
    <row r="16" spans="2:13" s="148" customFormat="1" x14ac:dyDescent="0.2">
      <c r="B16" s="163" t="str">
        <f>B292</f>
        <v>REVENUE FORECASTS</v>
      </c>
      <c r="C16" s="43"/>
      <c r="D16" s="43"/>
      <c r="E16" s="43"/>
      <c r="F16" s="43"/>
      <c r="G16" s="43"/>
      <c r="H16" s="43"/>
      <c r="I16" s="43"/>
      <c r="M16" s="93"/>
    </row>
    <row r="17" spans="2:14" s="148" customFormat="1" x14ac:dyDescent="0.2">
      <c r="B17" s="41" t="str">
        <f>B294</f>
        <v>TABLE 4.9 - WaterNSW'S FORECAST REVENUE IN 2018-19 (2016-17 $'000)</v>
      </c>
      <c r="C17" s="41"/>
      <c r="D17" s="41"/>
      <c r="E17" s="41"/>
      <c r="F17" s="41"/>
      <c r="G17" s="41"/>
      <c r="H17" s="41"/>
      <c r="I17" s="41">
        <f>ROW(B294)</f>
        <v>294</v>
      </c>
      <c r="M17" s="93"/>
    </row>
    <row r="20" spans="2:14" ht="15.75" x14ac:dyDescent="0.25">
      <c r="B20" s="167" t="s">
        <v>105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225"/>
    </row>
    <row r="21" spans="2:14" x14ac:dyDescent="0.2">
      <c r="K21" s="148"/>
      <c r="L21" s="148"/>
      <c r="M21" s="148"/>
      <c r="N21" s="148"/>
    </row>
    <row r="22" spans="2:14" x14ac:dyDescent="0.2">
      <c r="B22" s="38" t="s">
        <v>205</v>
      </c>
      <c r="I22" s="148"/>
      <c r="K22" s="148"/>
      <c r="L22" s="148"/>
      <c r="M22" s="148"/>
      <c r="N22" s="148"/>
    </row>
    <row r="23" spans="2:14" x14ac:dyDescent="0.2">
      <c r="B23" s="45" t="str">
        <f>'2017 Determination - Revenue'!B$16</f>
        <v>Financial year</v>
      </c>
      <c r="C23" s="46" t="str">
        <f>'2017 Determination - Revenue'!C$23</f>
        <v>Units</v>
      </c>
      <c r="D23" s="46"/>
      <c r="E23" s="46"/>
      <c r="F23" s="175" t="str">
        <f>'2017 Determination - Revenue'!F$16</f>
        <v>2017-18</v>
      </c>
      <c r="G23" s="175" t="str">
        <f>'2017 Determination - Revenue'!G$16</f>
        <v>2018-19</v>
      </c>
      <c r="H23" s="52"/>
      <c r="I23" s="1" t="s">
        <v>208</v>
      </c>
      <c r="J23" s="226"/>
      <c r="K23" s="190" t="s">
        <v>209</v>
      </c>
      <c r="L23" s="47"/>
    </row>
    <row r="24" spans="2:14" s="148" customFormat="1" ht="48" x14ac:dyDescent="0.2">
      <c r="B24" s="48"/>
      <c r="C24" s="43"/>
      <c r="D24" s="43"/>
      <c r="E24" s="43"/>
      <c r="F24" s="224" t="s">
        <v>119</v>
      </c>
      <c r="G24" s="224" t="s">
        <v>218</v>
      </c>
      <c r="H24" s="163"/>
      <c r="I24" s="224" t="str">
        <f>F24</f>
        <v>2017 Determination charges</v>
      </c>
      <c r="J24" s="224" t="str">
        <f>G24</f>
        <v>Re-calculated charges</v>
      </c>
      <c r="K24" s="231" t="s">
        <v>210</v>
      </c>
      <c r="L24" s="49"/>
      <c r="M24" s="93"/>
    </row>
    <row r="25" spans="2:14" x14ac:dyDescent="0.2">
      <c r="B25" s="48"/>
      <c r="C25" s="43"/>
      <c r="D25" s="43"/>
      <c r="E25" s="43"/>
      <c r="F25" s="213" t="str">
        <f>'2017 Determination - Revenue'!$F$24</f>
        <v>$2016-17</v>
      </c>
      <c r="G25" s="213" t="str">
        <f>'2017 Determination - Revenue'!$F$24</f>
        <v>$2016-17</v>
      </c>
      <c r="H25" s="54"/>
      <c r="I25" s="213" t="str">
        <f>J25</f>
        <v>$2018-19</v>
      </c>
      <c r="J25" s="216" t="s">
        <v>95</v>
      </c>
      <c r="K25" s="216" t="s">
        <v>1</v>
      </c>
      <c r="L25" s="49"/>
    </row>
    <row r="26" spans="2:14" x14ac:dyDescent="0.2">
      <c r="B26" s="55" t="s">
        <v>93</v>
      </c>
      <c r="C26" s="43"/>
      <c r="D26" s="43"/>
      <c r="E26" s="43"/>
      <c r="F26" s="43"/>
      <c r="G26" s="43"/>
      <c r="H26" s="43"/>
      <c r="I26" s="43"/>
      <c r="J26" s="43"/>
      <c r="K26" s="44"/>
      <c r="L26" s="49"/>
    </row>
    <row r="27" spans="2:14" x14ac:dyDescent="0.2">
      <c r="B27" s="48" t="str">
        <f>'2017 Determination - Revenue'!B$28</f>
        <v>Border</v>
      </c>
      <c r="C27" s="29" t="s">
        <v>11</v>
      </c>
      <c r="D27" s="43"/>
      <c r="E27" s="43"/>
      <c r="F27" s="94">
        <f>(F68+F108)</f>
        <v>6.2288309942415188</v>
      </c>
      <c r="G27" s="144">
        <f>(G68+G108)</f>
        <v>6.1001963447133463</v>
      </c>
      <c r="H27" s="94"/>
      <c r="I27" s="94">
        <f>(I68+I108)</f>
        <v>6.48</v>
      </c>
      <c r="J27" s="94">
        <f>(J68+J108)</f>
        <v>6.33</v>
      </c>
      <c r="K27" s="187">
        <f>IF(I27=0,"na",J27/I27-1)</f>
        <v>-2.3148148148148251E-2</v>
      </c>
      <c r="L27" s="49"/>
    </row>
    <row r="28" spans="2:14" x14ac:dyDescent="0.2">
      <c r="B28" s="48" t="str">
        <f>'2017 Determination - Revenue'!B$29</f>
        <v>Gwydir</v>
      </c>
      <c r="C28" s="43" t="str">
        <f>$C$27</f>
        <v>$/ML</v>
      </c>
      <c r="D28" s="43"/>
      <c r="E28" s="43"/>
      <c r="F28" s="94">
        <f t="shared" ref="F28:F35" si="0">(F69+F109)</f>
        <v>11.873139524320214</v>
      </c>
      <c r="G28" s="144">
        <f t="shared" ref="G28" si="1">(G69+G109)</f>
        <v>12.015082003392797</v>
      </c>
      <c r="H28" s="94"/>
      <c r="I28" s="94">
        <f>(I69+I109)</f>
        <v>12.35</v>
      </c>
      <c r="J28" s="94">
        <f t="shared" ref="J28" si="2">(J69+J109)</f>
        <v>12.5</v>
      </c>
      <c r="K28" s="187">
        <f t="shared" ref="K28:K35" si="3">IF(I28=0,"na",J28/I28-1)</f>
        <v>1.2145748987854255E-2</v>
      </c>
      <c r="L28" s="227"/>
    </row>
    <row r="29" spans="2:14" x14ac:dyDescent="0.2">
      <c r="B29" s="48" t="str">
        <f>'2017 Determination - Revenue'!B$30</f>
        <v>Namoi</v>
      </c>
      <c r="C29" s="43" t="str">
        <f t="shared" ref="C29:C35" si="4">$C$27</f>
        <v>$/ML</v>
      </c>
      <c r="D29" s="43"/>
      <c r="E29" s="43"/>
      <c r="F29" s="94">
        <f t="shared" si="0"/>
        <v>19.983537685794229</v>
      </c>
      <c r="G29" s="144">
        <f t="shared" ref="G29:I29" si="5">(G70+G110)</f>
        <v>19.895307159106121</v>
      </c>
      <c r="H29" s="94"/>
      <c r="I29" s="94">
        <f t="shared" si="5"/>
        <v>20.79</v>
      </c>
      <c r="J29" s="94">
        <f t="shared" ref="J29" si="6">(J70+J110)</f>
        <v>20.71</v>
      </c>
      <c r="K29" s="187">
        <f t="shared" si="3"/>
        <v>-3.848003848003767E-3</v>
      </c>
      <c r="L29" s="227"/>
    </row>
    <row r="30" spans="2:14" x14ac:dyDescent="0.2">
      <c r="B30" s="48" t="str">
        <f>'2017 Determination - Revenue'!B$31</f>
        <v>Peel</v>
      </c>
      <c r="C30" s="43" t="str">
        <f t="shared" si="4"/>
        <v>$/ML</v>
      </c>
      <c r="D30" s="43"/>
      <c r="E30" s="43"/>
      <c r="F30" s="94">
        <f t="shared" si="0"/>
        <v>55.091150391764842</v>
      </c>
      <c r="G30" s="144">
        <f t="shared" ref="G30:I30" si="7">(G71+G111)</f>
        <v>17.994700641217754</v>
      </c>
      <c r="H30" s="94"/>
      <c r="I30" s="94">
        <f t="shared" si="7"/>
        <v>19.11</v>
      </c>
      <c r="J30" s="94">
        <f t="shared" ref="J30" si="8">(J71+J111)</f>
        <v>18.72</v>
      </c>
      <c r="K30" s="187">
        <f t="shared" si="3"/>
        <v>-2.0408163265306145E-2</v>
      </c>
      <c r="L30" s="227"/>
    </row>
    <row r="31" spans="2:14" x14ac:dyDescent="0.2">
      <c r="B31" s="48" t="str">
        <f>'2017 Determination - Revenue'!B$32</f>
        <v>Lachlan</v>
      </c>
      <c r="C31" s="43" t="str">
        <f t="shared" si="4"/>
        <v>$/ML</v>
      </c>
      <c r="D31" s="43"/>
      <c r="E31" s="43"/>
      <c r="F31" s="94">
        <f t="shared" si="0"/>
        <v>19.038335664987216</v>
      </c>
      <c r="G31" s="144">
        <f t="shared" ref="G31:I31" si="9">(G72+G112)</f>
        <v>20.16030963938173</v>
      </c>
      <c r="H31" s="94"/>
      <c r="I31" s="94">
        <f t="shared" si="9"/>
        <v>19.809999999999999</v>
      </c>
      <c r="J31" s="94">
        <f t="shared" ref="J31" si="10">(J72+J112)</f>
        <v>20.97</v>
      </c>
      <c r="K31" s="187">
        <f t="shared" si="3"/>
        <v>5.8556284704694539E-2</v>
      </c>
      <c r="L31" s="227"/>
    </row>
    <row r="32" spans="2:14" x14ac:dyDescent="0.2">
      <c r="B32" s="48" t="str">
        <f>'2017 Determination - Revenue'!B$33</f>
        <v>Macquarie</v>
      </c>
      <c r="C32" s="43" t="str">
        <f t="shared" si="4"/>
        <v>$/ML</v>
      </c>
      <c r="D32" s="43"/>
      <c r="E32" s="43"/>
      <c r="F32" s="94">
        <f t="shared" si="0"/>
        <v>13.78434038452443</v>
      </c>
      <c r="G32" s="144">
        <f t="shared" ref="G32:I32" si="11">(G73+G113)</f>
        <v>14.102148917391292</v>
      </c>
      <c r="H32" s="94"/>
      <c r="I32" s="94">
        <f t="shared" si="11"/>
        <v>14.34</v>
      </c>
      <c r="J32" s="94">
        <f t="shared" ref="J32" si="12">(J73+J113)</f>
        <v>14.67</v>
      </c>
      <c r="K32" s="187">
        <f t="shared" si="3"/>
        <v>2.3012552301255207E-2</v>
      </c>
      <c r="L32" s="227"/>
    </row>
    <row r="33" spans="2:12" x14ac:dyDescent="0.2">
      <c r="B33" s="48" t="str">
        <f>'2017 Determination - Revenue'!B$34</f>
        <v>Murray</v>
      </c>
      <c r="C33" s="43" t="str">
        <f t="shared" si="4"/>
        <v>$/ML</v>
      </c>
      <c r="D33" s="43"/>
      <c r="E33" s="43"/>
      <c r="F33" s="94">
        <f t="shared" si="0"/>
        <v>3.4044369605332392</v>
      </c>
      <c r="G33" s="144">
        <f t="shared" ref="G33" si="13">(G74+G114)</f>
        <v>3.4838977018248567</v>
      </c>
      <c r="H33" s="94"/>
      <c r="I33" s="94">
        <f>(I74+I114)</f>
        <v>3.55</v>
      </c>
      <c r="J33" s="94">
        <f t="shared" ref="J33" si="14">(J74+J114)</f>
        <v>3.63</v>
      </c>
      <c r="K33" s="187">
        <f t="shared" si="3"/>
        <v>2.2535211267605604E-2</v>
      </c>
      <c r="L33" s="227"/>
    </row>
    <row r="34" spans="2:12" x14ac:dyDescent="0.2">
      <c r="B34" s="48" t="str">
        <f>'2017 Determination - Revenue'!B$35</f>
        <v>Murrumbidgee</v>
      </c>
      <c r="C34" s="43" t="str">
        <f t="shared" si="4"/>
        <v>$/ML</v>
      </c>
      <c r="D34" s="43"/>
      <c r="E34" s="43"/>
      <c r="F34" s="94">
        <f t="shared" si="0"/>
        <v>3.6072258265831025</v>
      </c>
      <c r="G34" s="144">
        <f t="shared" ref="G34:I34" si="15">(G75+G115)</f>
        <v>3.6959693237646865</v>
      </c>
      <c r="H34" s="94"/>
      <c r="I34" s="94">
        <f t="shared" si="15"/>
        <v>3.76</v>
      </c>
      <c r="J34" s="94">
        <f t="shared" ref="J34" si="16">(J75+J115)</f>
        <v>3.8499999999999996</v>
      </c>
      <c r="K34" s="187">
        <f t="shared" si="3"/>
        <v>2.3936170212765839E-2</v>
      </c>
      <c r="L34" s="227"/>
    </row>
    <row r="35" spans="2:12" x14ac:dyDescent="0.2">
      <c r="B35" s="48" t="str">
        <f>'2017 Determination - Revenue'!B$36</f>
        <v>Lowbidgee</v>
      </c>
      <c r="C35" s="43" t="str">
        <f t="shared" si="4"/>
        <v>$/ML</v>
      </c>
      <c r="D35" s="43"/>
      <c r="E35" s="43"/>
      <c r="F35" s="94">
        <f t="shared" si="0"/>
        <v>0</v>
      </c>
      <c r="G35" s="144">
        <f t="shared" ref="G35:I35" si="17">(G76+G116)</f>
        <v>0</v>
      </c>
      <c r="H35" s="94"/>
      <c r="I35" s="94">
        <f t="shared" si="17"/>
        <v>0</v>
      </c>
      <c r="J35" s="94">
        <f t="shared" ref="J35" si="18">(J76+J116)</f>
        <v>0</v>
      </c>
      <c r="K35" s="187" t="str">
        <f t="shared" si="3"/>
        <v>na</v>
      </c>
      <c r="L35" s="49"/>
    </row>
    <row r="36" spans="2:12" x14ac:dyDescent="0.2">
      <c r="B36" s="88" t="s">
        <v>34</v>
      </c>
      <c r="C36" s="95"/>
      <c r="D36" s="95"/>
      <c r="E36" s="95"/>
      <c r="F36" s="96">
        <f>SUM(F27:F35)-SUM(F68:F76)-SUM(F108:F115)</f>
        <v>-1.3322676295501878E-14</v>
      </c>
      <c r="G36" s="96">
        <f>SUM(G27:G35)-SUM(G68:G76)-SUM(G108:G115)</f>
        <v>0</v>
      </c>
      <c r="H36" s="96"/>
      <c r="I36" s="96">
        <f>SUM(I27:I35)-SUM(I68:I76)-SUM(I108:I115)</f>
        <v>0</v>
      </c>
      <c r="J36" s="96">
        <f>SUM(J27:J35)-SUM(J68:J76)-SUM(J108:J116)</f>
        <v>-2.042810365310288E-14</v>
      </c>
      <c r="K36" s="187"/>
      <c r="L36" s="49"/>
    </row>
    <row r="37" spans="2:12" x14ac:dyDescent="0.2">
      <c r="B37" s="55" t="s">
        <v>203</v>
      </c>
      <c r="C37" s="43"/>
      <c r="D37" s="43"/>
      <c r="E37" s="43"/>
      <c r="F37" s="43"/>
      <c r="G37" s="43"/>
      <c r="H37" s="43"/>
      <c r="I37" s="43"/>
      <c r="J37" s="185"/>
      <c r="K37" s="187"/>
      <c r="L37" s="49"/>
    </row>
    <row r="38" spans="2:12" x14ac:dyDescent="0.2">
      <c r="B38" s="48" t="str">
        <f>'2017 Determination - Revenue'!B$28</f>
        <v>Border</v>
      </c>
      <c r="C38" s="43" t="str">
        <f>$C$27</f>
        <v>$/ML</v>
      </c>
      <c r="D38" s="43"/>
      <c r="E38" s="43"/>
      <c r="F38" s="94">
        <f>(F79+F119)</f>
        <v>3.6892035351000141</v>
      </c>
      <c r="G38" s="144">
        <f>(G79+G119)</f>
        <v>3.6943275169382614</v>
      </c>
      <c r="H38" s="94"/>
      <c r="I38" s="94">
        <f>(I79+I119)</f>
        <v>3.84</v>
      </c>
      <c r="J38" s="94">
        <f>(J79+J119)</f>
        <v>3.84</v>
      </c>
      <c r="K38" s="187">
        <f>IF(I38=0,"na",J38/I38-1)</f>
        <v>0</v>
      </c>
      <c r="L38" s="49"/>
    </row>
    <row r="39" spans="2:12" x14ac:dyDescent="0.2">
      <c r="B39" s="48" t="str">
        <f>'2017 Determination - Revenue'!B$29</f>
        <v>Gwydir</v>
      </c>
      <c r="C39" s="43" t="str">
        <f t="shared" ref="C39:C45" si="19">$C$27</f>
        <v>$/ML</v>
      </c>
      <c r="D39" s="43"/>
      <c r="E39" s="43"/>
      <c r="F39" s="94">
        <f t="shared" ref="F39:F46" si="20">(F80+F120)</f>
        <v>3.4798474827858135</v>
      </c>
      <c r="G39" s="144">
        <f t="shared" ref="G39:I39" si="21">(G80+G120)</f>
        <v>3.4819348836386537</v>
      </c>
      <c r="H39" s="94"/>
      <c r="I39" s="94">
        <f t="shared" si="21"/>
        <v>3.62</v>
      </c>
      <c r="J39" s="94">
        <f t="shared" ref="J39" si="22">(J80+J120)</f>
        <v>3.62</v>
      </c>
      <c r="K39" s="187">
        <f t="shared" ref="K39:K46" si="23">IF(I39=0,"na",J39/I39-1)</f>
        <v>0</v>
      </c>
      <c r="L39" s="49"/>
    </row>
    <row r="40" spans="2:12" x14ac:dyDescent="0.2">
      <c r="B40" s="48" t="str">
        <f>'2017 Determination - Revenue'!B$30</f>
        <v>Namoi</v>
      </c>
      <c r="C40" s="43" t="str">
        <f t="shared" si="19"/>
        <v>$/ML</v>
      </c>
      <c r="D40" s="43"/>
      <c r="E40" s="43"/>
      <c r="F40" s="94">
        <f t="shared" si="20"/>
        <v>7.9573495340749334</v>
      </c>
      <c r="G40" s="144">
        <f t="shared" ref="G40:I40" si="24">(G81+G121)</f>
        <v>7.9683518692056623</v>
      </c>
      <c r="H40" s="94"/>
      <c r="I40" s="94">
        <f t="shared" si="24"/>
        <v>8.2799999999999994</v>
      </c>
      <c r="J40" s="94">
        <f t="shared" ref="J40" si="25">(J81+J121)</f>
        <v>8.2899999999999991</v>
      </c>
      <c r="K40" s="187">
        <f t="shared" si="23"/>
        <v>1.2077294685990392E-3</v>
      </c>
      <c r="L40" s="49"/>
    </row>
    <row r="41" spans="2:12" x14ac:dyDescent="0.2">
      <c r="B41" s="48" t="str">
        <f>'2017 Determination - Revenue'!B$31</f>
        <v>Peel</v>
      </c>
      <c r="C41" s="43" t="str">
        <f t="shared" si="19"/>
        <v>$/ML</v>
      </c>
      <c r="D41" s="43"/>
      <c r="E41" s="43"/>
      <c r="F41" s="94">
        <f t="shared" si="20"/>
        <v>2.0088384355493285</v>
      </c>
      <c r="G41" s="144">
        <f t="shared" ref="G41:I41" si="26">(G82+G122)</f>
        <v>4.1140497558650839</v>
      </c>
      <c r="H41" s="94"/>
      <c r="I41" s="94">
        <f t="shared" si="26"/>
        <v>4.18</v>
      </c>
      <c r="J41" s="94">
        <f t="shared" ref="J41" si="27">(J82+J122)</f>
        <v>4.28</v>
      </c>
      <c r="K41" s="187">
        <f t="shared" si="23"/>
        <v>2.3923444976076791E-2</v>
      </c>
      <c r="L41" s="49"/>
    </row>
    <row r="42" spans="2:12" x14ac:dyDescent="0.2">
      <c r="B42" s="48" t="str">
        <f>'2017 Determination - Revenue'!B$32</f>
        <v>Lachlan</v>
      </c>
      <c r="C42" s="43" t="str">
        <f t="shared" si="19"/>
        <v>$/ML</v>
      </c>
      <c r="D42" s="43"/>
      <c r="E42" s="43"/>
      <c r="F42" s="94">
        <f t="shared" si="20"/>
        <v>2.7294754839554174</v>
      </c>
      <c r="G42" s="144">
        <f t="shared" ref="G42:I42" si="28">(G83+G123)</f>
        <v>2.7758839032514664</v>
      </c>
      <c r="H42" s="94"/>
      <c r="I42" s="94">
        <f t="shared" si="28"/>
        <v>2.84</v>
      </c>
      <c r="J42" s="94">
        <f t="shared" ref="J42" si="29">(J83+J123)</f>
        <v>2.89</v>
      </c>
      <c r="K42" s="187">
        <f t="shared" si="23"/>
        <v>1.7605633802816989E-2</v>
      </c>
      <c r="L42" s="49"/>
    </row>
    <row r="43" spans="2:12" x14ac:dyDescent="0.2">
      <c r="B43" s="48" t="str">
        <f>'2017 Determination - Revenue'!B$33</f>
        <v>Macquarie</v>
      </c>
      <c r="C43" s="43" t="str">
        <f t="shared" si="19"/>
        <v>$/ML</v>
      </c>
      <c r="D43" s="43"/>
      <c r="E43" s="43"/>
      <c r="F43" s="94">
        <f t="shared" si="20"/>
        <v>2.8467811535599639</v>
      </c>
      <c r="G43" s="144">
        <f t="shared" ref="G43:I43" si="30">(G84+G124)</f>
        <v>2.8600389822677408</v>
      </c>
      <c r="H43" s="94"/>
      <c r="I43" s="94">
        <f t="shared" si="30"/>
        <v>2.97</v>
      </c>
      <c r="J43" s="94">
        <f t="shared" ref="J43" si="31">(J84+J124)</f>
        <v>2.98</v>
      </c>
      <c r="K43" s="187">
        <f t="shared" si="23"/>
        <v>3.3670033670032407E-3</v>
      </c>
      <c r="L43" s="49"/>
    </row>
    <row r="44" spans="2:12" x14ac:dyDescent="0.2">
      <c r="B44" s="48" t="str">
        <f>'2017 Determination - Revenue'!B$34</f>
        <v>Murray</v>
      </c>
      <c r="C44" s="43" t="str">
        <f t="shared" si="19"/>
        <v>$/ML</v>
      </c>
      <c r="D44" s="43"/>
      <c r="E44" s="43"/>
      <c r="F44" s="94">
        <f t="shared" si="20"/>
        <v>4.3154595949272476</v>
      </c>
      <c r="G44" s="144">
        <f t="shared" ref="G44:I44" si="32">(G85+G125)</f>
        <v>4.315505025563775</v>
      </c>
      <c r="H44" s="94"/>
      <c r="I44" s="94">
        <f t="shared" si="32"/>
        <v>4.4800000000000004</v>
      </c>
      <c r="J44" s="94">
        <f t="shared" ref="J44" si="33">(J85+J125)</f>
        <v>4.49</v>
      </c>
      <c r="K44" s="187">
        <f t="shared" si="23"/>
        <v>2.2321428571427937E-3</v>
      </c>
      <c r="L44" s="49"/>
    </row>
    <row r="45" spans="2:12" x14ac:dyDescent="0.2">
      <c r="B45" s="48" t="str">
        <f>'2017 Determination - Revenue'!B$35</f>
        <v>Murrumbidgee</v>
      </c>
      <c r="C45" s="43" t="str">
        <f t="shared" si="19"/>
        <v>$/ML</v>
      </c>
      <c r="D45" s="43"/>
      <c r="E45" s="43"/>
      <c r="F45" s="94">
        <f t="shared" si="20"/>
        <v>1.7231101331486112</v>
      </c>
      <c r="G45" s="144">
        <f t="shared" ref="G45:I45" si="34">(G86+G126)</f>
        <v>1.7231334860827887</v>
      </c>
      <c r="H45" s="94"/>
      <c r="I45" s="94">
        <f t="shared" si="34"/>
        <v>1.7799999999999998</v>
      </c>
      <c r="J45" s="94">
        <f t="shared" ref="J45" si="35">(J86+J126)</f>
        <v>1.7799999999999998</v>
      </c>
      <c r="K45" s="187">
        <f t="shared" si="23"/>
        <v>0</v>
      </c>
      <c r="L45" s="49"/>
    </row>
    <row r="46" spans="2:12" x14ac:dyDescent="0.2">
      <c r="B46" s="48" t="str">
        <f>'2017 Determination - Revenue'!B$36</f>
        <v>Lowbidgee</v>
      </c>
      <c r="C46" s="43" t="str">
        <f>$C$27</f>
        <v>$/ML</v>
      </c>
      <c r="D46" s="43"/>
      <c r="E46" s="43"/>
      <c r="F46" s="94">
        <f t="shared" si="20"/>
        <v>0.7831544756319907</v>
      </c>
      <c r="G46" s="144">
        <f t="shared" ref="G46:I46" si="36">(G87+G127)</f>
        <v>0.78328421327595998</v>
      </c>
      <c r="H46" s="94"/>
      <c r="I46" s="94">
        <f t="shared" si="36"/>
        <v>0.82</v>
      </c>
      <c r="J46" s="94">
        <f t="shared" ref="J46" si="37">(J87+J127)</f>
        <v>0.82</v>
      </c>
      <c r="K46" s="187">
        <f t="shared" si="23"/>
        <v>0</v>
      </c>
      <c r="L46" s="49"/>
    </row>
    <row r="47" spans="2:12" x14ac:dyDescent="0.2">
      <c r="B47" s="88" t="s">
        <v>34</v>
      </c>
      <c r="C47" s="95"/>
      <c r="D47" s="95"/>
      <c r="E47" s="95"/>
      <c r="F47" s="96">
        <f>SUM(F38:F46)-SUM(F79:F87)-SUM(F119:F126)</f>
        <v>0</v>
      </c>
      <c r="G47" s="96">
        <f>SUM(G38:G46)-SUM(G79:G87)-SUM(G119:G126)</f>
        <v>0</v>
      </c>
      <c r="H47" s="96"/>
      <c r="I47" s="96">
        <f>SUM(I38:I46)-SUM(I79:I87)-SUM(I119:I126)</f>
        <v>0</v>
      </c>
      <c r="J47" s="96">
        <f>SUM(J38:J46)-SUM(J79:J87)-SUM(J119:J127)</f>
        <v>0</v>
      </c>
      <c r="K47" s="187"/>
      <c r="L47" s="49"/>
    </row>
    <row r="48" spans="2:12" x14ac:dyDescent="0.2">
      <c r="B48" s="55" t="s">
        <v>204</v>
      </c>
      <c r="C48" s="43"/>
      <c r="D48" s="43"/>
      <c r="E48" s="43"/>
      <c r="F48" s="43"/>
      <c r="G48" s="43"/>
      <c r="H48" s="43"/>
      <c r="I48" s="43"/>
      <c r="J48" s="185"/>
      <c r="K48" s="187"/>
      <c r="L48" s="49"/>
    </row>
    <row r="49" spans="2:14" x14ac:dyDescent="0.2">
      <c r="B49" s="48" t="str">
        <f>'2017 Determination - Revenue'!B$28</f>
        <v>Border</v>
      </c>
      <c r="C49" s="43" t="str">
        <f>$C$27</f>
        <v>$/ML</v>
      </c>
      <c r="D49" s="43"/>
      <c r="E49" s="43"/>
      <c r="F49" s="94">
        <f>F90+F130</f>
        <v>9.9331567595586812</v>
      </c>
      <c r="G49" s="144">
        <f>G90+G130</f>
        <v>9.464024542764669</v>
      </c>
      <c r="H49" s="94"/>
      <c r="I49" s="94">
        <f>I90+I130</f>
        <v>10.34</v>
      </c>
      <c r="J49" s="94">
        <f>J90+J130</f>
        <v>9.86</v>
      </c>
      <c r="K49" s="187">
        <f>IF(I49=0,"na",J49/I49-1)</f>
        <v>-4.6421663442940075E-2</v>
      </c>
      <c r="L49" s="49"/>
    </row>
    <row r="50" spans="2:14" x14ac:dyDescent="0.2">
      <c r="B50" s="48" t="str">
        <f>'2017 Determination - Revenue'!B$29</f>
        <v>Gwydir</v>
      </c>
      <c r="C50" s="43" t="str">
        <f t="shared" ref="C50:C56" si="38">$C$27</f>
        <v>$/ML</v>
      </c>
      <c r="D50" s="43"/>
      <c r="E50" s="43"/>
      <c r="F50" s="94">
        <f t="shared" ref="F50:F57" si="39">F91+F131</f>
        <v>11.081245442126379</v>
      </c>
      <c r="G50" s="144">
        <f t="shared" ref="G50:I50" si="40">G91+G131</f>
        <v>11.042211204680088</v>
      </c>
      <c r="H50" s="94"/>
      <c r="I50" s="94">
        <f t="shared" si="40"/>
        <v>11.52</v>
      </c>
      <c r="J50" s="94">
        <f t="shared" ref="J50" si="41">J91+J131</f>
        <v>11.48</v>
      </c>
      <c r="K50" s="187">
        <f t="shared" ref="K50:K57" si="42">IF(I50=0,"na",J50/I50-1)</f>
        <v>-3.4722222222220989E-3</v>
      </c>
      <c r="L50" s="49"/>
    </row>
    <row r="51" spans="2:14" x14ac:dyDescent="0.2">
      <c r="B51" s="48" t="str">
        <f>'2017 Determination - Revenue'!B$30</f>
        <v>Namoi</v>
      </c>
      <c r="C51" s="43" t="str">
        <f t="shared" si="38"/>
        <v>$/ML</v>
      </c>
      <c r="D51" s="43"/>
      <c r="E51" s="43"/>
      <c r="F51" s="94">
        <f t="shared" si="39"/>
        <v>17.078806213771792</v>
      </c>
      <c r="G51" s="144">
        <f t="shared" ref="G51:I51" si="43">G92+G132</f>
        <v>16.761594789902677</v>
      </c>
      <c r="H51" s="94"/>
      <c r="I51" s="94">
        <f t="shared" si="43"/>
        <v>17.77</v>
      </c>
      <c r="J51" s="94">
        <f t="shared" ref="J51" si="44">J92+J132</f>
        <v>17.440000000000001</v>
      </c>
      <c r="K51" s="187">
        <f t="shared" si="42"/>
        <v>-1.8570624648283518E-2</v>
      </c>
      <c r="L51" s="49"/>
    </row>
    <row r="52" spans="2:14" x14ac:dyDescent="0.2">
      <c r="B52" s="48" t="str">
        <f>'2017 Determination - Revenue'!B$31</f>
        <v>Peel</v>
      </c>
      <c r="C52" s="43" t="str">
        <f t="shared" si="38"/>
        <v>$/ML</v>
      </c>
      <c r="D52" s="43"/>
      <c r="E52" s="43"/>
      <c r="F52" s="94">
        <f t="shared" si="39"/>
        <v>20.78395133436014</v>
      </c>
      <c r="G52" s="144">
        <f t="shared" ref="G52:I52" si="45">G93+G133</f>
        <v>41.401125251337078</v>
      </c>
      <c r="H52" s="94"/>
      <c r="I52" s="94">
        <f t="shared" si="45"/>
        <v>43.25</v>
      </c>
      <c r="J52" s="94">
        <f t="shared" ref="J52" si="46">J93+J133</f>
        <v>43.07</v>
      </c>
      <c r="K52" s="187">
        <f t="shared" si="42"/>
        <v>-4.1618497109826569E-3</v>
      </c>
      <c r="L52" s="49"/>
    </row>
    <row r="53" spans="2:14" x14ac:dyDescent="0.2">
      <c r="B53" s="48" t="str">
        <f>'2017 Determination - Revenue'!B$32</f>
        <v>Lachlan</v>
      </c>
      <c r="C53" s="43" t="str">
        <f t="shared" si="38"/>
        <v>$/ML</v>
      </c>
      <c r="D53" s="43"/>
      <c r="E53" s="43"/>
      <c r="F53" s="94">
        <f t="shared" si="39"/>
        <v>15.379109814709489</v>
      </c>
      <c r="G53" s="144">
        <f t="shared" ref="G53:I53" si="47">G94+G134</f>
        <v>14.867665553751058</v>
      </c>
      <c r="H53" s="94"/>
      <c r="I53" s="94">
        <f t="shared" si="47"/>
        <v>16</v>
      </c>
      <c r="J53" s="94">
        <f t="shared" ref="J53" si="48">J94+J134</f>
        <v>15.47</v>
      </c>
      <c r="K53" s="187">
        <f t="shared" si="42"/>
        <v>-3.312499999999996E-2</v>
      </c>
      <c r="L53" s="49"/>
    </row>
    <row r="54" spans="2:14" x14ac:dyDescent="0.2">
      <c r="B54" s="48" t="str">
        <f>'2017 Determination - Revenue'!B$33</f>
        <v>Macquarie</v>
      </c>
      <c r="C54" s="43" t="str">
        <f t="shared" si="38"/>
        <v>$/ML</v>
      </c>
      <c r="D54" s="43"/>
      <c r="E54" s="43"/>
      <c r="F54" s="94">
        <f t="shared" si="39"/>
        <v>13.514162012252285</v>
      </c>
      <c r="G54" s="144">
        <f t="shared" ref="G54:I54" si="49">G95+G135</f>
        <v>13.3257587341638</v>
      </c>
      <c r="H54" s="94"/>
      <c r="I54" s="94">
        <f t="shared" si="49"/>
        <v>14.05</v>
      </c>
      <c r="J54" s="94">
        <f t="shared" ref="J54" si="50">J95+J135</f>
        <v>13.87</v>
      </c>
      <c r="K54" s="187">
        <f t="shared" si="42"/>
        <v>-1.2811387900355964E-2</v>
      </c>
      <c r="L54" s="49"/>
    </row>
    <row r="55" spans="2:14" x14ac:dyDescent="0.2">
      <c r="B55" s="48" t="str">
        <f>'2017 Determination - Revenue'!B$34</f>
        <v>Murray</v>
      </c>
      <c r="C55" s="43" t="str">
        <f t="shared" si="38"/>
        <v>$/ML</v>
      </c>
      <c r="D55" s="43"/>
      <c r="E55" s="43"/>
      <c r="F55" s="94">
        <f t="shared" si="39"/>
        <v>8.8035579106887454</v>
      </c>
      <c r="G55" s="144">
        <f t="shared" ref="G55:I55" si="51">G96+G136</f>
        <v>8.8036505894013555</v>
      </c>
      <c r="H55" s="94"/>
      <c r="I55" s="94">
        <f t="shared" si="51"/>
        <v>9.16</v>
      </c>
      <c r="J55" s="94">
        <f t="shared" ref="J55" si="52">J96+J136</f>
        <v>9.16</v>
      </c>
      <c r="K55" s="187">
        <f t="shared" si="42"/>
        <v>0</v>
      </c>
      <c r="L55" s="49"/>
    </row>
    <row r="56" spans="2:14" x14ac:dyDescent="0.2">
      <c r="B56" s="48" t="str">
        <f>'2017 Determination - Revenue'!B$35</f>
        <v>Murrumbidgee</v>
      </c>
      <c r="C56" s="43" t="str">
        <f t="shared" si="38"/>
        <v>$/ML</v>
      </c>
      <c r="D56" s="43"/>
      <c r="E56" s="43"/>
      <c r="F56" s="94">
        <f t="shared" si="39"/>
        <v>4.5660305843127746</v>
      </c>
      <c r="G56" s="144">
        <f t="shared" ref="G56:I56" si="53">G97+G137</f>
        <v>4.5661078724131983</v>
      </c>
      <c r="H56" s="94"/>
      <c r="I56" s="94">
        <f t="shared" si="53"/>
        <v>4.74</v>
      </c>
      <c r="J56" s="94">
        <f t="shared" ref="J56" si="54">J97+J137</f>
        <v>4.75</v>
      </c>
      <c r="K56" s="187">
        <f t="shared" si="42"/>
        <v>2.1097046413500742E-3</v>
      </c>
      <c r="L56" s="49"/>
    </row>
    <row r="57" spans="2:14" x14ac:dyDescent="0.2">
      <c r="B57" s="48" t="str">
        <f>'2017 Determination - Revenue'!B$36</f>
        <v>Lowbidgee</v>
      </c>
      <c r="C57" s="43" t="str">
        <f>$C$27</f>
        <v>$/ML</v>
      </c>
      <c r="D57" s="43"/>
      <c r="E57" s="43"/>
      <c r="F57" s="94">
        <f t="shared" si="39"/>
        <v>0</v>
      </c>
      <c r="G57" s="144">
        <f t="shared" ref="G57:I57" si="55">G98+G138</f>
        <v>0</v>
      </c>
      <c r="H57" s="94"/>
      <c r="I57" s="94">
        <f t="shared" si="55"/>
        <v>0</v>
      </c>
      <c r="J57" s="94">
        <f t="shared" ref="J57" si="56">J98+J138</f>
        <v>0</v>
      </c>
      <c r="K57" s="187" t="str">
        <f t="shared" si="42"/>
        <v>na</v>
      </c>
      <c r="L57" s="49"/>
    </row>
    <row r="58" spans="2:14" x14ac:dyDescent="0.2">
      <c r="B58" s="88" t="s">
        <v>34</v>
      </c>
      <c r="C58" s="95"/>
      <c r="D58" s="95"/>
      <c r="E58" s="95"/>
      <c r="F58" s="96">
        <f>SUM(F49:F57)-SUM(F90:F98)-SUM(F130:F137)</f>
        <v>0</v>
      </c>
      <c r="G58" s="96">
        <f>SUM(G49:G57)-SUM(G90:G98)-SUM(G130:G137)</f>
        <v>0</v>
      </c>
      <c r="H58" s="96"/>
      <c r="I58" s="96">
        <f>SUM(I49:I57)-SUM(I90:I98)-SUM(I130:I137)</f>
        <v>0</v>
      </c>
      <c r="J58" s="96">
        <f>SUM(J49:J57)-SUM(J90:J98)-SUM(J130:J137)</f>
        <v>0</v>
      </c>
      <c r="K58" s="44"/>
      <c r="L58" s="49"/>
    </row>
    <row r="59" spans="2:14" x14ac:dyDescent="0.2">
      <c r="B59" s="88"/>
      <c r="C59" s="95"/>
      <c r="D59" s="95"/>
      <c r="E59" s="95"/>
      <c r="F59" s="96"/>
      <c r="G59" s="96"/>
      <c r="H59" s="96"/>
      <c r="I59" s="96"/>
      <c r="J59" s="96"/>
      <c r="K59" s="44"/>
      <c r="L59" s="49"/>
    </row>
    <row r="60" spans="2:14" x14ac:dyDescent="0.2">
      <c r="B60" s="50"/>
      <c r="C60" s="41"/>
      <c r="D60" s="41"/>
      <c r="E60" s="41"/>
      <c r="F60" s="41"/>
      <c r="G60" s="41"/>
      <c r="H60" s="41"/>
      <c r="I60" s="41"/>
      <c r="J60" s="41"/>
      <c r="K60" s="42"/>
      <c r="L60" s="51"/>
      <c r="N60" s="148"/>
    </row>
    <row r="61" spans="2:14" x14ac:dyDescent="0.2">
      <c r="K61" s="186"/>
      <c r="N61" s="148"/>
    </row>
    <row r="62" spans="2:14" x14ac:dyDescent="0.2">
      <c r="K62" s="186"/>
      <c r="N62" s="148"/>
    </row>
    <row r="63" spans="2:14" x14ac:dyDescent="0.2">
      <c r="B63" s="38" t="s">
        <v>138</v>
      </c>
      <c r="I63" s="148"/>
      <c r="K63" s="186"/>
      <c r="N63" s="148"/>
    </row>
    <row r="64" spans="2:14" x14ac:dyDescent="0.2">
      <c r="B64" s="45" t="str">
        <f>'2017 Determination - Revenue'!B$16</f>
        <v>Financial year</v>
      </c>
      <c r="C64" s="46" t="str">
        <f>'2017 Determination - Revenue'!C$23</f>
        <v>Units</v>
      </c>
      <c r="D64" s="46"/>
      <c r="E64" s="46"/>
      <c r="F64" s="175" t="str">
        <f>'2017 Determination - Revenue'!F$16</f>
        <v>2017-18</v>
      </c>
      <c r="G64" s="175" t="str">
        <f>'2017 Determination - Revenue'!G$16</f>
        <v>2018-19</v>
      </c>
      <c r="H64" s="52"/>
      <c r="I64" s="1" t="str">
        <f>I$23</f>
        <v>2018-19 charges expressed in $2018-19</v>
      </c>
      <c r="J64" s="226"/>
      <c r="K64" s="190" t="str">
        <f>$K$23</f>
        <v xml:space="preserve">Difference between </v>
      </c>
      <c r="L64" s="47"/>
      <c r="N64" s="148"/>
    </row>
    <row r="65" spans="2:20" s="148" customFormat="1" ht="48" x14ac:dyDescent="0.2">
      <c r="B65" s="48"/>
      <c r="C65" s="43"/>
      <c r="D65" s="43"/>
      <c r="E65" s="43"/>
      <c r="F65" s="224" t="str">
        <f>F$24</f>
        <v>2017 Determination charges</v>
      </c>
      <c r="G65" s="224" t="str">
        <f>G$24</f>
        <v>Re-calculated charges</v>
      </c>
      <c r="H65" s="163"/>
      <c r="I65" s="224" t="str">
        <f>F65</f>
        <v>2017 Determination charges</v>
      </c>
      <c r="J65" s="224" t="str">
        <f>G65</f>
        <v>Re-calculated charges</v>
      </c>
      <c r="K65" s="231" t="str">
        <f>$K$24</f>
        <v xml:space="preserve"> 2018-19 calculated and determination charges</v>
      </c>
      <c r="L65" s="49"/>
      <c r="M65" s="93"/>
    </row>
    <row r="66" spans="2:20" x14ac:dyDescent="0.2">
      <c r="B66" s="48"/>
      <c r="C66" s="43"/>
      <c r="D66" s="43"/>
      <c r="E66" s="43"/>
      <c r="F66" s="213" t="str">
        <f>'2017 Determination - Revenue'!$F$24</f>
        <v>$2016-17</v>
      </c>
      <c r="G66" s="213" t="str">
        <f>'2017 Determination - Revenue'!$F$24</f>
        <v>$2016-17</v>
      </c>
      <c r="H66" s="54"/>
      <c r="I66" s="213" t="str">
        <f>I$25</f>
        <v>$2018-19</v>
      </c>
      <c r="J66" s="213" t="str">
        <f>J$25</f>
        <v>$2018-19</v>
      </c>
      <c r="K66" s="216" t="str">
        <f>$K$25</f>
        <v>%</v>
      </c>
      <c r="L66" s="49"/>
      <c r="N66" s="148"/>
      <c r="O66" s="148"/>
      <c r="P66" s="148"/>
      <c r="Q66" s="148"/>
      <c r="R66" s="148"/>
    </row>
    <row r="67" spans="2:20" x14ac:dyDescent="0.2">
      <c r="B67" s="55" t="str">
        <f>B$26</f>
        <v>Usage charges</v>
      </c>
      <c r="C67" s="43"/>
      <c r="D67" s="43"/>
      <c r="E67" s="43"/>
      <c r="F67" s="43"/>
      <c r="G67" s="43"/>
      <c r="H67" s="221"/>
      <c r="I67" s="43"/>
      <c r="J67" s="44"/>
      <c r="K67" s="44"/>
      <c r="L67" s="49"/>
      <c r="N67" s="148"/>
      <c r="O67" s="148"/>
      <c r="P67" s="148"/>
      <c r="Q67" s="148"/>
      <c r="R67" s="148"/>
    </row>
    <row r="68" spans="2:20" x14ac:dyDescent="0.2">
      <c r="B68" s="48" t="str">
        <f>'2017 Determination - Revenue'!B$28</f>
        <v>Border</v>
      </c>
      <c r="C68" s="43" t="str">
        <f>$C$27</f>
        <v>$/ML</v>
      </c>
      <c r="D68" s="43"/>
      <c r="E68" s="43"/>
      <c r="F68" s="228">
        <f>'2017 Determination - charges'!F18</f>
        <v>5.4449619575243808</v>
      </c>
      <c r="G68" s="144">
        <f>(('MDB calcs'!G172/'MDB calcs'!G21)*1000)</f>
        <v>5.3325154463286548</v>
      </c>
      <c r="H68" s="185"/>
      <c r="I68" s="65">
        <f>'2017 Determination - charges'!J18</f>
        <v>5.66</v>
      </c>
      <c r="J68" s="65">
        <f>ROUND((ROUND((ROUND(G68,2)*(1+'2017 Determination - Revenue'!$F$18)),2))*(1+'2017 Determination - Revenue'!$G$18),2)</f>
        <v>5.54</v>
      </c>
      <c r="K68" s="187">
        <f>IF(I68=0,"na",J68/I68-1)</f>
        <v>-2.1201413427561877E-2</v>
      </c>
      <c r="L68" s="92"/>
      <c r="N68" s="148"/>
      <c r="O68" s="148"/>
      <c r="P68" s="148"/>
      <c r="Q68" s="148"/>
      <c r="R68" s="148"/>
      <c r="T68" s="246"/>
    </row>
    <row r="69" spans="2:20" x14ac:dyDescent="0.2">
      <c r="B69" s="48" t="str">
        <f>'2017 Determination - Revenue'!B$29</f>
        <v>Gwydir</v>
      </c>
      <c r="C69" s="43" t="str">
        <f t="shared" ref="C69:C75" si="57">$C$27</f>
        <v>$/ML</v>
      </c>
      <c r="D69" s="43"/>
      <c r="E69" s="43"/>
      <c r="F69" s="228">
        <f>'2017 Determination - charges'!F19</f>
        <v>11.873139524320214</v>
      </c>
      <c r="G69" s="144">
        <f>(('MDB calcs'!G173/'MDB calcs'!G22)*1000)</f>
        <v>12.015082003392797</v>
      </c>
      <c r="H69" s="185"/>
      <c r="I69" s="65">
        <f>'2017 Determination - charges'!J19</f>
        <v>12.35</v>
      </c>
      <c r="J69" s="65">
        <f>ROUND((ROUND((ROUND(G69,2)*(1+'2017 Determination - Revenue'!$F$18)),2))*(1+'2017 Determination - Revenue'!$G$18),2)</f>
        <v>12.5</v>
      </c>
      <c r="K69" s="187">
        <f t="shared" ref="K69:K76" si="58">IF(I69=0,"na",J69/I69-1)</f>
        <v>1.2145748987854255E-2</v>
      </c>
      <c r="L69" s="49"/>
      <c r="N69" s="148"/>
      <c r="O69" s="148"/>
      <c r="P69" s="148"/>
      <c r="Q69" s="148"/>
      <c r="R69" s="148"/>
      <c r="S69" s="148"/>
    </row>
    <row r="70" spans="2:20" x14ac:dyDescent="0.2">
      <c r="B70" s="48" t="str">
        <f>'2017 Determination - Revenue'!B$30</f>
        <v>Namoi</v>
      </c>
      <c r="C70" s="43" t="str">
        <f t="shared" si="57"/>
        <v>$/ML</v>
      </c>
      <c r="D70" s="43"/>
      <c r="E70" s="43"/>
      <c r="F70" s="228">
        <f>'2017 Determination - charges'!F20</f>
        <v>19.983537685794229</v>
      </c>
      <c r="G70" s="144">
        <f>(('MDB calcs'!G174/'MDB calcs'!G23)*1000)</f>
        <v>19.895307159106121</v>
      </c>
      <c r="H70" s="185"/>
      <c r="I70" s="65">
        <f>'2017 Determination - charges'!J20</f>
        <v>20.79</v>
      </c>
      <c r="J70" s="65">
        <f>ROUND((ROUND((ROUND(G70,2)*(1+'2017 Determination - Revenue'!$F$18)),2))*(1+'2017 Determination - Revenue'!$G$18),2)</f>
        <v>20.71</v>
      </c>
      <c r="K70" s="187">
        <f t="shared" si="58"/>
        <v>-3.848003848003767E-3</v>
      </c>
      <c r="L70" s="49"/>
      <c r="N70" s="148"/>
      <c r="O70" s="148"/>
      <c r="P70" s="148"/>
      <c r="Q70" s="148"/>
      <c r="R70" s="148"/>
      <c r="S70" s="148"/>
    </row>
    <row r="71" spans="2:20" x14ac:dyDescent="0.2">
      <c r="B71" s="48" t="str">
        <f>'2017 Determination - Revenue'!B$31</f>
        <v>Peel</v>
      </c>
      <c r="C71" s="43" t="str">
        <f t="shared" si="57"/>
        <v>$/ML</v>
      </c>
      <c r="D71" s="43"/>
      <c r="E71" s="43"/>
      <c r="F71" s="228">
        <f>'2017 Determination - charges'!F21</f>
        <v>55.091150391764842</v>
      </c>
      <c r="G71" s="144">
        <f>(('MDB calcs'!G175/'MDB calcs'!G24)*1000)</f>
        <v>17.994700641217754</v>
      </c>
      <c r="H71" s="185"/>
      <c r="I71" s="65">
        <f>'2017 Determination - charges'!J21</f>
        <v>19.11</v>
      </c>
      <c r="J71" s="65">
        <f>ROUND((ROUND((ROUND(G71,2)*(1+'2017 Determination - Revenue'!$F$18)),2))*(1+'2017 Determination - Revenue'!$G$18),2)</f>
        <v>18.72</v>
      </c>
      <c r="K71" s="187">
        <f t="shared" si="58"/>
        <v>-2.0408163265306145E-2</v>
      </c>
      <c r="L71" s="49"/>
      <c r="N71" s="148"/>
      <c r="O71" s="148"/>
      <c r="P71" s="148"/>
      <c r="Q71" s="148"/>
      <c r="R71" s="148"/>
      <c r="S71" s="148"/>
    </row>
    <row r="72" spans="2:20" x14ac:dyDescent="0.2">
      <c r="B72" s="48" t="str">
        <f>'2017 Determination - Revenue'!B$32</f>
        <v>Lachlan</v>
      </c>
      <c r="C72" s="43" t="str">
        <f t="shared" si="57"/>
        <v>$/ML</v>
      </c>
      <c r="D72" s="43"/>
      <c r="E72" s="43"/>
      <c r="F72" s="228">
        <f>'2017 Determination - charges'!F22</f>
        <v>19.038335664987216</v>
      </c>
      <c r="G72" s="144">
        <f>(('MDB calcs'!G176/'MDB calcs'!G25)*1000)</f>
        <v>20.16030963938173</v>
      </c>
      <c r="H72" s="185"/>
      <c r="I72" s="65">
        <f>'2017 Determination - charges'!J22</f>
        <v>19.809999999999999</v>
      </c>
      <c r="J72" s="65">
        <f>ROUND((ROUND((ROUND(G72,2)*(1+'2017 Determination - Revenue'!$F$18)),2))*(1+'2017 Determination - Revenue'!$G$18),2)</f>
        <v>20.97</v>
      </c>
      <c r="K72" s="187">
        <f t="shared" si="58"/>
        <v>5.8556284704694539E-2</v>
      </c>
      <c r="L72" s="49"/>
      <c r="N72" s="148"/>
      <c r="O72" s="148"/>
      <c r="P72" s="148"/>
      <c r="Q72" s="148"/>
      <c r="R72" s="148"/>
      <c r="S72" s="148"/>
    </row>
    <row r="73" spans="2:20" x14ac:dyDescent="0.2">
      <c r="B73" s="48" t="str">
        <f>'2017 Determination - Revenue'!B$33</f>
        <v>Macquarie</v>
      </c>
      <c r="C73" s="43" t="str">
        <f t="shared" si="57"/>
        <v>$/ML</v>
      </c>
      <c r="D73" s="43"/>
      <c r="E73" s="43"/>
      <c r="F73" s="228">
        <f>'2017 Determination - charges'!F23</f>
        <v>13.78434038452443</v>
      </c>
      <c r="G73" s="144">
        <f>(('MDB calcs'!G177/'MDB calcs'!G26)*1000)</f>
        <v>14.102148917391292</v>
      </c>
      <c r="H73" s="185"/>
      <c r="I73" s="65">
        <f>'2017 Determination - charges'!J23</f>
        <v>14.34</v>
      </c>
      <c r="J73" s="65">
        <f>ROUND((ROUND((ROUND(G73,2)*(1+'2017 Determination - Revenue'!$F$18)),2))*(1+'2017 Determination - Revenue'!$G$18),2)</f>
        <v>14.67</v>
      </c>
      <c r="K73" s="187">
        <f t="shared" si="58"/>
        <v>2.3012552301255207E-2</v>
      </c>
      <c r="L73" s="49"/>
      <c r="N73" s="148"/>
      <c r="O73" s="148"/>
      <c r="P73" s="148"/>
      <c r="Q73" s="148"/>
      <c r="R73" s="148"/>
      <c r="S73" s="148"/>
    </row>
    <row r="74" spans="2:20" x14ac:dyDescent="0.2">
      <c r="B74" s="48" t="str">
        <f>'2017 Determination - Revenue'!B$34</f>
        <v>Murray</v>
      </c>
      <c r="C74" s="43" t="str">
        <f t="shared" si="57"/>
        <v>$/ML</v>
      </c>
      <c r="D74" s="43"/>
      <c r="E74" s="43"/>
      <c r="F74" s="228">
        <f>'2017 Determination - charges'!F24</f>
        <v>1.9059075031952837</v>
      </c>
      <c r="G74" s="144">
        <f>(('MDB calcs'!G178/'MDB calcs'!G27)*1000)</f>
        <v>1.9503940570760232</v>
      </c>
      <c r="H74" s="185"/>
      <c r="I74" s="65">
        <f>'2017 Determination - charges'!J24</f>
        <v>1.99</v>
      </c>
      <c r="J74" s="65">
        <f>ROUND((ROUND((ROUND(G74,2)*(1+'2017 Determination - Revenue'!$F$18)),2))*(1+'2017 Determination - Revenue'!$G$18),2)</f>
        <v>2.0299999999999998</v>
      </c>
      <c r="K74" s="187">
        <f t="shared" si="58"/>
        <v>2.0100502512562679E-2</v>
      </c>
      <c r="L74" s="49"/>
      <c r="N74" s="148"/>
      <c r="O74" s="148"/>
      <c r="P74" s="148"/>
      <c r="Q74" s="148"/>
      <c r="R74" s="148"/>
      <c r="S74" s="148"/>
    </row>
    <row r="75" spans="2:20" x14ac:dyDescent="0.2">
      <c r="B75" s="48" t="str">
        <f>'2017 Determination - Revenue'!B$35</f>
        <v>Murrumbidgee</v>
      </c>
      <c r="C75" s="43" t="str">
        <f t="shared" si="57"/>
        <v>$/ML</v>
      </c>
      <c r="D75" s="43"/>
      <c r="E75" s="43"/>
      <c r="F75" s="228">
        <f>'2017 Determination - charges'!F25</f>
        <v>3.3066680084074336</v>
      </c>
      <c r="G75" s="144">
        <f>(('MDB calcs'!G179/'MDB calcs'!G28)*1000)</f>
        <v>3.388023718574328</v>
      </c>
      <c r="H75" s="185"/>
      <c r="I75" s="65">
        <f>'2017 Determination - charges'!J25</f>
        <v>3.44</v>
      </c>
      <c r="J75" s="65">
        <f>ROUND((ROUND((ROUND(G75,2)*(1+'2017 Determination - Revenue'!$F$18)),2))*(1+'2017 Determination - Revenue'!$G$18),2)</f>
        <v>3.53</v>
      </c>
      <c r="K75" s="187">
        <f t="shared" si="58"/>
        <v>2.6162790697674465E-2</v>
      </c>
      <c r="L75" s="49"/>
      <c r="N75" s="148"/>
      <c r="O75" s="148"/>
      <c r="P75" s="148"/>
      <c r="Q75" s="148"/>
      <c r="R75" s="148"/>
      <c r="S75" s="148"/>
    </row>
    <row r="76" spans="2:20" x14ac:dyDescent="0.2">
      <c r="B76" s="48" t="str">
        <f>'2017 Determination - Revenue'!B$36</f>
        <v>Lowbidgee</v>
      </c>
      <c r="C76" s="43" t="str">
        <f>$C$27</f>
        <v>$/ML</v>
      </c>
      <c r="D76" s="43"/>
      <c r="E76" s="43"/>
      <c r="F76" s="229">
        <v>0</v>
      </c>
      <c r="G76" s="144">
        <f>(('MDB calcs'!G180/'MDB calcs'!G29)*1000)</f>
        <v>0</v>
      </c>
      <c r="H76" s="32"/>
      <c r="I76" s="65">
        <f>'2017 Determination - charges'!J26</f>
        <v>0</v>
      </c>
      <c r="J76" s="65">
        <f>ROUND((ROUND((ROUND(G76,2)*(1+'2017 Determination - Revenue'!$F$18)),2))*(1+'2017 Determination - Revenue'!$G$18),2)</f>
        <v>0</v>
      </c>
      <c r="K76" s="187" t="str">
        <f t="shared" si="58"/>
        <v>na</v>
      </c>
      <c r="L76" s="49"/>
      <c r="N76" s="148"/>
      <c r="O76" s="148"/>
      <c r="P76" s="148"/>
      <c r="Q76" s="148"/>
      <c r="R76" s="148"/>
      <c r="S76" s="148"/>
    </row>
    <row r="77" spans="2:20" x14ac:dyDescent="0.2">
      <c r="B77" s="88" t="s">
        <v>34</v>
      </c>
      <c r="C77" s="43"/>
      <c r="D77" s="43"/>
      <c r="E77" s="43"/>
      <c r="F77" s="96"/>
      <c r="G77" s="96">
        <f>SUM(G68:G75)-((SUMPRODUCT('MDB calcs'!G172:G179/'MDB calcs'!G21:G28))*1000)</f>
        <v>0</v>
      </c>
      <c r="H77" s="96"/>
      <c r="I77" s="65"/>
      <c r="J77" s="65"/>
      <c r="K77" s="187"/>
      <c r="L77" s="49"/>
      <c r="N77" s="148"/>
      <c r="O77" s="148"/>
      <c r="P77" s="148"/>
      <c r="Q77" s="148"/>
      <c r="R77" s="148"/>
      <c r="S77" s="148"/>
    </row>
    <row r="78" spans="2:20" x14ac:dyDescent="0.2">
      <c r="B78" s="55" t="str">
        <f>B$37</f>
        <v>General security entitlement charges</v>
      </c>
      <c r="C78" s="43"/>
      <c r="D78" s="43"/>
      <c r="E78" s="43"/>
      <c r="F78" s="185"/>
      <c r="G78" s="43"/>
      <c r="H78" s="43"/>
      <c r="I78" s="65"/>
      <c r="J78" s="65"/>
      <c r="K78" s="187"/>
      <c r="L78" s="49"/>
      <c r="N78" s="148"/>
      <c r="O78" s="148"/>
      <c r="P78" s="148"/>
      <c r="Q78" s="148"/>
      <c r="R78" s="148"/>
      <c r="S78" s="148"/>
    </row>
    <row r="79" spans="2:20" x14ac:dyDescent="0.2">
      <c r="B79" s="48" t="str">
        <f>'2017 Determination - Revenue'!B$28</f>
        <v>Border</v>
      </c>
      <c r="C79" s="43" t="str">
        <f>$C$27</f>
        <v>$/ML</v>
      </c>
      <c r="D79" s="43"/>
      <c r="E79" s="43"/>
      <c r="F79" s="228">
        <f>'2017 Determination - charges'!F35</f>
        <v>1.9788687190371097</v>
      </c>
      <c r="G79" s="144">
        <f>(('MDB calcs'!G160/'MDB calcs'!G131)*1000)</f>
        <v>1.9816172959109561</v>
      </c>
      <c r="H79" s="185"/>
      <c r="I79" s="65">
        <f>'2017 Determination - charges'!J35</f>
        <v>2.06</v>
      </c>
      <c r="J79" s="65">
        <f>ROUND((ROUND((ROUND(G79,2)*(1+'2017 Determination - Revenue'!$F$18)),2))*(1+'2017 Determination - Revenue'!$G$18),2)</f>
        <v>2.06</v>
      </c>
      <c r="K79" s="187">
        <f>IF(I79=0,"na",J79/I79-1)</f>
        <v>0</v>
      </c>
      <c r="L79" s="49"/>
      <c r="N79" s="148"/>
      <c r="O79" s="148"/>
      <c r="P79" s="148"/>
      <c r="Q79" s="148"/>
      <c r="R79" s="148"/>
      <c r="S79" s="148"/>
    </row>
    <row r="80" spans="2:20" x14ac:dyDescent="0.2">
      <c r="B80" s="48" t="str">
        <f>'2017 Determination - Revenue'!B$29</f>
        <v>Gwydir</v>
      </c>
      <c r="C80" s="43" t="str">
        <f t="shared" ref="C80:C86" si="59">$C$27</f>
        <v>$/ML</v>
      </c>
      <c r="D80" s="43"/>
      <c r="E80" s="43"/>
      <c r="F80" s="228">
        <f>'2017 Determination - charges'!F36</f>
        <v>3.4798474827858135</v>
      </c>
      <c r="G80" s="144">
        <f>(('MDB calcs'!G161/'MDB calcs'!G132)*1000)</f>
        <v>3.4819348836386537</v>
      </c>
      <c r="H80" s="185"/>
      <c r="I80" s="65">
        <f>'2017 Determination - charges'!J36</f>
        <v>3.62</v>
      </c>
      <c r="J80" s="65">
        <f>ROUND((ROUND((ROUND(G80,2)*(1+'2017 Determination - Revenue'!$F$18)),2))*(1+'2017 Determination - Revenue'!$G$18),2)</f>
        <v>3.62</v>
      </c>
      <c r="K80" s="187">
        <f t="shared" ref="K80:K87" si="60">IF(I80=0,"na",J80/I80-1)</f>
        <v>0</v>
      </c>
      <c r="L80" s="49"/>
      <c r="N80" s="148"/>
      <c r="O80" s="148"/>
      <c r="P80" s="148"/>
      <c r="Q80" s="148"/>
      <c r="R80" s="148"/>
      <c r="S80" s="148"/>
    </row>
    <row r="81" spans="2:19" x14ac:dyDescent="0.2">
      <c r="B81" s="48" t="str">
        <f>'2017 Determination - Revenue'!B$30</f>
        <v>Namoi</v>
      </c>
      <c r="C81" s="43" t="str">
        <f t="shared" si="59"/>
        <v>$/ML</v>
      </c>
      <c r="D81" s="43"/>
      <c r="E81" s="43"/>
      <c r="F81" s="228">
        <f>'2017 Determination - charges'!F37</f>
        <v>7.9573495340749334</v>
      </c>
      <c r="G81" s="144">
        <f>(('MDB calcs'!G162/'MDB calcs'!G133)*1000)</f>
        <v>7.9683518692056623</v>
      </c>
      <c r="H81" s="185"/>
      <c r="I81" s="65">
        <f>'2017 Determination - charges'!J37</f>
        <v>8.2799999999999994</v>
      </c>
      <c r="J81" s="65">
        <f>ROUND((ROUND((ROUND(G81,2)*(1+'2017 Determination - Revenue'!$F$18)),2))*(1+'2017 Determination - Revenue'!$G$18),2)</f>
        <v>8.2899999999999991</v>
      </c>
      <c r="K81" s="187">
        <f t="shared" si="60"/>
        <v>1.2077294685990392E-3</v>
      </c>
      <c r="L81" s="49"/>
      <c r="N81" s="148"/>
      <c r="O81" s="148"/>
      <c r="P81" s="148"/>
      <c r="Q81" s="148"/>
      <c r="R81" s="148"/>
      <c r="S81" s="148"/>
    </row>
    <row r="82" spans="2:19" x14ac:dyDescent="0.2">
      <c r="B82" s="48" t="str">
        <f>'2017 Determination - Revenue'!B$31</f>
        <v>Peel</v>
      </c>
      <c r="C82" s="43" t="str">
        <f t="shared" si="59"/>
        <v>$/ML</v>
      </c>
      <c r="D82" s="43"/>
      <c r="E82" s="43"/>
      <c r="F82" s="228">
        <f>'2017 Determination - charges'!F38</f>
        <v>2.0088384355493285</v>
      </c>
      <c r="G82" s="144">
        <f>(('MDB calcs'!G163/'MDB calcs'!G134)*1000)</f>
        <v>4.1140497558650839</v>
      </c>
      <c r="H82" s="185"/>
      <c r="I82" s="65">
        <f>'2017 Determination - charges'!J38</f>
        <v>4.18</v>
      </c>
      <c r="J82" s="65">
        <f>ROUND((ROUND((ROUND(G82,2)*(1+'2017 Determination - Revenue'!$F$18)),2))*(1+'2017 Determination - Revenue'!$G$18),2)</f>
        <v>4.28</v>
      </c>
      <c r="K82" s="187">
        <f t="shared" si="60"/>
        <v>2.3923444976076791E-2</v>
      </c>
      <c r="L82" s="49"/>
      <c r="N82" s="148"/>
      <c r="O82" s="148"/>
      <c r="P82" s="148"/>
      <c r="Q82" s="148"/>
      <c r="R82" s="148"/>
      <c r="S82" s="148"/>
    </row>
    <row r="83" spans="2:19" x14ac:dyDescent="0.2">
      <c r="B83" s="48" t="str">
        <f>'2017 Determination - Revenue'!B$32</f>
        <v>Lachlan</v>
      </c>
      <c r="C83" s="43" t="str">
        <f t="shared" si="59"/>
        <v>$/ML</v>
      </c>
      <c r="D83" s="43"/>
      <c r="E83" s="43"/>
      <c r="F83" s="228">
        <f>'2017 Determination - charges'!F39</f>
        <v>2.7294754839554174</v>
      </c>
      <c r="G83" s="144">
        <f>(('MDB calcs'!G164/'MDB calcs'!G135)*1000)</f>
        <v>2.7758839032514664</v>
      </c>
      <c r="H83" s="185"/>
      <c r="I83" s="65">
        <f>'2017 Determination - charges'!J39</f>
        <v>2.84</v>
      </c>
      <c r="J83" s="65">
        <f>ROUND((ROUND((ROUND(G83,2)*(1+'2017 Determination - Revenue'!$F$18)),2))*(1+'2017 Determination - Revenue'!$G$18),2)</f>
        <v>2.89</v>
      </c>
      <c r="K83" s="187">
        <f t="shared" si="60"/>
        <v>1.7605633802816989E-2</v>
      </c>
      <c r="L83" s="49"/>
      <c r="N83" s="148"/>
      <c r="O83" s="148"/>
      <c r="P83" s="148"/>
      <c r="Q83" s="148"/>
      <c r="R83" s="148"/>
      <c r="S83" s="148"/>
    </row>
    <row r="84" spans="2:19" x14ac:dyDescent="0.2">
      <c r="B84" s="48" t="str">
        <f>'2017 Determination - Revenue'!B$33</f>
        <v>Macquarie</v>
      </c>
      <c r="C84" s="43" t="str">
        <f t="shared" si="59"/>
        <v>$/ML</v>
      </c>
      <c r="D84" s="43"/>
      <c r="E84" s="43"/>
      <c r="F84" s="228">
        <f>'2017 Determination - charges'!F40</f>
        <v>2.8467811535599639</v>
      </c>
      <c r="G84" s="144">
        <f>(('MDB calcs'!G165/'MDB calcs'!G136)*1000)</f>
        <v>2.8600389822677408</v>
      </c>
      <c r="H84" s="185"/>
      <c r="I84" s="65">
        <f>'2017 Determination - charges'!J40</f>
        <v>2.97</v>
      </c>
      <c r="J84" s="65">
        <f>ROUND((ROUND((ROUND(G84,2)*(1+'2017 Determination - Revenue'!$F$18)),2))*(1+'2017 Determination - Revenue'!$G$18),2)</f>
        <v>2.98</v>
      </c>
      <c r="K84" s="187">
        <f t="shared" si="60"/>
        <v>3.3670033670032407E-3</v>
      </c>
      <c r="L84" s="49"/>
      <c r="N84" s="148"/>
      <c r="O84" s="148"/>
      <c r="P84" s="148"/>
      <c r="Q84" s="148"/>
      <c r="R84" s="148"/>
      <c r="S84" s="148"/>
    </row>
    <row r="85" spans="2:19" x14ac:dyDescent="0.2">
      <c r="B85" s="48" t="str">
        <f>'2017 Determination - Revenue'!B$34</f>
        <v>Murray</v>
      </c>
      <c r="C85" s="43" t="str">
        <f t="shared" si="59"/>
        <v>$/ML</v>
      </c>
      <c r="D85" s="43"/>
      <c r="E85" s="43"/>
      <c r="F85" s="228">
        <f>'2017 Determination - charges'!F41</f>
        <v>0.75379063074672403</v>
      </c>
      <c r="G85" s="144">
        <f>(('MDB calcs'!G166/'MDB calcs'!G137)*1000)</f>
        <v>0.75380002329512741</v>
      </c>
      <c r="H85" s="185"/>
      <c r="I85" s="65">
        <f>'2017 Determination - charges'!J41</f>
        <v>0.78</v>
      </c>
      <c r="J85" s="65">
        <f>ROUND((ROUND((ROUND(G85,2)*(1+'2017 Determination - Revenue'!$F$18)),2))*(1+'2017 Determination - Revenue'!$G$18),2)</f>
        <v>0.78</v>
      </c>
      <c r="K85" s="187">
        <f t="shared" si="60"/>
        <v>0</v>
      </c>
      <c r="L85" s="49"/>
      <c r="N85" s="148"/>
      <c r="O85" s="148"/>
      <c r="P85" s="148"/>
      <c r="Q85" s="148"/>
      <c r="R85" s="148"/>
      <c r="S85" s="148"/>
    </row>
    <row r="86" spans="2:19" ht="12.75" thickBot="1" x14ac:dyDescent="0.25">
      <c r="B86" s="48" t="str">
        <f>'2017 Determination - Revenue'!B$35</f>
        <v>Murrumbidgee</v>
      </c>
      <c r="C86" s="43" t="str">
        <f t="shared" si="59"/>
        <v>$/ML</v>
      </c>
      <c r="D86" s="43"/>
      <c r="E86" s="43"/>
      <c r="F86" s="228">
        <f>'2017 Determination - charges'!F42</f>
        <v>1.1144947783604038</v>
      </c>
      <c r="G86" s="182">
        <f>(('MDB calcs'!G167/'MDB calcs'!G138)*1000)</f>
        <v>1.1145188267602932</v>
      </c>
      <c r="H86" s="185"/>
      <c r="I86" s="65">
        <f>'2017 Determination - charges'!J42</f>
        <v>1.1499999999999999</v>
      </c>
      <c r="J86" s="65">
        <f>ROUND((ROUND((ROUND(G86,2)*(1+'2017 Determination - Revenue'!$F$18)),2))*(1+'2017 Determination - Revenue'!$G$18),2)</f>
        <v>1.1499999999999999</v>
      </c>
      <c r="K86" s="187">
        <f t="shared" si="60"/>
        <v>0</v>
      </c>
      <c r="L86" s="49"/>
      <c r="N86" s="148"/>
      <c r="O86" s="148"/>
      <c r="P86" s="148"/>
      <c r="Q86" s="148"/>
      <c r="R86" s="148"/>
      <c r="S86" s="148"/>
    </row>
    <row r="87" spans="2:19" ht="12.75" thickTop="1" x14ac:dyDescent="0.2">
      <c r="B87" s="48" t="str">
        <f>'2017 Determination - Revenue'!B$36</f>
        <v>Lowbidgee</v>
      </c>
      <c r="C87" s="43" t="str">
        <f>$C$27</f>
        <v>$/ML</v>
      </c>
      <c r="D87" s="43"/>
      <c r="E87" s="43"/>
      <c r="F87" s="228">
        <f>'2017 Determination - charges'!F43</f>
        <v>0.7831544756319907</v>
      </c>
      <c r="G87" s="144">
        <f>(('MDB calcs'!G156/'MDB calcs'!G139)*1000)</f>
        <v>0.78328421327595998</v>
      </c>
      <c r="H87" s="185"/>
      <c r="I87" s="65">
        <f>'2017 Determination - charges'!J43</f>
        <v>0.82</v>
      </c>
      <c r="J87" s="65">
        <f>ROUND((ROUND((ROUND(G87,2)*(1+'2017 Determination - Revenue'!$F$18)),2))*(1+'2017 Determination - Revenue'!$G$18),2)</f>
        <v>0.82</v>
      </c>
      <c r="K87" s="187">
        <f t="shared" si="60"/>
        <v>0</v>
      </c>
      <c r="L87" s="49"/>
      <c r="N87" s="148"/>
      <c r="O87" s="148"/>
      <c r="P87" s="148"/>
      <c r="Q87" s="148"/>
      <c r="R87" s="148"/>
      <c r="S87" s="148"/>
    </row>
    <row r="88" spans="2:19" x14ac:dyDescent="0.2">
      <c r="B88" s="88"/>
      <c r="C88" s="43"/>
      <c r="D88" s="43"/>
      <c r="E88" s="43"/>
      <c r="F88" s="96"/>
      <c r="G88" s="96"/>
      <c r="H88" s="185"/>
      <c r="I88" s="65"/>
      <c r="J88" s="65"/>
      <c r="K88" s="187"/>
      <c r="L88" s="49"/>
      <c r="N88" s="148"/>
      <c r="O88" s="148"/>
      <c r="P88" s="148"/>
      <c r="Q88" s="148"/>
      <c r="R88" s="148"/>
      <c r="S88" s="148"/>
    </row>
    <row r="89" spans="2:19" x14ac:dyDescent="0.2">
      <c r="B89" s="55" t="str">
        <f>B$48</f>
        <v>High security entitlement charges</v>
      </c>
      <c r="C89" s="43"/>
      <c r="D89" s="43"/>
      <c r="E89" s="43"/>
      <c r="F89" s="185"/>
      <c r="G89" s="43"/>
      <c r="H89" s="43"/>
      <c r="I89" s="65"/>
      <c r="J89" s="65"/>
      <c r="K89" s="187"/>
      <c r="L89" s="49"/>
      <c r="N89" s="148"/>
      <c r="O89" s="148"/>
      <c r="P89" s="148"/>
      <c r="Q89" s="148"/>
      <c r="R89" s="148"/>
      <c r="S89" s="148"/>
    </row>
    <row r="90" spans="2:19" x14ac:dyDescent="0.2">
      <c r="B90" s="48" t="str">
        <f>'2017 Determination - Revenue'!B$28</f>
        <v>Border</v>
      </c>
      <c r="C90" s="43" t="str">
        <f>$C$27</f>
        <v>$/ML</v>
      </c>
      <c r="D90" s="43"/>
      <c r="E90" s="43"/>
      <c r="F90" s="228">
        <f>'2017 Determination - charges'!F52</f>
        <v>5.3280912819709219</v>
      </c>
      <c r="G90" s="144">
        <f>(G79*'MDB calcs'!G114)</f>
        <v>5.0764515698410566</v>
      </c>
      <c r="H90" s="94"/>
      <c r="I90" s="65">
        <f>'2017 Determination - charges'!J52</f>
        <v>5.54</v>
      </c>
      <c r="J90" s="65">
        <f>ROUND((ROUND((ROUND(G90,2)*(1+'2017 Determination - Revenue'!$F$18)),2))*(1+'2017 Determination - Revenue'!$G$18),2)</f>
        <v>5.29</v>
      </c>
      <c r="K90" s="187">
        <f>IF(I90=0,"na",J90/I90-1)</f>
        <v>-4.5126353790613694E-2</v>
      </c>
      <c r="L90" s="49"/>
      <c r="N90" s="148"/>
      <c r="O90" s="148"/>
      <c r="P90" s="148"/>
      <c r="Q90" s="148"/>
      <c r="R90" s="148"/>
      <c r="S90" s="148"/>
    </row>
    <row r="91" spans="2:19" x14ac:dyDescent="0.2">
      <c r="B91" s="48" t="str">
        <f>'2017 Determination - Revenue'!B$29</f>
        <v>Gwydir</v>
      </c>
      <c r="C91" s="43" t="str">
        <f t="shared" ref="C91:C97" si="61">$C$27</f>
        <v>$/ML</v>
      </c>
      <c r="D91" s="43"/>
      <c r="E91" s="43"/>
      <c r="F91" s="228">
        <f>'2017 Determination - charges'!F53</f>
        <v>11.081245442126379</v>
      </c>
      <c r="G91" s="144">
        <f>(G80*'MDB calcs'!G115)</f>
        <v>11.042211204680088</v>
      </c>
      <c r="H91" s="94"/>
      <c r="I91" s="65">
        <f>'2017 Determination - charges'!J53</f>
        <v>11.52</v>
      </c>
      <c r="J91" s="65">
        <f>ROUND((ROUND((ROUND(G91,2)*(1+'2017 Determination - Revenue'!$F$18)),2))*(1+'2017 Determination - Revenue'!$G$18),2)</f>
        <v>11.48</v>
      </c>
      <c r="K91" s="187">
        <f t="shared" ref="K91:K98" si="62">IF(I91=0,"na",J91/I91-1)</f>
        <v>-3.4722222222220989E-3</v>
      </c>
      <c r="L91" s="49"/>
      <c r="N91" s="148"/>
      <c r="O91" s="148"/>
      <c r="P91" s="148"/>
      <c r="Q91" s="148"/>
      <c r="R91" s="148"/>
      <c r="S91" s="148"/>
    </row>
    <row r="92" spans="2:19" x14ac:dyDescent="0.2">
      <c r="B92" s="48" t="str">
        <f>'2017 Determination - Revenue'!B$30</f>
        <v>Namoi</v>
      </c>
      <c r="C92" s="43" t="str">
        <f t="shared" si="61"/>
        <v>$/ML</v>
      </c>
      <c r="D92" s="43"/>
      <c r="E92" s="43"/>
      <c r="F92" s="228">
        <f>'2017 Determination - charges'!F54</f>
        <v>17.078806213771792</v>
      </c>
      <c r="G92" s="144">
        <f>(G81*'MDB calcs'!G116)</f>
        <v>16.761594789902677</v>
      </c>
      <c r="H92" s="94"/>
      <c r="I92" s="65">
        <f>'2017 Determination - charges'!J54</f>
        <v>17.77</v>
      </c>
      <c r="J92" s="65">
        <f>ROUND((ROUND((ROUND(G92,2)*(1+'2017 Determination - Revenue'!$F$18)),2))*(1+'2017 Determination - Revenue'!$G$18),2)</f>
        <v>17.440000000000001</v>
      </c>
      <c r="K92" s="187">
        <f t="shared" si="62"/>
        <v>-1.8570624648283518E-2</v>
      </c>
      <c r="L92" s="49"/>
      <c r="N92" s="148"/>
      <c r="O92" s="148"/>
      <c r="P92" s="148"/>
      <c r="Q92" s="148"/>
      <c r="R92" s="148"/>
      <c r="S92" s="148"/>
    </row>
    <row r="93" spans="2:19" x14ac:dyDescent="0.2">
      <c r="B93" s="48" t="str">
        <f>'2017 Determination - Revenue'!B$31</f>
        <v>Peel</v>
      </c>
      <c r="C93" s="43" t="str">
        <f t="shared" si="61"/>
        <v>$/ML</v>
      </c>
      <c r="D93" s="43"/>
      <c r="E93" s="43"/>
      <c r="F93" s="228">
        <f>'2017 Determination - charges'!F55</f>
        <v>20.78395133436014</v>
      </c>
      <c r="G93" s="144">
        <f>(G82*'MDB calcs'!G117)</f>
        <v>41.401125251337078</v>
      </c>
      <c r="H93" s="94"/>
      <c r="I93" s="65">
        <f>'2017 Determination - charges'!J55</f>
        <v>43.25</v>
      </c>
      <c r="J93" s="65">
        <f>ROUND((ROUND((ROUND(G93,2)*(1+'2017 Determination - Revenue'!$F$18)),2))*(1+'2017 Determination - Revenue'!$G$18),2)</f>
        <v>43.07</v>
      </c>
      <c r="K93" s="187">
        <f t="shared" si="62"/>
        <v>-4.1618497109826569E-3</v>
      </c>
      <c r="L93" s="49"/>
      <c r="N93" s="148"/>
      <c r="O93" s="148"/>
      <c r="P93" s="148"/>
      <c r="Q93" s="148"/>
      <c r="R93" s="148"/>
      <c r="S93" s="148"/>
    </row>
    <row r="94" spans="2:19" x14ac:dyDescent="0.2">
      <c r="B94" s="48" t="str">
        <f>'2017 Determination - Revenue'!B$32</f>
        <v>Lachlan</v>
      </c>
      <c r="C94" s="43" t="str">
        <f t="shared" si="61"/>
        <v>$/ML</v>
      </c>
      <c r="D94" s="43"/>
      <c r="E94" s="43"/>
      <c r="F94" s="228">
        <f>'2017 Determination - charges'!F56</f>
        <v>15.379109814709489</v>
      </c>
      <c r="G94" s="144">
        <f>(G83*'MDB calcs'!G118)</f>
        <v>14.867665553751058</v>
      </c>
      <c r="H94" s="94"/>
      <c r="I94" s="65">
        <f>'2017 Determination - charges'!J56</f>
        <v>16</v>
      </c>
      <c r="J94" s="65">
        <f>ROUND((ROUND((ROUND(G94,2)*(1+'2017 Determination - Revenue'!$F$18)),2))*(1+'2017 Determination - Revenue'!$G$18),2)</f>
        <v>15.47</v>
      </c>
      <c r="K94" s="187">
        <f t="shared" si="62"/>
        <v>-3.312499999999996E-2</v>
      </c>
      <c r="L94" s="49"/>
      <c r="N94" s="148"/>
      <c r="O94" s="148"/>
      <c r="P94" s="148"/>
      <c r="Q94" s="148"/>
      <c r="R94" s="148"/>
      <c r="S94" s="148"/>
    </row>
    <row r="95" spans="2:19" x14ac:dyDescent="0.2">
      <c r="B95" s="48" t="str">
        <f>'2017 Determination - Revenue'!B$33</f>
        <v>Macquarie</v>
      </c>
      <c r="C95" s="43" t="str">
        <f t="shared" si="61"/>
        <v>$/ML</v>
      </c>
      <c r="D95" s="43"/>
      <c r="E95" s="43"/>
      <c r="F95" s="228">
        <f>'2017 Determination - charges'!F57</f>
        <v>13.514162012252285</v>
      </c>
      <c r="G95" s="144">
        <f>(G84*'MDB calcs'!G119)</f>
        <v>13.3257587341638</v>
      </c>
      <c r="H95" s="94"/>
      <c r="I95" s="65">
        <f>'2017 Determination - charges'!J57</f>
        <v>14.05</v>
      </c>
      <c r="J95" s="65">
        <f>ROUND((ROUND((ROUND(G95,2)*(1+'2017 Determination - Revenue'!$F$18)),2))*(1+'2017 Determination - Revenue'!$G$18),2)</f>
        <v>13.87</v>
      </c>
      <c r="K95" s="187">
        <f t="shared" si="62"/>
        <v>-1.2811387900355964E-2</v>
      </c>
      <c r="L95" s="49"/>
      <c r="N95" s="148"/>
      <c r="O95" s="148"/>
      <c r="P95" s="148"/>
      <c r="Q95" s="148"/>
      <c r="R95" s="148"/>
      <c r="S95" s="148"/>
    </row>
    <row r="96" spans="2:19" x14ac:dyDescent="0.2">
      <c r="B96" s="48" t="str">
        <f>'2017 Determination - Revenue'!B$34</f>
        <v>Murray</v>
      </c>
      <c r="C96" s="43" t="str">
        <f t="shared" si="61"/>
        <v>$/ML</v>
      </c>
      <c r="D96" s="43"/>
      <c r="E96" s="43"/>
      <c r="F96" s="228">
        <f>'2017 Determination - charges'!F58</f>
        <v>1.5377364390374406</v>
      </c>
      <c r="G96" s="144">
        <f>(G85*'MDB calcs'!G120)</f>
        <v>1.5377555998804464</v>
      </c>
      <c r="H96" s="94"/>
      <c r="I96" s="65">
        <f>'2017 Determination - charges'!J58</f>
        <v>1.6</v>
      </c>
      <c r="J96" s="65">
        <f>ROUND((ROUND((ROUND(G96,2)*(1+'2017 Determination - Revenue'!$F$18)),2))*(1+'2017 Determination - Revenue'!$G$18),2)</f>
        <v>1.6</v>
      </c>
      <c r="K96" s="187">
        <f t="shared" si="62"/>
        <v>0</v>
      </c>
      <c r="L96" s="49"/>
      <c r="N96" s="148"/>
      <c r="O96" s="148"/>
      <c r="P96" s="148"/>
      <c r="Q96" s="148"/>
      <c r="R96" s="148"/>
      <c r="S96" s="148"/>
    </row>
    <row r="97" spans="2:19" x14ac:dyDescent="0.2">
      <c r="B97" s="48" t="str">
        <f>'2017 Determination - Revenue'!B$35</f>
        <v>Murrumbidgee</v>
      </c>
      <c r="C97" s="43" t="str">
        <f t="shared" si="61"/>
        <v>$/ML</v>
      </c>
      <c r="D97" s="43"/>
      <c r="E97" s="43"/>
      <c r="F97" s="228">
        <f>'2017 Determination - charges'!F59</f>
        <v>2.9532745157454201</v>
      </c>
      <c r="G97" s="144">
        <f>(G86*'MDB calcs'!G121)</f>
        <v>2.9533482054206868</v>
      </c>
      <c r="H97" s="94"/>
      <c r="I97" s="65">
        <f>'2017 Determination - charges'!J59</f>
        <v>3.07</v>
      </c>
      <c r="J97" s="65">
        <f>ROUND((ROUND((ROUND(G97,2)*(1+'2017 Determination - Revenue'!$F$18)),2))*(1+'2017 Determination - Revenue'!$G$18),2)</f>
        <v>3.07</v>
      </c>
      <c r="K97" s="187">
        <f t="shared" si="62"/>
        <v>0</v>
      </c>
      <c r="L97" s="49"/>
      <c r="N97" s="148"/>
      <c r="O97" s="148"/>
      <c r="P97" s="148"/>
      <c r="Q97" s="148"/>
      <c r="R97" s="148"/>
      <c r="S97" s="148"/>
    </row>
    <row r="98" spans="2:19" x14ac:dyDescent="0.2">
      <c r="B98" s="48" t="str">
        <f>'2017 Determination - Revenue'!B$36</f>
        <v>Lowbidgee</v>
      </c>
      <c r="C98" s="43" t="str">
        <f>$C$27</f>
        <v>$/ML</v>
      </c>
      <c r="D98" s="43"/>
      <c r="E98" s="43"/>
      <c r="F98" s="229">
        <v>0</v>
      </c>
      <c r="G98" s="144">
        <v>0</v>
      </c>
      <c r="H98" s="32"/>
      <c r="I98" s="65">
        <f>'2017 Determination - charges'!J60</f>
        <v>0</v>
      </c>
      <c r="J98" s="65">
        <f>ROUND((ROUND((ROUND(G98,2)*(1+'2017 Determination - Revenue'!$F$18)),2))*(1+'2017 Determination - Revenue'!$G$18),2)</f>
        <v>0</v>
      </c>
      <c r="K98" s="187" t="str">
        <f t="shared" si="62"/>
        <v>na</v>
      </c>
      <c r="L98" s="49"/>
      <c r="O98" s="65"/>
      <c r="P98" s="142"/>
      <c r="Q98" s="97"/>
      <c r="R98" s="97"/>
      <c r="S98" s="148"/>
    </row>
    <row r="99" spans="2:19" x14ac:dyDescent="0.2">
      <c r="B99" s="88" t="s">
        <v>34</v>
      </c>
      <c r="C99" s="43"/>
      <c r="D99" s="43"/>
      <c r="E99" s="43"/>
      <c r="F99" s="96"/>
      <c r="G99" s="96">
        <f>SUMPRODUCT(G79:G87,'MDB calcs'!G114:G122)-SUM(G90:G98)</f>
        <v>0</v>
      </c>
      <c r="H99" s="96"/>
      <c r="I99" s="217"/>
      <c r="J99" s="217"/>
      <c r="K99" s="44"/>
      <c r="L99" s="49"/>
      <c r="O99" s="65"/>
      <c r="P99" s="142"/>
      <c r="Q99" s="97"/>
      <c r="R99" s="97"/>
      <c r="S99" s="148"/>
    </row>
    <row r="100" spans="2:19" x14ac:dyDescent="0.2">
      <c r="B100" s="50"/>
      <c r="C100" s="41"/>
      <c r="D100" s="41"/>
      <c r="E100" s="41"/>
      <c r="F100" s="41"/>
      <c r="G100" s="41"/>
      <c r="H100" s="41"/>
      <c r="I100" s="41"/>
      <c r="J100" s="41"/>
      <c r="K100" s="42"/>
      <c r="L100" s="51"/>
      <c r="O100" s="65"/>
      <c r="P100" s="142"/>
      <c r="Q100" s="97"/>
      <c r="R100" s="97"/>
      <c r="S100" s="148"/>
    </row>
    <row r="101" spans="2:19" x14ac:dyDescent="0.2">
      <c r="K101" s="186"/>
      <c r="N101" s="148"/>
      <c r="O101" s="65"/>
      <c r="P101" s="142"/>
      <c r="Q101" s="97"/>
      <c r="R101" s="97"/>
      <c r="S101" s="148"/>
    </row>
    <row r="102" spans="2:19" x14ac:dyDescent="0.2">
      <c r="K102" s="186"/>
      <c r="N102" s="148"/>
      <c r="O102" s="65"/>
      <c r="P102" s="142"/>
      <c r="Q102" s="97"/>
      <c r="R102" s="97"/>
      <c r="S102" s="148"/>
    </row>
    <row r="103" spans="2:19" x14ac:dyDescent="0.2">
      <c r="B103" s="38" t="s">
        <v>139</v>
      </c>
      <c r="I103" s="148"/>
      <c r="K103" s="186"/>
      <c r="N103" s="148"/>
      <c r="O103" s="65"/>
      <c r="P103" s="142"/>
      <c r="Q103" s="97"/>
      <c r="R103" s="97"/>
      <c r="S103" s="148"/>
    </row>
    <row r="104" spans="2:19" x14ac:dyDescent="0.2">
      <c r="B104" s="45" t="str">
        <f>'2017 Determination - Revenue'!B$16</f>
        <v>Financial year</v>
      </c>
      <c r="C104" s="46" t="str">
        <f>'2017 Determination - Revenue'!C$23</f>
        <v>Units</v>
      </c>
      <c r="D104" s="46"/>
      <c r="E104" s="46"/>
      <c r="F104" s="175" t="str">
        <f>'2017 Determination - Revenue'!F$16</f>
        <v>2017-18</v>
      </c>
      <c r="G104" s="175" t="str">
        <f>'2017 Determination - Revenue'!G$16</f>
        <v>2018-19</v>
      </c>
      <c r="H104" s="52"/>
      <c r="I104" s="1" t="str">
        <f>I$23</f>
        <v>2018-19 charges expressed in $2018-19</v>
      </c>
      <c r="J104" s="226"/>
      <c r="K104" s="190" t="str">
        <f>$K$23</f>
        <v xml:space="preserve">Difference between </v>
      </c>
      <c r="L104" s="47"/>
      <c r="O104" s="65"/>
      <c r="P104" s="142"/>
      <c r="Q104" s="97"/>
      <c r="R104" s="97"/>
      <c r="S104" s="148"/>
    </row>
    <row r="105" spans="2:19" s="148" customFormat="1" ht="48" x14ac:dyDescent="0.2">
      <c r="B105" s="48"/>
      <c r="C105" s="43"/>
      <c r="D105" s="43"/>
      <c r="E105" s="43"/>
      <c r="F105" s="224" t="str">
        <f>F$24</f>
        <v>2017 Determination charges</v>
      </c>
      <c r="G105" s="224" t="str">
        <f>G$24</f>
        <v>Re-calculated charges</v>
      </c>
      <c r="H105" s="163"/>
      <c r="I105" s="224" t="str">
        <f>F105</f>
        <v>2017 Determination charges</v>
      </c>
      <c r="J105" s="224" t="str">
        <f>G105</f>
        <v>Re-calculated charges</v>
      </c>
      <c r="K105" s="231" t="str">
        <f>$K$24</f>
        <v xml:space="preserve"> 2018-19 calculated and determination charges</v>
      </c>
      <c r="L105" s="49"/>
      <c r="M105" s="93"/>
      <c r="O105" s="65"/>
      <c r="P105" s="142"/>
      <c r="Q105" s="97"/>
      <c r="R105" s="97"/>
    </row>
    <row r="106" spans="2:19" x14ac:dyDescent="0.2">
      <c r="B106" s="48"/>
      <c r="C106" s="43"/>
      <c r="D106" s="43"/>
      <c r="E106" s="43"/>
      <c r="F106" s="213" t="str">
        <f>'2017 Determination - Revenue'!$F$24</f>
        <v>$2016-17</v>
      </c>
      <c r="G106" s="213" t="str">
        <f>'2017 Determination - Revenue'!$F$24</f>
        <v>$2016-17</v>
      </c>
      <c r="H106" s="54"/>
      <c r="I106" s="213" t="str">
        <f>I$25</f>
        <v>$2018-19</v>
      </c>
      <c r="J106" s="213" t="str">
        <f>J$25</f>
        <v>$2018-19</v>
      </c>
      <c r="K106" s="216" t="str">
        <f>$K$25</f>
        <v>%</v>
      </c>
      <c r="L106" s="49"/>
      <c r="O106" s="65"/>
      <c r="P106" s="142"/>
      <c r="Q106" s="97"/>
      <c r="R106" s="97"/>
      <c r="S106" s="148"/>
    </row>
    <row r="107" spans="2:19" x14ac:dyDescent="0.2">
      <c r="B107" s="55" t="str">
        <f>B$26</f>
        <v>Usage charges</v>
      </c>
      <c r="C107" s="43"/>
      <c r="D107" s="43"/>
      <c r="E107" s="43"/>
      <c r="F107" s="43"/>
      <c r="G107" s="43"/>
      <c r="H107" s="43"/>
      <c r="I107" s="43"/>
      <c r="J107" s="44"/>
      <c r="K107" s="44"/>
      <c r="L107" s="49"/>
      <c r="O107" s="65"/>
      <c r="P107" s="142"/>
      <c r="Q107" s="97"/>
      <c r="R107" s="97"/>
      <c r="S107" s="148"/>
    </row>
    <row r="108" spans="2:19" x14ac:dyDescent="0.2">
      <c r="B108" s="48" t="str">
        <f>'2017 Determination - Revenue'!B$28</f>
        <v>Border</v>
      </c>
      <c r="C108" s="43" t="str">
        <f>$C$27</f>
        <v>$/ML</v>
      </c>
      <c r="D108" s="43"/>
      <c r="E108" s="43"/>
      <c r="F108" s="201">
        <f>'2017 Determination - charges'!F69</f>
        <v>0.78386903671713781</v>
      </c>
      <c r="G108" s="91">
        <f>(('MDB calcs'!G202/'MDB calcs'!G21)*1000)</f>
        <v>0.76768089838469111</v>
      </c>
      <c r="H108" s="97"/>
      <c r="I108" s="65">
        <f>'2017 Determination - charges'!J69</f>
        <v>0.82</v>
      </c>
      <c r="J108" s="65">
        <f>ROUND((ROUND((G108*(1+'2017 Determination - Revenue'!$F$18)),2))*(1+'2017 Determination - Revenue'!$G$18),2)</f>
        <v>0.79</v>
      </c>
      <c r="K108" s="187">
        <f>IF(J108=0,"na",J108/I108-1)</f>
        <v>-3.6585365853658458E-2</v>
      </c>
      <c r="L108" s="92"/>
      <c r="N108"/>
      <c r="O108" s="65"/>
      <c r="P108" s="142"/>
      <c r="Q108" s="97"/>
      <c r="R108" s="97"/>
      <c r="S108" s="148"/>
    </row>
    <row r="109" spans="2:19" x14ac:dyDescent="0.2">
      <c r="B109" s="48" t="str">
        <f>'2017 Determination - Revenue'!B$29</f>
        <v>Gwydir</v>
      </c>
      <c r="C109" s="43" t="str">
        <f t="shared" ref="C109:C115" si="63">$C$27</f>
        <v>$/ML</v>
      </c>
      <c r="D109" s="43"/>
      <c r="E109" s="43"/>
      <c r="F109" s="202">
        <v>0</v>
      </c>
      <c r="G109" s="144">
        <f>(('MDB calcs'!G203/'MDB calcs'!G22)*1000)</f>
        <v>0</v>
      </c>
      <c r="H109" s="97"/>
      <c r="I109" s="65">
        <v>0</v>
      </c>
      <c r="J109" s="65">
        <f>ROUND((ROUND((G109*(1+'2017 Determination - Revenue'!$F$18)),2))*(1+'2017 Determination - Revenue'!$G$18),2)</f>
        <v>0</v>
      </c>
      <c r="K109" s="187" t="str">
        <f>IF(J109=0,"na",J109/I109-1)</f>
        <v>na</v>
      </c>
      <c r="L109" s="49"/>
      <c r="N109"/>
      <c r="O109" s="65"/>
      <c r="P109" s="142"/>
      <c r="Q109" s="97"/>
      <c r="R109" s="97"/>
      <c r="S109" s="148"/>
    </row>
    <row r="110" spans="2:19" x14ac:dyDescent="0.2">
      <c r="B110" s="48" t="str">
        <f>'2017 Determination - Revenue'!B$30</f>
        <v>Namoi</v>
      </c>
      <c r="C110" s="43" t="str">
        <f t="shared" si="63"/>
        <v>$/ML</v>
      </c>
      <c r="D110" s="43"/>
      <c r="E110" s="43"/>
      <c r="F110" s="202">
        <v>0</v>
      </c>
      <c r="G110" s="144">
        <f>(('MDB calcs'!G204/'MDB calcs'!G23)*1000)</f>
        <v>0</v>
      </c>
      <c r="H110" s="97"/>
      <c r="I110" s="65">
        <v>0</v>
      </c>
      <c r="J110" s="65">
        <f>ROUND((ROUND((G110*(1+'2017 Determination - Revenue'!$F$18)),2))*(1+'2017 Determination - Revenue'!$G$18),2)</f>
        <v>0</v>
      </c>
      <c r="K110" s="187" t="str">
        <f t="shared" ref="K110:K138" si="64">IF(J110=0,"na",J110/I110-1)</f>
        <v>na</v>
      </c>
      <c r="L110" s="49"/>
      <c r="N110"/>
      <c r="O110" s="65"/>
      <c r="P110" s="142"/>
      <c r="Q110" s="97"/>
      <c r="R110" s="97"/>
      <c r="S110" s="148"/>
    </row>
    <row r="111" spans="2:19" x14ac:dyDescent="0.2">
      <c r="B111" s="48" t="str">
        <f>'2017 Determination - Revenue'!B$31</f>
        <v>Peel</v>
      </c>
      <c r="C111" s="43" t="str">
        <f t="shared" si="63"/>
        <v>$/ML</v>
      </c>
      <c r="D111" s="43"/>
      <c r="E111" s="43"/>
      <c r="F111" s="202">
        <v>0</v>
      </c>
      <c r="G111" s="144">
        <f>(('MDB calcs'!G205/'MDB calcs'!G24)*1000)</f>
        <v>0</v>
      </c>
      <c r="H111" s="97"/>
      <c r="I111" s="65">
        <v>0</v>
      </c>
      <c r="J111" s="65">
        <f>ROUND((ROUND((G111*(1+'2017 Determination - Revenue'!$F$18)),2))*(1+'2017 Determination - Revenue'!$G$18),2)</f>
        <v>0</v>
      </c>
      <c r="K111" s="187" t="str">
        <f t="shared" si="64"/>
        <v>na</v>
      </c>
      <c r="L111" s="49"/>
      <c r="N111" s="148"/>
      <c r="O111" s="65"/>
      <c r="P111" s="142"/>
      <c r="Q111" s="97"/>
      <c r="R111" s="97"/>
      <c r="S111" s="148"/>
    </row>
    <row r="112" spans="2:19" x14ac:dyDescent="0.2">
      <c r="B112" s="48" t="str">
        <f>'2017 Determination - Revenue'!B$32</f>
        <v>Lachlan</v>
      </c>
      <c r="C112" s="43" t="str">
        <f t="shared" si="63"/>
        <v>$/ML</v>
      </c>
      <c r="D112" s="43"/>
      <c r="E112" s="43"/>
      <c r="F112" s="202">
        <v>0</v>
      </c>
      <c r="G112" s="144">
        <f>(('MDB calcs'!G206/'MDB calcs'!G25)*1000)</f>
        <v>0</v>
      </c>
      <c r="H112" s="97"/>
      <c r="I112" s="65">
        <v>0</v>
      </c>
      <c r="J112" s="65">
        <f>ROUND((ROUND((G112*(1+'2017 Determination - Revenue'!$F$18)),2))*(1+'2017 Determination - Revenue'!$G$18),2)</f>
        <v>0</v>
      </c>
      <c r="K112" s="187" t="str">
        <f t="shared" si="64"/>
        <v>na</v>
      </c>
      <c r="L112" s="49"/>
      <c r="N112" s="148"/>
      <c r="O112" s="65"/>
      <c r="P112" s="142"/>
      <c r="Q112" s="97"/>
      <c r="R112" s="97"/>
      <c r="S112" s="148"/>
    </row>
    <row r="113" spans="2:19" x14ac:dyDescent="0.2">
      <c r="B113" s="48" t="str">
        <f>'2017 Determination - Revenue'!B$33</f>
        <v>Macquarie</v>
      </c>
      <c r="C113" s="43" t="str">
        <f t="shared" si="63"/>
        <v>$/ML</v>
      </c>
      <c r="D113" s="43"/>
      <c r="E113" s="43"/>
      <c r="F113" s="202">
        <v>0</v>
      </c>
      <c r="G113" s="144">
        <f>(('MDB calcs'!G207/'MDB calcs'!G26)*1000)</f>
        <v>0</v>
      </c>
      <c r="H113" s="97"/>
      <c r="I113" s="65">
        <v>0</v>
      </c>
      <c r="J113" s="65">
        <f>ROUND((ROUND((G113*(1+'2017 Determination - Revenue'!$F$18)),2))*(1+'2017 Determination - Revenue'!$G$18),2)</f>
        <v>0</v>
      </c>
      <c r="K113" s="187" t="str">
        <f t="shared" si="64"/>
        <v>na</v>
      </c>
      <c r="L113" s="49"/>
      <c r="N113" s="148"/>
      <c r="O113" s="65"/>
      <c r="P113" s="142"/>
      <c r="Q113" s="97"/>
      <c r="R113" s="97"/>
      <c r="S113" s="148"/>
    </row>
    <row r="114" spans="2:19" x14ac:dyDescent="0.2">
      <c r="B114" s="48" t="str">
        <f>'2017 Determination - Revenue'!B$34</f>
        <v>Murray</v>
      </c>
      <c r="C114" s="43" t="str">
        <f t="shared" si="63"/>
        <v>$/ML</v>
      </c>
      <c r="D114" s="43"/>
      <c r="E114" s="43"/>
      <c r="F114" s="201">
        <f>'2017 Determination - charges'!F70</f>
        <v>1.4985294573379557</v>
      </c>
      <c r="G114" s="144">
        <f>(('MDB calcs'!G208/'MDB calcs'!G27)*1000)</f>
        <v>1.5335036447488337</v>
      </c>
      <c r="H114" s="97"/>
      <c r="I114" s="65">
        <f>'2017 Determination - charges'!J70</f>
        <v>1.56</v>
      </c>
      <c r="J114" s="65">
        <f>ROUND((ROUND((G114*(1+'2017 Determination - Revenue'!$F$18)),2))*(1+'2017 Determination - Revenue'!$G$18),2)</f>
        <v>1.6</v>
      </c>
      <c r="K114" s="187">
        <f>IF(J114=0,"na",J114/I114-1)</f>
        <v>2.5641025641025772E-2</v>
      </c>
      <c r="L114" s="49"/>
      <c r="N114" s="148"/>
      <c r="O114" s="65"/>
      <c r="P114" s="142"/>
      <c r="Q114" s="97"/>
      <c r="R114" s="97"/>
      <c r="S114" s="148"/>
    </row>
    <row r="115" spans="2:19" x14ac:dyDescent="0.2">
      <c r="B115" s="48" t="str">
        <f>'2017 Determination - Revenue'!B$35</f>
        <v>Murrumbidgee</v>
      </c>
      <c r="C115" s="43" t="str">
        <f t="shared" si="63"/>
        <v>$/ML</v>
      </c>
      <c r="D115" s="43"/>
      <c r="E115" s="43"/>
      <c r="F115" s="201">
        <f>'2017 Determination - charges'!F71</f>
        <v>0.3005578181756689</v>
      </c>
      <c r="G115" s="144">
        <f>(('MDB calcs'!G209/'MDB calcs'!G28)*1000)</f>
        <v>0.30794560519035824</v>
      </c>
      <c r="H115" s="97"/>
      <c r="I115" s="65">
        <f>'2017 Determination - charges'!J71</f>
        <v>0.32</v>
      </c>
      <c r="J115" s="65">
        <f>ROUND((ROUND((G115*(1+'2017 Determination - Revenue'!$F$18)),2))*(1+'2017 Determination - Revenue'!$G$18),2)</f>
        <v>0.32</v>
      </c>
      <c r="K115" s="187">
        <f t="shared" si="64"/>
        <v>0</v>
      </c>
      <c r="L115" s="49"/>
      <c r="N115" s="148"/>
      <c r="O115" s="65"/>
      <c r="P115" s="142"/>
      <c r="Q115" s="97"/>
      <c r="R115" s="97"/>
      <c r="S115" s="148"/>
    </row>
    <row r="116" spans="2:19" x14ac:dyDescent="0.2">
      <c r="B116" s="48" t="str">
        <f>'2017 Determination - Revenue'!B$36</f>
        <v>Lowbidgee</v>
      </c>
      <c r="C116" s="43" t="str">
        <f>$C$27</f>
        <v>$/ML</v>
      </c>
      <c r="D116" s="43"/>
      <c r="E116" s="43"/>
      <c r="F116" s="202">
        <v>0</v>
      </c>
      <c r="G116" s="144">
        <f>(('MDB calcs'!G210/'MDB calcs'!G29)*1000)</f>
        <v>0</v>
      </c>
      <c r="H116" s="97"/>
      <c r="I116" s="65">
        <v>0</v>
      </c>
      <c r="J116" s="65">
        <f>ROUND((ROUND((G116*(1+'2017 Determination - Revenue'!$F$18)),2))*(1+'2017 Determination - Revenue'!$G$18),2)</f>
        <v>0</v>
      </c>
      <c r="K116" s="187" t="str">
        <f t="shared" si="64"/>
        <v>na</v>
      </c>
      <c r="L116" s="49"/>
      <c r="N116" s="148"/>
      <c r="O116" s="65"/>
      <c r="P116" s="142"/>
      <c r="Q116" s="97"/>
      <c r="R116" s="97"/>
      <c r="S116" s="148"/>
    </row>
    <row r="117" spans="2:19" x14ac:dyDescent="0.2">
      <c r="B117" s="88" t="s">
        <v>34</v>
      </c>
      <c r="C117" s="43"/>
      <c r="D117" s="43"/>
      <c r="E117" s="43"/>
      <c r="F117" s="183"/>
      <c r="G117" s="96">
        <f>SUM(G108:G115)-((SUMPRODUCT('MDB calcs'!G202:G209/'MDB calcs'!G21:G28))*1000)</f>
        <v>0</v>
      </c>
      <c r="H117" s="96"/>
      <c r="I117" s="65"/>
      <c r="J117" s="65"/>
      <c r="K117" s="187"/>
      <c r="L117" s="49"/>
      <c r="N117" s="148"/>
      <c r="O117" s="65"/>
      <c r="P117" s="142"/>
      <c r="Q117" s="97"/>
      <c r="R117" s="97"/>
      <c r="S117" s="148"/>
    </row>
    <row r="118" spans="2:19" x14ac:dyDescent="0.2">
      <c r="B118" s="55" t="str">
        <f>B$37</f>
        <v>General security entitlement charges</v>
      </c>
      <c r="C118" s="43"/>
      <c r="D118" s="43"/>
      <c r="E118" s="43"/>
      <c r="F118" s="43"/>
      <c r="G118" s="43"/>
      <c r="H118" s="43"/>
      <c r="I118" s="65"/>
      <c r="J118" s="65"/>
      <c r="K118" s="187"/>
      <c r="L118" s="49"/>
      <c r="N118" s="148"/>
      <c r="O118" s="65"/>
      <c r="P118" s="142"/>
      <c r="Q118" s="97"/>
      <c r="R118" s="97"/>
      <c r="S118" s="148"/>
    </row>
    <row r="119" spans="2:19" x14ac:dyDescent="0.2">
      <c r="B119" s="48" t="str">
        <f>'2017 Determination - Revenue'!B$28</f>
        <v>Border</v>
      </c>
      <c r="C119" s="43" t="str">
        <f>$C$27</f>
        <v>$/ML</v>
      </c>
      <c r="D119" s="43"/>
      <c r="E119" s="43"/>
      <c r="F119" s="201">
        <f>'2017 Determination - charges'!F74</f>
        <v>1.7103348160629046</v>
      </c>
      <c r="G119" s="91">
        <f>(('MDB calcs'!G190/'MDB calcs'!G131)*1000)</f>
        <v>1.7127102210273051</v>
      </c>
      <c r="H119" s="97"/>
      <c r="I119" s="65">
        <f>'2017 Determination - charges'!J74</f>
        <v>1.78</v>
      </c>
      <c r="J119" s="65">
        <f>ROUND((ROUND((G119*(1+'2017 Determination - Revenue'!$F$18)),2))*(1+'2017 Determination - Revenue'!$G$18),2)</f>
        <v>1.78</v>
      </c>
      <c r="K119" s="187">
        <f>IF(J119=0,"na",J119/I119-1)</f>
        <v>0</v>
      </c>
      <c r="L119" s="49"/>
      <c r="N119"/>
      <c r="O119" s="65"/>
      <c r="P119" s="142"/>
      <c r="Q119" s="97"/>
      <c r="R119" s="97"/>
      <c r="S119" s="148"/>
    </row>
    <row r="120" spans="2:19" x14ac:dyDescent="0.2">
      <c r="B120" s="48" t="str">
        <f>'2017 Determination - Revenue'!B$29</f>
        <v>Gwydir</v>
      </c>
      <c r="C120" s="43" t="str">
        <f t="shared" ref="C120:C126" si="65">$C$27</f>
        <v>$/ML</v>
      </c>
      <c r="D120" s="43"/>
      <c r="E120" s="43"/>
      <c r="F120" s="202">
        <v>0</v>
      </c>
      <c r="G120" s="144">
        <f>(('MDB calcs'!G191/'MDB calcs'!G132)*1000)</f>
        <v>0</v>
      </c>
      <c r="H120" s="97"/>
      <c r="I120" s="65">
        <v>0</v>
      </c>
      <c r="J120" s="65">
        <f>ROUND((ROUND((G120*(1+'2017 Determination - Revenue'!$F$18)),2))*(1+'2017 Determination - Revenue'!$G$18),2)</f>
        <v>0</v>
      </c>
      <c r="K120" s="187" t="str">
        <f t="shared" si="64"/>
        <v>na</v>
      </c>
      <c r="L120" s="49"/>
      <c r="N120"/>
      <c r="O120" s="65"/>
      <c r="P120" s="142"/>
      <c r="Q120" s="97"/>
      <c r="R120" s="97"/>
      <c r="S120" s="148"/>
    </row>
    <row r="121" spans="2:19" x14ac:dyDescent="0.2">
      <c r="B121" s="48" t="str">
        <f>'2017 Determination - Revenue'!B$30</f>
        <v>Namoi</v>
      </c>
      <c r="C121" s="43" t="str">
        <f t="shared" si="65"/>
        <v>$/ML</v>
      </c>
      <c r="D121" s="43"/>
      <c r="E121" s="43"/>
      <c r="F121" s="202">
        <v>0</v>
      </c>
      <c r="G121" s="144">
        <f>(('MDB calcs'!G192/'MDB calcs'!G133)*1000)</f>
        <v>0</v>
      </c>
      <c r="H121" s="97"/>
      <c r="I121" s="65">
        <v>0</v>
      </c>
      <c r="J121" s="65">
        <f>ROUND((ROUND((G121*(1+'2017 Determination - Revenue'!$F$18)),2))*(1+'2017 Determination - Revenue'!$G$18),2)</f>
        <v>0</v>
      </c>
      <c r="K121" s="187" t="str">
        <f t="shared" si="64"/>
        <v>na</v>
      </c>
      <c r="L121" s="49"/>
      <c r="N121"/>
      <c r="O121" s="65"/>
      <c r="P121" s="142"/>
      <c r="Q121" s="97"/>
      <c r="R121" s="97"/>
      <c r="S121" s="148"/>
    </row>
    <row r="122" spans="2:19" x14ac:dyDescent="0.2">
      <c r="B122" s="48" t="str">
        <f>'2017 Determination - Revenue'!B$31</f>
        <v>Peel</v>
      </c>
      <c r="C122" s="43" t="str">
        <f t="shared" si="65"/>
        <v>$/ML</v>
      </c>
      <c r="D122" s="43"/>
      <c r="E122" s="43"/>
      <c r="F122" s="202">
        <v>0</v>
      </c>
      <c r="G122" s="144">
        <f>(('MDB calcs'!G193/'MDB calcs'!G134)*1000)</f>
        <v>0</v>
      </c>
      <c r="H122" s="97"/>
      <c r="I122" s="65">
        <v>0</v>
      </c>
      <c r="J122" s="65">
        <f>ROUND((ROUND((G122*(1+'2017 Determination - Revenue'!$F$18)),2))*(1+'2017 Determination - Revenue'!$G$18),2)</f>
        <v>0</v>
      </c>
      <c r="K122" s="187" t="str">
        <f t="shared" si="64"/>
        <v>na</v>
      </c>
      <c r="L122" s="49"/>
      <c r="N122" s="148"/>
      <c r="O122" s="65"/>
      <c r="P122" s="142"/>
      <c r="Q122" s="97"/>
      <c r="R122" s="97"/>
      <c r="S122" s="148"/>
    </row>
    <row r="123" spans="2:19" x14ac:dyDescent="0.2">
      <c r="B123" s="48" t="str">
        <f>'2017 Determination - Revenue'!B$32</f>
        <v>Lachlan</v>
      </c>
      <c r="C123" s="43" t="str">
        <f t="shared" si="65"/>
        <v>$/ML</v>
      </c>
      <c r="D123" s="43"/>
      <c r="E123" s="43"/>
      <c r="F123" s="202">
        <v>0</v>
      </c>
      <c r="G123" s="144">
        <f>(('MDB calcs'!G194/'MDB calcs'!G135)*1000)</f>
        <v>0</v>
      </c>
      <c r="H123" s="97"/>
      <c r="I123" s="65">
        <v>0</v>
      </c>
      <c r="J123" s="65">
        <f>ROUND((ROUND((G123*(1+'2017 Determination - Revenue'!$F$18)),2))*(1+'2017 Determination - Revenue'!$G$18),2)</f>
        <v>0</v>
      </c>
      <c r="K123" s="187" t="str">
        <f t="shared" si="64"/>
        <v>na</v>
      </c>
      <c r="L123" s="49"/>
      <c r="N123" s="148"/>
      <c r="O123" s="65"/>
      <c r="P123" s="142"/>
      <c r="Q123" s="97"/>
      <c r="R123" s="97"/>
      <c r="S123" s="148"/>
    </row>
    <row r="124" spans="2:19" x14ac:dyDescent="0.2">
      <c r="B124" s="48" t="str">
        <f>'2017 Determination - Revenue'!B$33</f>
        <v>Macquarie</v>
      </c>
      <c r="C124" s="43" t="str">
        <f t="shared" si="65"/>
        <v>$/ML</v>
      </c>
      <c r="D124" s="43"/>
      <c r="E124" s="43"/>
      <c r="F124" s="202">
        <v>0</v>
      </c>
      <c r="G124" s="144">
        <f>(('MDB calcs'!G195/'MDB calcs'!G136)*1000)</f>
        <v>0</v>
      </c>
      <c r="H124" s="97"/>
      <c r="I124" s="65">
        <v>0</v>
      </c>
      <c r="J124" s="65">
        <f>ROUND((ROUND((G124*(1+'2017 Determination - Revenue'!$F$18)),2))*(1+'2017 Determination - Revenue'!$G$18),2)</f>
        <v>0</v>
      </c>
      <c r="K124" s="187" t="str">
        <f t="shared" si="64"/>
        <v>na</v>
      </c>
      <c r="L124" s="49"/>
      <c r="N124" s="148"/>
      <c r="O124" s="65"/>
      <c r="P124" s="142"/>
      <c r="Q124" s="97"/>
      <c r="R124" s="97"/>
      <c r="S124" s="148"/>
    </row>
    <row r="125" spans="2:19" x14ac:dyDescent="0.2">
      <c r="B125" s="48" t="str">
        <f>'2017 Determination - Revenue'!B$34</f>
        <v>Murray</v>
      </c>
      <c r="C125" s="43" t="str">
        <f t="shared" si="65"/>
        <v>$/ML</v>
      </c>
      <c r="D125" s="43"/>
      <c r="E125" s="43"/>
      <c r="F125" s="201">
        <f>'2017 Determination - charges'!F75</f>
        <v>3.5616689641805239</v>
      </c>
      <c r="G125" s="144">
        <f>(('MDB calcs'!G196/'MDB calcs'!G137)*1000)</f>
        <v>3.5617050022686474</v>
      </c>
      <c r="H125" s="97"/>
      <c r="I125" s="65">
        <f>'2017 Determination - charges'!J75</f>
        <v>3.7</v>
      </c>
      <c r="J125" s="65">
        <f>ROUND((ROUND((G125*(1+'2017 Determination - Revenue'!$F$18)),2))*(1+'2017 Determination - Revenue'!$G$18),2)</f>
        <v>3.71</v>
      </c>
      <c r="K125" s="187">
        <f t="shared" si="64"/>
        <v>2.7027027027026751E-3</v>
      </c>
      <c r="L125" s="49"/>
      <c r="N125" s="148"/>
      <c r="O125" s="65"/>
      <c r="P125" s="142"/>
      <c r="Q125" s="97"/>
      <c r="R125" s="97"/>
      <c r="S125" s="148"/>
    </row>
    <row r="126" spans="2:19" x14ac:dyDescent="0.2">
      <c r="B126" s="48" t="str">
        <f>'2017 Determination - Revenue'!B$35</f>
        <v>Murrumbidgee</v>
      </c>
      <c r="C126" s="43" t="str">
        <f t="shared" si="65"/>
        <v>$/ML</v>
      </c>
      <c r="D126" s="43"/>
      <c r="E126" s="43"/>
      <c r="F126" s="201">
        <f>'2017 Determination - charges'!F76</f>
        <v>0.60861535478820739</v>
      </c>
      <c r="G126" s="144">
        <f>(('MDB calcs'!G197/'MDB calcs'!G138)*1000)</f>
        <v>0.60861465932249548</v>
      </c>
      <c r="H126" s="97"/>
      <c r="I126" s="65">
        <f>'2017 Determination - charges'!J76</f>
        <v>0.63</v>
      </c>
      <c r="J126" s="65">
        <f>ROUND((ROUND((G126*(1+'2017 Determination - Revenue'!$F$18)),2))*(1+'2017 Determination - Revenue'!$G$18),2)</f>
        <v>0.63</v>
      </c>
      <c r="K126" s="187">
        <f t="shared" si="64"/>
        <v>0</v>
      </c>
      <c r="L126" s="49"/>
      <c r="N126" s="148"/>
      <c r="O126" s="65"/>
      <c r="P126" s="142"/>
      <c r="Q126" s="97"/>
      <c r="R126" s="97"/>
      <c r="S126" s="148"/>
    </row>
    <row r="127" spans="2:19" x14ac:dyDescent="0.2">
      <c r="B127" s="48" t="str">
        <f>'2017 Determination - Revenue'!B$36</f>
        <v>Lowbidgee</v>
      </c>
      <c r="C127" s="43" t="str">
        <f>$C$27</f>
        <v>$/ML</v>
      </c>
      <c r="D127" s="43"/>
      <c r="E127" s="43"/>
      <c r="F127" s="202">
        <v>0</v>
      </c>
      <c r="G127" s="144">
        <f>(('MDB calcs'!G198/'MDB calcs'!G139)*1000)</f>
        <v>0</v>
      </c>
      <c r="H127" s="97"/>
      <c r="I127" s="65">
        <v>0</v>
      </c>
      <c r="J127" s="65">
        <f>ROUND((ROUND((G127*(1+'2017 Determination - Revenue'!$F$18)),2))*(1+'2017 Determination - Revenue'!$G$18),2)</f>
        <v>0</v>
      </c>
      <c r="K127" s="187" t="str">
        <f t="shared" si="64"/>
        <v>na</v>
      </c>
      <c r="L127" s="49"/>
      <c r="N127" s="148"/>
      <c r="O127" s="65"/>
      <c r="P127" s="142"/>
      <c r="Q127" s="97"/>
      <c r="R127" s="97"/>
      <c r="S127" s="148"/>
    </row>
    <row r="128" spans="2:19" x14ac:dyDescent="0.2">
      <c r="B128" s="88"/>
      <c r="C128" s="43"/>
      <c r="D128" s="43"/>
      <c r="E128" s="43"/>
      <c r="F128" s="96"/>
      <c r="G128" s="96"/>
      <c r="H128" s="96"/>
      <c r="I128" s="65"/>
      <c r="J128" s="65"/>
      <c r="K128" s="187"/>
      <c r="L128" s="49"/>
      <c r="N128" s="148"/>
      <c r="O128" s="65"/>
      <c r="P128" s="142"/>
      <c r="Q128" s="97"/>
      <c r="R128" s="97"/>
      <c r="S128" s="148"/>
    </row>
    <row r="129" spans="2:19" x14ac:dyDescent="0.2">
      <c r="B129" s="55" t="str">
        <f>B$48</f>
        <v>High security entitlement charges</v>
      </c>
      <c r="C129" s="43"/>
      <c r="D129" s="43"/>
      <c r="E129" s="43"/>
      <c r="F129" s="43"/>
      <c r="G129" s="43"/>
      <c r="H129" s="43"/>
      <c r="I129" s="65"/>
      <c r="J129" s="65"/>
      <c r="K129" s="187"/>
      <c r="L129" s="49"/>
      <c r="N129" s="148"/>
      <c r="O129" s="65"/>
      <c r="P129" s="142"/>
      <c r="Q129" s="97"/>
      <c r="R129" s="97"/>
      <c r="S129" s="148"/>
    </row>
    <row r="130" spans="2:19" x14ac:dyDescent="0.2">
      <c r="B130" s="48" t="str">
        <f>'2017 Determination - Revenue'!B$28</f>
        <v>Border</v>
      </c>
      <c r="C130" s="43" t="str">
        <f>$C$27</f>
        <v>$/ML</v>
      </c>
      <c r="D130" s="43"/>
      <c r="E130" s="43"/>
      <c r="F130" s="201">
        <f>'2017 Determination - charges'!F79</f>
        <v>4.6050654775877584</v>
      </c>
      <c r="G130" s="91">
        <f>(G119*'MDB calcs'!G114)</f>
        <v>4.3875729729236133</v>
      </c>
      <c r="H130" s="97"/>
      <c r="I130" s="65">
        <f>'2017 Determination - charges'!J79</f>
        <v>4.8</v>
      </c>
      <c r="J130" s="65">
        <f>ROUND((ROUND((G130*(1+'2017 Determination - Revenue'!$F$18)),2))*(1+'2017 Determination - Revenue'!$G$18),2)</f>
        <v>4.57</v>
      </c>
      <c r="K130" s="187">
        <f>IF(J130=0,"na",J130/I130-1)</f>
        <v>-4.7916666666666607E-2</v>
      </c>
      <c r="L130" s="49"/>
      <c r="N130"/>
      <c r="O130" s="65"/>
      <c r="P130" s="142"/>
      <c r="Q130" s="97"/>
      <c r="R130" s="97"/>
      <c r="S130" s="148"/>
    </row>
    <row r="131" spans="2:19" x14ac:dyDescent="0.2">
      <c r="B131" s="48" t="str">
        <f>'2017 Determination - Revenue'!B$29</f>
        <v>Gwydir</v>
      </c>
      <c r="C131" s="43" t="str">
        <f t="shared" ref="C131:C137" si="66">$C$27</f>
        <v>$/ML</v>
      </c>
      <c r="D131" s="43"/>
      <c r="E131" s="43"/>
      <c r="F131" s="202">
        <v>0</v>
      </c>
      <c r="G131" s="91">
        <f>(G120*'MDB calcs'!G115)</f>
        <v>0</v>
      </c>
      <c r="H131" s="97"/>
      <c r="I131" s="65">
        <v>0</v>
      </c>
      <c r="J131" s="65">
        <f>ROUND((ROUND((G131*(1+'2017 Determination - Revenue'!$F$18)),2))*(1+'2017 Determination - Revenue'!$G$18),2)</f>
        <v>0</v>
      </c>
      <c r="K131" s="187" t="str">
        <f t="shared" si="64"/>
        <v>na</v>
      </c>
      <c r="L131" s="49"/>
      <c r="N131"/>
      <c r="O131" s="65"/>
      <c r="P131" s="142"/>
      <c r="Q131" s="97"/>
      <c r="R131" s="97"/>
      <c r="S131" s="148"/>
    </row>
    <row r="132" spans="2:19" x14ac:dyDescent="0.2">
      <c r="B132" s="48" t="str">
        <f>'2017 Determination - Revenue'!B$30</f>
        <v>Namoi</v>
      </c>
      <c r="C132" s="43" t="str">
        <f t="shared" si="66"/>
        <v>$/ML</v>
      </c>
      <c r="D132" s="43"/>
      <c r="E132" s="43"/>
      <c r="F132" s="202">
        <v>0</v>
      </c>
      <c r="G132" s="91">
        <f>(G121*'MDB calcs'!G116)</f>
        <v>0</v>
      </c>
      <c r="H132" s="97"/>
      <c r="I132" s="65">
        <v>0</v>
      </c>
      <c r="J132" s="65">
        <f>ROUND((ROUND((G132*(1+'2017 Determination - Revenue'!$F$18)),2))*(1+'2017 Determination - Revenue'!$G$18),2)</f>
        <v>0</v>
      </c>
      <c r="K132" s="187" t="str">
        <f t="shared" si="64"/>
        <v>na</v>
      </c>
      <c r="L132" s="49"/>
      <c r="N132"/>
      <c r="O132" s="65"/>
      <c r="P132" s="142"/>
      <c r="Q132" s="97"/>
      <c r="R132" s="97"/>
      <c r="S132" s="148"/>
    </row>
    <row r="133" spans="2:19" x14ac:dyDescent="0.2">
      <c r="B133" s="48" t="str">
        <f>'2017 Determination - Revenue'!B$31</f>
        <v>Peel</v>
      </c>
      <c r="C133" s="43" t="str">
        <f t="shared" si="66"/>
        <v>$/ML</v>
      </c>
      <c r="D133" s="43"/>
      <c r="E133" s="43"/>
      <c r="F133" s="202">
        <v>0</v>
      </c>
      <c r="G133" s="91">
        <f>(G122*'MDB calcs'!G117)</f>
        <v>0</v>
      </c>
      <c r="H133" s="97"/>
      <c r="I133" s="65">
        <v>0</v>
      </c>
      <c r="J133" s="65">
        <f>ROUND((ROUND((G133*(1+'2017 Determination - Revenue'!$F$18)),2))*(1+'2017 Determination - Revenue'!$G$18),2)</f>
        <v>0</v>
      </c>
      <c r="K133" s="187" t="str">
        <f t="shared" si="64"/>
        <v>na</v>
      </c>
      <c r="L133" s="49"/>
      <c r="N133" s="148"/>
      <c r="O133" s="65"/>
      <c r="P133" s="142"/>
      <c r="Q133" s="97"/>
      <c r="R133" s="97"/>
      <c r="S133" s="148"/>
    </row>
    <row r="134" spans="2:19" x14ac:dyDescent="0.2">
      <c r="B134" s="48" t="str">
        <f>'2017 Determination - Revenue'!B$32</f>
        <v>Lachlan</v>
      </c>
      <c r="C134" s="43" t="str">
        <f t="shared" si="66"/>
        <v>$/ML</v>
      </c>
      <c r="D134" s="43"/>
      <c r="E134" s="43"/>
      <c r="F134" s="202">
        <v>0</v>
      </c>
      <c r="G134" s="91">
        <f>(G123*'MDB calcs'!G118)</f>
        <v>0</v>
      </c>
      <c r="H134" s="97"/>
      <c r="I134" s="65">
        <v>0</v>
      </c>
      <c r="J134" s="65">
        <f>ROUND((ROUND((G134*(1+'2017 Determination - Revenue'!$F$18)),2))*(1+'2017 Determination - Revenue'!$G$18),2)</f>
        <v>0</v>
      </c>
      <c r="K134" s="187" t="str">
        <f t="shared" si="64"/>
        <v>na</v>
      </c>
      <c r="L134" s="49"/>
      <c r="N134" s="148"/>
      <c r="O134" s="65"/>
      <c r="P134" s="142"/>
      <c r="Q134" s="97"/>
      <c r="R134" s="97"/>
      <c r="S134" s="148"/>
    </row>
    <row r="135" spans="2:19" x14ac:dyDescent="0.2">
      <c r="B135" s="48" t="str">
        <f>'2017 Determination - Revenue'!B$33</f>
        <v>Macquarie</v>
      </c>
      <c r="C135" s="43" t="str">
        <f t="shared" si="66"/>
        <v>$/ML</v>
      </c>
      <c r="D135" s="43"/>
      <c r="E135" s="43"/>
      <c r="F135" s="202">
        <v>0</v>
      </c>
      <c r="G135" s="91">
        <f>(G124*'MDB calcs'!G119)</f>
        <v>0</v>
      </c>
      <c r="H135" s="97"/>
      <c r="I135" s="65">
        <v>0</v>
      </c>
      <c r="J135" s="65">
        <f>ROUND((ROUND((G135*(1+'2017 Determination - Revenue'!$F$18)),2))*(1+'2017 Determination - Revenue'!$G$18),2)</f>
        <v>0</v>
      </c>
      <c r="K135" s="187" t="str">
        <f t="shared" si="64"/>
        <v>na</v>
      </c>
      <c r="L135" s="49"/>
      <c r="N135" s="148"/>
      <c r="O135" s="65"/>
      <c r="P135" s="142"/>
      <c r="Q135" s="97"/>
      <c r="R135" s="97"/>
      <c r="S135" s="148"/>
    </row>
    <row r="136" spans="2:19" x14ac:dyDescent="0.2">
      <c r="B136" s="48" t="str">
        <f>'2017 Determination - Revenue'!B$34</f>
        <v>Murray</v>
      </c>
      <c r="C136" s="43" t="str">
        <f t="shared" si="66"/>
        <v>$/ML</v>
      </c>
      <c r="D136" s="43"/>
      <c r="E136" s="43"/>
      <c r="F136" s="201">
        <f>'2017 Determination - charges'!F80</f>
        <v>7.2658214716513054</v>
      </c>
      <c r="G136" s="91">
        <f>(G125*'MDB calcs'!G120)</f>
        <v>7.2658949895209091</v>
      </c>
      <c r="H136" s="97"/>
      <c r="I136" s="65">
        <f>'2017 Determination - charges'!J80</f>
        <v>7.56</v>
      </c>
      <c r="J136" s="65">
        <f>ROUND((ROUND((G136*(1+'2017 Determination - Revenue'!$F$18)),2))*(1+'2017 Determination - Revenue'!$G$18),2)</f>
        <v>7.56</v>
      </c>
      <c r="K136" s="187">
        <f t="shared" si="64"/>
        <v>0</v>
      </c>
      <c r="L136" s="49"/>
      <c r="N136" s="148"/>
      <c r="O136" s="65"/>
      <c r="P136" s="142"/>
      <c r="Q136" s="97"/>
      <c r="R136" s="97"/>
      <c r="S136" s="148"/>
    </row>
    <row r="137" spans="2:19" x14ac:dyDescent="0.2">
      <c r="B137" s="48" t="str">
        <f>'2017 Determination - Revenue'!B$35</f>
        <v>Murrumbidgee</v>
      </c>
      <c r="C137" s="43" t="str">
        <f t="shared" si="66"/>
        <v>$/ML</v>
      </c>
      <c r="D137" s="43"/>
      <c r="E137" s="43"/>
      <c r="F137" s="201">
        <f>'2017 Determination - charges'!F81</f>
        <v>1.6127560685673548</v>
      </c>
      <c r="G137" s="91">
        <f>(G126*'MDB calcs'!G121)</f>
        <v>1.6127596669925111</v>
      </c>
      <c r="H137" s="97"/>
      <c r="I137" s="65">
        <f>'2017 Determination - charges'!J81</f>
        <v>1.67</v>
      </c>
      <c r="J137" s="65">
        <f>ROUND((ROUND((G137*(1+'2017 Determination - Revenue'!$F$18)),2))*(1+'2017 Determination - Revenue'!$G$18),2)</f>
        <v>1.68</v>
      </c>
      <c r="K137" s="187">
        <f t="shared" si="64"/>
        <v>5.9880239520957446E-3</v>
      </c>
      <c r="L137" s="49"/>
      <c r="N137" s="148"/>
      <c r="O137" s="65"/>
      <c r="P137" s="142"/>
      <c r="Q137" s="97"/>
      <c r="R137" s="97"/>
      <c r="S137" s="148"/>
    </row>
    <row r="138" spans="2:19" x14ac:dyDescent="0.2">
      <c r="B138" s="48" t="str">
        <f>'2017 Determination - Revenue'!B$36</f>
        <v>Lowbidgee</v>
      </c>
      <c r="C138" s="43" t="str">
        <f>$C$27</f>
        <v>$/ML</v>
      </c>
      <c r="D138" s="43"/>
      <c r="E138" s="43"/>
      <c r="F138" s="202">
        <v>0</v>
      </c>
      <c r="G138" s="91">
        <f>(G127*'MDB calcs'!G122)</f>
        <v>0</v>
      </c>
      <c r="H138" s="97"/>
      <c r="I138" s="65">
        <v>0</v>
      </c>
      <c r="J138" s="65">
        <f>ROUND((ROUND((G138*(1+'2017 Determination - Revenue'!$F$18)),2))*(1+'2017 Determination - Revenue'!$G$18),2)</f>
        <v>0</v>
      </c>
      <c r="K138" s="187" t="str">
        <f t="shared" si="64"/>
        <v>na</v>
      </c>
      <c r="L138" s="49"/>
      <c r="N138" s="148"/>
      <c r="Q138" s="97"/>
    </row>
    <row r="139" spans="2:19" x14ac:dyDescent="0.2">
      <c r="B139" s="88" t="s">
        <v>34</v>
      </c>
      <c r="C139" s="43"/>
      <c r="D139" s="43"/>
      <c r="E139" s="43"/>
      <c r="F139" s="96"/>
      <c r="G139" s="96">
        <f>SUMPRODUCT(G119:G127,'MDB calcs'!G114:G122)-SUM(G130:G138)</f>
        <v>0</v>
      </c>
      <c r="H139" s="96"/>
      <c r="I139" s="217"/>
      <c r="J139" s="217"/>
      <c r="K139" s="44"/>
      <c r="L139" s="49"/>
    </row>
    <row r="140" spans="2:19" x14ac:dyDescent="0.2">
      <c r="B140" s="50"/>
      <c r="C140" s="41"/>
      <c r="D140" s="41"/>
      <c r="E140" s="41"/>
      <c r="F140" s="41"/>
      <c r="G140" s="41"/>
      <c r="H140" s="41"/>
      <c r="I140" s="41"/>
      <c r="J140" s="41"/>
      <c r="K140" s="42"/>
      <c r="L140" s="51"/>
    </row>
    <row r="141" spans="2:19" x14ac:dyDescent="0.2">
      <c r="K141" s="186"/>
    </row>
    <row r="142" spans="2:19" s="148" customFormat="1" x14ac:dyDescent="0.2">
      <c r="K142" s="186"/>
      <c r="M142" s="93"/>
    </row>
    <row r="143" spans="2:19" s="148" customFormat="1" x14ac:dyDescent="0.2">
      <c r="B143" s="38" t="s">
        <v>140</v>
      </c>
      <c r="C143" s="37"/>
      <c r="D143" s="37"/>
      <c r="E143" s="37"/>
      <c r="M143" s="93"/>
    </row>
    <row r="144" spans="2:19" s="148" customFormat="1" x14ac:dyDescent="0.2">
      <c r="B144" s="71" t="str">
        <f>'2017 Determination - Revenue'!B$16</f>
        <v>Financial year</v>
      </c>
      <c r="C144" s="72" t="str">
        <f>'2017 Determination - Revenue'!C$23</f>
        <v>Units</v>
      </c>
      <c r="D144" s="58"/>
      <c r="E144" s="58"/>
      <c r="F144" s="175" t="str">
        <f>'2017 Determination - Revenue'!F$16</f>
        <v>2017-18</v>
      </c>
      <c r="G144" s="175" t="str">
        <f>'2017 Determination - Revenue'!G$16</f>
        <v>2018-19</v>
      </c>
      <c r="H144" s="46"/>
      <c r="I144" s="1" t="str">
        <f>I$23</f>
        <v>2018-19 charges expressed in $2018-19</v>
      </c>
      <c r="J144" s="226"/>
      <c r="K144" s="190" t="str">
        <f>$K$23</f>
        <v xml:space="preserve">Difference between </v>
      </c>
      <c r="L144" s="47"/>
      <c r="M144" s="93"/>
    </row>
    <row r="145" spans="2:14" s="148" customFormat="1" ht="48" x14ac:dyDescent="0.2">
      <c r="B145" s="87"/>
      <c r="C145" s="83"/>
      <c r="D145" s="60"/>
      <c r="E145" s="60"/>
      <c r="F145" s="224" t="str">
        <f>F$24</f>
        <v>2017 Determination charges</v>
      </c>
      <c r="G145" s="224" t="str">
        <f>G$24</f>
        <v>Re-calculated charges</v>
      </c>
      <c r="H145" s="43"/>
      <c r="I145" s="224" t="str">
        <f>F145</f>
        <v>2017 Determination charges</v>
      </c>
      <c r="J145" s="224" t="str">
        <f>G145</f>
        <v>Re-calculated charges</v>
      </c>
      <c r="K145" s="231" t="str">
        <f>$K$24</f>
        <v xml:space="preserve"> 2018-19 calculated and determination charges</v>
      </c>
      <c r="L145" s="49"/>
      <c r="M145" s="93"/>
    </row>
    <row r="146" spans="2:14" s="148" customFormat="1" x14ac:dyDescent="0.2">
      <c r="B146" s="74"/>
      <c r="C146" s="60"/>
      <c r="D146" s="60"/>
      <c r="E146" s="60"/>
      <c r="F146" s="213" t="str">
        <f>'2017 Determination - Revenue'!$F$24</f>
        <v>$2016-17</v>
      </c>
      <c r="G146" s="213" t="str">
        <f>'2017 Determination - Revenue'!$F$24</f>
        <v>$2016-17</v>
      </c>
      <c r="H146" s="2"/>
      <c r="I146" s="213" t="str">
        <f>I$25</f>
        <v>$2018-19</v>
      </c>
      <c r="J146" s="213" t="str">
        <f>J$25</f>
        <v>$2018-19</v>
      </c>
      <c r="K146" s="216" t="str">
        <f>$K$25</f>
        <v>%</v>
      </c>
      <c r="L146" s="49"/>
      <c r="M146" s="93"/>
    </row>
    <row r="147" spans="2:14" s="148" customFormat="1" x14ac:dyDescent="0.2">
      <c r="B147" s="74" t="s">
        <v>45</v>
      </c>
      <c r="C147" s="60"/>
      <c r="D147" s="60"/>
      <c r="E147" s="60"/>
      <c r="F147" s="60"/>
      <c r="G147" s="60"/>
      <c r="H147" s="43"/>
      <c r="I147" s="43"/>
      <c r="J147" s="60"/>
      <c r="K147" s="232"/>
      <c r="L147" s="49"/>
      <c r="M147" s="93"/>
    </row>
    <row r="148" spans="2:14" s="148" customFormat="1" x14ac:dyDescent="0.2">
      <c r="B148" s="87" t="str">
        <f>'Updated Volumes'!B$31</f>
        <v xml:space="preserve">Energy Australia </v>
      </c>
      <c r="C148" s="29" t="s">
        <v>39</v>
      </c>
      <c r="D148" s="60"/>
      <c r="E148" s="60"/>
      <c r="F148" s="181">
        <f>'2017 Determination - charges'!F91</f>
        <v>0.3916320430805259</v>
      </c>
      <c r="G148" s="144">
        <f>('FRWS calcs'!G43/'FRWS calcs'!G14)</f>
        <v>0.3916320430805259</v>
      </c>
      <c r="H148" s="43"/>
      <c r="I148" s="65">
        <f>'2017 Determination - charges'!J91</f>
        <v>0.41</v>
      </c>
      <c r="J148" s="65">
        <f>ROUND((ROUND((G148*(1+'2017 Determination - Revenue'!$F$18)),2))*(1+'2017 Determination - Revenue'!$G$18),2)</f>
        <v>0.41</v>
      </c>
      <c r="K148" s="187">
        <f t="shared" ref="K148:K150" si="67">J148/I148-1</f>
        <v>0</v>
      </c>
      <c r="L148" s="92"/>
      <c r="M148" s="93"/>
      <c r="N148"/>
    </row>
    <row r="149" spans="2:14" s="148" customFormat="1" x14ac:dyDescent="0.2">
      <c r="B149" s="87" t="str">
        <f>'Updated Volumes'!B$32</f>
        <v xml:space="preserve">Minor customers (raw) </v>
      </c>
      <c r="C149" s="77" t="str">
        <f>Outputs!$C$148</f>
        <v>$/KL</v>
      </c>
      <c r="D149" s="60"/>
      <c r="E149" s="60"/>
      <c r="F149" s="181">
        <f>'2017 Determination - charges'!F92</f>
        <v>0.3916320430805259</v>
      </c>
      <c r="G149" s="144">
        <f>('FRWS calcs'!G44/'FRWS calcs'!G15)</f>
        <v>0.3916320430805259</v>
      </c>
      <c r="H149" s="43"/>
      <c r="I149" s="65">
        <f>'2017 Determination - charges'!J92</f>
        <v>0.41</v>
      </c>
      <c r="J149" s="65">
        <f>ROUND((ROUND((G149*(1+'2017 Determination - Revenue'!$F$18)),2))*(1+'2017 Determination - Revenue'!$G$18),2)</f>
        <v>0.41</v>
      </c>
      <c r="K149" s="187">
        <f t="shared" si="67"/>
        <v>0</v>
      </c>
      <c r="L149" s="49"/>
      <c r="M149" s="93"/>
      <c r="N149"/>
    </row>
    <row r="150" spans="2:14" s="148" customFormat="1" x14ac:dyDescent="0.2">
      <c r="B150" s="87" t="str">
        <f>'Updated Volumes'!B$33</f>
        <v xml:space="preserve">Minor customers (filtered) </v>
      </c>
      <c r="C150" s="77" t="str">
        <f>Outputs!$C$148</f>
        <v>$/KL</v>
      </c>
      <c r="D150" s="60"/>
      <c r="E150" s="60"/>
      <c r="F150" s="181">
        <f>'2017 Determination - charges'!F93</f>
        <v>0.7580403009206228</v>
      </c>
      <c r="G150" s="144">
        <f>('FRWS calcs'!G45/'FRWS calcs'!G16)</f>
        <v>0.73096743303060063</v>
      </c>
      <c r="H150" s="43"/>
      <c r="I150" s="65">
        <f>'2017 Determination - charges'!J93</f>
        <v>0.79</v>
      </c>
      <c r="J150" s="65">
        <f>ROUND((ROUND((G150*(1+'2017 Determination - Revenue'!$F$18)),2))*(1+'2017 Determination - Revenue'!$G$18),2)</f>
        <v>0.76</v>
      </c>
      <c r="K150" s="187">
        <f t="shared" si="67"/>
        <v>-3.7974683544303778E-2</v>
      </c>
      <c r="L150" s="49"/>
      <c r="M150" s="93"/>
      <c r="N150"/>
    </row>
    <row r="151" spans="2:14" s="148" customFormat="1" x14ac:dyDescent="0.2">
      <c r="B151" s="84"/>
      <c r="C151" s="60"/>
      <c r="D151" s="60"/>
      <c r="E151" s="60"/>
      <c r="F151" s="60"/>
      <c r="G151" s="60"/>
      <c r="H151" s="43"/>
      <c r="I151" s="65"/>
      <c r="J151" s="65"/>
      <c r="K151" s="44"/>
      <c r="L151" s="49"/>
      <c r="M151" s="93"/>
      <c r="N151"/>
    </row>
    <row r="152" spans="2:14" s="148" customFormat="1" x14ac:dyDescent="0.2">
      <c r="B152" s="74" t="s">
        <v>46</v>
      </c>
      <c r="C152" s="60"/>
      <c r="D152" s="60"/>
      <c r="E152" s="60"/>
      <c r="F152" s="60"/>
      <c r="G152" s="60"/>
      <c r="H152" s="43"/>
      <c r="I152" s="65"/>
      <c r="J152" s="65"/>
      <c r="K152" s="44"/>
      <c r="L152" s="49"/>
      <c r="M152" s="93"/>
      <c r="N152"/>
    </row>
    <row r="153" spans="2:14" s="148" customFormat="1" x14ac:dyDescent="0.2">
      <c r="B153" s="87" t="str">
        <f>'Updated Volumes'!B$31</f>
        <v xml:space="preserve">Energy Australia </v>
      </c>
      <c r="C153" s="77" t="str">
        <f>Outputs!$C$148</f>
        <v>$/KL</v>
      </c>
      <c r="D153" s="60"/>
      <c r="E153" s="60"/>
      <c r="F153" s="181">
        <f>'2017 Determination - charges'!F96</f>
        <v>0.24476949700441</v>
      </c>
      <c r="G153" s="144">
        <f>(IF('FRWS calcs'!G20&lt;='FRWS calcs'!G14,(('FRWS calcs'!G58-'FRWS calcs'!G43)/'FRWS calcs'!G20),((('FRWS calcs'!G58-'FRWS calcs'!G43)-(('FRWS calcs'!G20-'FRWS calcs'!G14)*G148))/'FRWS calcs'!G20)))</f>
        <v>0.24477869737715272</v>
      </c>
      <c r="H153" s="43"/>
      <c r="I153" s="65">
        <f>'2017 Determination - charges'!J96</f>
        <v>0.25</v>
      </c>
      <c r="J153" s="65">
        <f>ROUND((ROUND((G153*(1+'2017 Determination - Revenue'!$F$18)),2))*(1+'2017 Determination - Revenue'!$G$18),2)</f>
        <v>0.25</v>
      </c>
      <c r="K153" s="187">
        <f t="shared" ref="K153:K155" si="68">J153/I153-1</f>
        <v>0</v>
      </c>
      <c r="L153" s="49"/>
      <c r="M153" s="93"/>
      <c r="N153"/>
    </row>
    <row r="154" spans="2:14" s="148" customFormat="1" x14ac:dyDescent="0.2">
      <c r="B154" s="87" t="str">
        <f>'Updated Volumes'!B$32</f>
        <v xml:space="preserve">Minor customers (raw) </v>
      </c>
      <c r="C154" s="77" t="str">
        <f>Outputs!$C$148</f>
        <v>$/KL</v>
      </c>
      <c r="D154" s="60"/>
      <c r="E154" s="60"/>
      <c r="F154" s="181">
        <f>'2017 Determination - charges'!F97</f>
        <v>0.24476949700441</v>
      </c>
      <c r="G154" s="144">
        <f>(IF('FRWS calcs'!G21&lt;='FRWS calcs'!G15,(('FRWS calcs'!G59-'FRWS calcs'!G44)/'FRWS calcs'!G21),((('FRWS calcs'!G59-'FRWS calcs'!G44)-(('FRWS calcs'!G21-'FRWS calcs'!G15)*G149))/'FRWS calcs'!G21)))</f>
        <v>0.24123808334499264</v>
      </c>
      <c r="H154" s="43"/>
      <c r="I154" s="65">
        <f>'2017 Determination - charges'!J97</f>
        <v>0.25</v>
      </c>
      <c r="J154" s="65">
        <f>ROUND((ROUND((G154*(1+'2017 Determination - Revenue'!$F$18)),2))*(1+'2017 Determination - Revenue'!$G$18),2)</f>
        <v>0.25</v>
      </c>
      <c r="K154" s="187">
        <f t="shared" si="68"/>
        <v>0</v>
      </c>
      <c r="L154" s="49"/>
      <c r="M154" s="93"/>
      <c r="N154"/>
    </row>
    <row r="155" spans="2:14" s="148" customFormat="1" x14ac:dyDescent="0.2">
      <c r="B155" s="87" t="str">
        <f>'Updated Volumes'!B$33</f>
        <v xml:space="preserve">Minor customers (filtered) </v>
      </c>
      <c r="C155" s="77" t="str">
        <f>Outputs!$C$148</f>
        <v>$/KL</v>
      </c>
      <c r="D155" s="60"/>
      <c r="E155" s="60"/>
      <c r="F155" s="181">
        <f>'2017 Determination - charges'!F98</f>
        <v>0.45655147010905456</v>
      </c>
      <c r="G155" s="144">
        <f>(IF('FRWS calcs'!G22&lt;='FRWS calcs'!G16,(('FRWS calcs'!G60-'FRWS calcs'!G45)/'FRWS calcs'!G22),((('FRWS calcs'!G60-'FRWS calcs'!G45)-(('FRWS calcs'!G22-'FRWS calcs'!G16)*G150))/'FRWS calcs'!G22)))</f>
        <v>0.55345332623636012</v>
      </c>
      <c r="H155" s="43"/>
      <c r="I155" s="65">
        <f>'2017 Determination - charges'!J98</f>
        <v>0.48</v>
      </c>
      <c r="J155" s="65">
        <f>ROUND((ROUND((G155*(1+'2017 Determination - Revenue'!$F$18)),2))*(1+'2017 Determination - Revenue'!$G$18),2)</f>
        <v>0.57999999999999996</v>
      </c>
      <c r="K155" s="187">
        <f t="shared" si="68"/>
        <v>0.20833333333333326</v>
      </c>
      <c r="L155" s="49"/>
      <c r="M155" s="93"/>
      <c r="N155"/>
    </row>
    <row r="156" spans="2:14" s="148" customFormat="1" x14ac:dyDescent="0.2">
      <c r="B156" s="84"/>
      <c r="C156" s="60"/>
      <c r="D156" s="60"/>
      <c r="E156" s="60"/>
      <c r="F156" s="60"/>
      <c r="G156" s="60"/>
      <c r="H156" s="43"/>
      <c r="I156" s="65"/>
      <c r="J156" s="65"/>
      <c r="K156" s="44"/>
      <c r="L156" s="49"/>
      <c r="M156" s="93"/>
      <c r="N156"/>
    </row>
    <row r="157" spans="2:14" s="148" customFormat="1" x14ac:dyDescent="0.2">
      <c r="B157" s="74" t="s">
        <v>47</v>
      </c>
      <c r="C157" s="60"/>
      <c r="D157" s="60"/>
      <c r="E157" s="60"/>
      <c r="F157" s="60"/>
      <c r="G157" s="60"/>
      <c r="H157" s="43"/>
      <c r="I157" s="65"/>
      <c r="J157" s="65"/>
      <c r="K157" s="44"/>
      <c r="L157" s="49"/>
      <c r="M157" s="93"/>
      <c r="N157"/>
    </row>
    <row r="158" spans="2:14" s="148" customFormat="1" x14ac:dyDescent="0.2">
      <c r="B158" s="87" t="str">
        <f>'Updated Volumes'!B$31</f>
        <v xml:space="preserve">Energy Australia </v>
      </c>
      <c r="C158" s="77" t="str">
        <f>Outputs!$C$148</f>
        <v>$/KL</v>
      </c>
      <c r="D158" s="60"/>
      <c r="E158" s="60"/>
      <c r="F158" s="181">
        <f>ROUND(F148,2)+ROUND(F153,2)</f>
        <v>0.63</v>
      </c>
      <c r="G158" s="144">
        <f>(G148+G153)</f>
        <v>0.63641074045767865</v>
      </c>
      <c r="H158" s="43"/>
      <c r="I158" s="65">
        <f>'2017 Determination - charges'!J101</f>
        <v>0.65999999999999992</v>
      </c>
      <c r="J158" s="65">
        <f>ROUND((ROUND((G158*(1+'2017 Determination - Revenue'!$F$18)),2))*(1+'2017 Determination - Revenue'!$G$18),2)</f>
        <v>0.66</v>
      </c>
      <c r="K158" s="187">
        <f t="shared" ref="K158:K160" si="69">J158/I158-1</f>
        <v>0</v>
      </c>
      <c r="L158" s="49"/>
      <c r="M158" s="93"/>
      <c r="N158"/>
    </row>
    <row r="159" spans="2:14" s="148" customFormat="1" x14ac:dyDescent="0.2">
      <c r="B159" s="87" t="str">
        <f>'Updated Volumes'!B$32</f>
        <v xml:space="preserve">Minor customers (raw) </v>
      </c>
      <c r="C159" s="77" t="str">
        <f>Outputs!$C$148</f>
        <v>$/KL</v>
      </c>
      <c r="D159" s="60"/>
      <c r="E159" s="60"/>
      <c r="F159" s="181">
        <f>ROUND(F149,2)+ROUND(F154,2)</f>
        <v>0.63</v>
      </c>
      <c r="G159" s="144">
        <f>(G149+G154)</f>
        <v>0.63287012642551854</v>
      </c>
      <c r="H159" s="43"/>
      <c r="I159" s="65">
        <f>'2017 Determination - charges'!J102</f>
        <v>0.65999999999999992</v>
      </c>
      <c r="J159" s="65">
        <f>ROUND((ROUND((G159*(1+'2017 Determination - Revenue'!$F$18)),2))*(1+'2017 Determination - Revenue'!$G$18),2)</f>
        <v>0.66</v>
      </c>
      <c r="K159" s="187">
        <f t="shared" si="69"/>
        <v>0</v>
      </c>
      <c r="L159" s="49"/>
      <c r="M159" s="93"/>
      <c r="N159"/>
    </row>
    <row r="160" spans="2:14" s="148" customFormat="1" x14ac:dyDescent="0.2">
      <c r="B160" s="87" t="str">
        <f>'Updated Volumes'!B$33</f>
        <v xml:space="preserve">Minor customers (filtered) </v>
      </c>
      <c r="C160" s="77" t="str">
        <f>Outputs!$C$148</f>
        <v>$/KL</v>
      </c>
      <c r="D160" s="60"/>
      <c r="E160" s="60"/>
      <c r="F160" s="181">
        <f>ROUND(F150,2)+ROUND(F155,2)</f>
        <v>1.22</v>
      </c>
      <c r="G160" s="144">
        <f>(G150+G155)</f>
        <v>1.2844207592669608</v>
      </c>
      <c r="H160" s="43"/>
      <c r="I160" s="65">
        <f>'2017 Determination - charges'!J103</f>
        <v>1.27</v>
      </c>
      <c r="J160" s="65">
        <f>ROUND((ROUND((G160*(1+'2017 Determination - Revenue'!$F$18)),2))*(1+'2017 Determination - Revenue'!$G$18),2)</f>
        <v>1.33</v>
      </c>
      <c r="K160" s="187">
        <f t="shared" si="69"/>
        <v>4.7244094488189115E-2</v>
      </c>
      <c r="L160" s="49"/>
      <c r="M160" s="93"/>
      <c r="N160"/>
    </row>
    <row r="161" spans="2:19" s="148" customFormat="1" x14ac:dyDescent="0.2">
      <c r="B161" s="85"/>
      <c r="C161" s="82"/>
      <c r="D161" s="82"/>
      <c r="E161" s="82"/>
      <c r="F161" s="82"/>
      <c r="G161" s="82"/>
      <c r="H161" s="41"/>
      <c r="I161" s="82"/>
      <c r="J161" s="82"/>
      <c r="K161" s="42"/>
      <c r="L161" s="51"/>
      <c r="M161" s="93"/>
    </row>
    <row r="162" spans="2:19" s="148" customFormat="1" x14ac:dyDescent="0.2">
      <c r="M162" s="93"/>
    </row>
    <row r="163" spans="2:19" s="148" customFormat="1" x14ac:dyDescent="0.2">
      <c r="B163" s="38"/>
      <c r="M163" s="93"/>
    </row>
    <row r="164" spans="2:19" s="148" customFormat="1" ht="15.75" x14ac:dyDescent="0.25">
      <c r="B164" s="167" t="s">
        <v>106</v>
      </c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225"/>
    </row>
    <row r="165" spans="2:19" s="148" customFormat="1" x14ac:dyDescent="0.2"/>
    <row r="166" spans="2:19" x14ac:dyDescent="0.2">
      <c r="B166" s="38" t="s">
        <v>150</v>
      </c>
      <c r="I166" s="186"/>
      <c r="J166" s="156"/>
      <c r="K166" s="148"/>
      <c r="L166" s="148"/>
      <c r="M166" s="148"/>
      <c r="N166" s="148"/>
      <c r="O166" s="148"/>
      <c r="P166" s="148"/>
      <c r="Q166" s="148"/>
      <c r="R166" s="148"/>
      <c r="S166" s="148"/>
    </row>
    <row r="167" spans="2:19" x14ac:dyDescent="0.2">
      <c r="B167" s="45" t="str">
        <f>'2017 Determination - Revenue'!B$16</f>
        <v>Financial year</v>
      </c>
      <c r="C167" s="46" t="str">
        <f>'2017 Determination - Revenue'!C$23</f>
        <v>Units</v>
      </c>
      <c r="D167" s="46"/>
      <c r="E167" s="46"/>
      <c r="F167" s="178" t="s">
        <v>96</v>
      </c>
      <c r="G167" s="175" t="s">
        <v>96</v>
      </c>
      <c r="H167" s="52"/>
      <c r="I167" s="175"/>
      <c r="J167" s="1"/>
      <c r="K167" s="47"/>
      <c r="L167" s="148"/>
    </row>
    <row r="168" spans="2:19" s="148" customFormat="1" ht="60" x14ac:dyDescent="0.2">
      <c r="B168" s="48"/>
      <c r="C168" s="43"/>
      <c r="D168" s="43"/>
      <c r="E168" s="43"/>
      <c r="F168" s="214" t="s">
        <v>211</v>
      </c>
      <c r="G168" s="214" t="s">
        <v>212</v>
      </c>
      <c r="H168" s="163"/>
      <c r="I168" s="214" t="s">
        <v>151</v>
      </c>
      <c r="J168" s="164"/>
      <c r="K168" s="49"/>
      <c r="M168" s="93"/>
    </row>
    <row r="169" spans="2:19" x14ac:dyDescent="0.2">
      <c r="B169" s="102"/>
      <c r="C169" s="43"/>
      <c r="D169" s="43"/>
      <c r="F169" s="215" t="s">
        <v>97</v>
      </c>
      <c r="G169" s="215" t="s">
        <v>97</v>
      </c>
      <c r="H169" s="54"/>
      <c r="I169" s="213" t="str">
        <f>K$66</f>
        <v>%</v>
      </c>
      <c r="J169" s="53"/>
      <c r="K169" s="49"/>
      <c r="L169" s="148"/>
    </row>
    <row r="170" spans="2:19" x14ac:dyDescent="0.2">
      <c r="B170" s="55" t="str">
        <f>'2017 Determination - Revenue'!B$125</f>
        <v>Small consumption customers</v>
      </c>
      <c r="C170" s="37" t="str">
        <f>"Entitlement = "&amp;'2017 Determination - Revenue'!G$125&amp;" kL pa, Usage = "&amp;'2017 Determination - Revenue'!G$130*'2017 Determination - Revenue'!G$125&amp;" kL pa"</f>
        <v>Entitlement = 100 kL pa, Usage = 100 kL pa</v>
      </c>
      <c r="F170" s="57"/>
      <c r="G170" s="43"/>
      <c r="H170" s="43"/>
      <c r="I170" s="44"/>
      <c r="J170" s="43"/>
      <c r="K170" s="49"/>
      <c r="N170" s="148"/>
      <c r="O170" s="148"/>
      <c r="P170" s="148"/>
    </row>
    <row r="171" spans="2:19" ht="12" customHeight="1" x14ac:dyDescent="0.2">
      <c r="B171" s="48" t="str">
        <f>'2017 Determination - Revenue'!B$28</f>
        <v>Border</v>
      </c>
      <c r="C171" s="29" t="s">
        <v>81</v>
      </c>
      <c r="D171" s="43"/>
      <c r="E171" s="43"/>
      <c r="F171" s="222">
        <f>('2017 Determination - Revenue'!F$125*ROUND('2017 Determination - charges'!J52,2))+('2017 Determination - Revenue'!F$125*'2017 Determination - Revenue'!F$130*ROUND('2017 Determination - charges'!J18,2))</f>
        <v>1120</v>
      </c>
      <c r="G171" s="141">
        <f>('2017 Determination - Revenue'!G$125*ROUND(Outputs!J90,2))+('2017 Determination - Revenue'!G$125*'2017 Determination - Revenue'!G$130*ROUND(Outputs!J68,2))</f>
        <v>1083</v>
      </c>
      <c r="H171" s="137"/>
      <c r="I171" s="230">
        <f>G171/F171-1</f>
        <v>-3.3035714285714279E-2</v>
      </c>
      <c r="J171" s="155"/>
      <c r="K171" s="49"/>
      <c r="N171" s="148"/>
      <c r="O171" s="148"/>
      <c r="P171" s="148"/>
    </row>
    <row r="172" spans="2:19" x14ac:dyDescent="0.2">
      <c r="B172" s="48" t="str">
        <f>'2017 Determination - Revenue'!B$29</f>
        <v>Gwydir</v>
      </c>
      <c r="C172" s="43" t="str">
        <f t="shared" ref="C172:C179" si="70">C$171</f>
        <v>$</v>
      </c>
      <c r="D172" s="43"/>
      <c r="E172" s="43"/>
      <c r="F172" s="222">
        <f>('2017 Determination - Revenue'!F$125*ROUND('2017 Determination - charges'!J53,2))+('2017 Determination - Revenue'!F$125*'2017 Determination - Revenue'!F$130*ROUND('2017 Determination - charges'!J19,2))</f>
        <v>2387</v>
      </c>
      <c r="G172" s="141">
        <f>('2017 Determination - Revenue'!G$125*ROUND(Outputs!J91,2))+('2017 Determination - Revenue'!G$125*'2017 Determination - Revenue'!G$130*ROUND(Outputs!J69,2))</f>
        <v>2398</v>
      </c>
      <c r="H172" s="137"/>
      <c r="I172" s="230">
        <f t="shared" ref="I172:I200" si="71">G172/F172-1</f>
        <v>4.6082949308756671E-3</v>
      </c>
      <c r="J172" s="155"/>
      <c r="K172" s="49"/>
      <c r="N172" s="148"/>
      <c r="O172" s="148"/>
      <c r="P172" s="148"/>
    </row>
    <row r="173" spans="2:19" x14ac:dyDescent="0.2">
      <c r="B173" s="48" t="str">
        <f>'2017 Determination - Revenue'!B$30</f>
        <v>Namoi</v>
      </c>
      <c r="C173" s="43" t="str">
        <f t="shared" si="70"/>
        <v>$</v>
      </c>
      <c r="D173" s="43"/>
      <c r="E173" s="43"/>
      <c r="F173" s="222">
        <f>('2017 Determination - Revenue'!F$125*ROUND('2017 Determination - charges'!J54,2))+('2017 Determination - Revenue'!F$125*'2017 Determination - Revenue'!F$130*ROUND('2017 Determination - charges'!J20,2))</f>
        <v>3856</v>
      </c>
      <c r="G173" s="141">
        <f>('2017 Determination - Revenue'!G$125*ROUND(Outputs!J92,2))+('2017 Determination - Revenue'!G$125*'2017 Determination - Revenue'!G$130*ROUND(Outputs!J70,2))</f>
        <v>3815</v>
      </c>
      <c r="H173" s="137"/>
      <c r="I173" s="230">
        <f t="shared" si="71"/>
        <v>-1.0632780082987514E-2</v>
      </c>
      <c r="J173" s="155"/>
      <c r="K173" s="49"/>
      <c r="N173" s="148"/>
      <c r="O173" s="148"/>
      <c r="P173" s="148"/>
    </row>
    <row r="174" spans="2:19" x14ac:dyDescent="0.2">
      <c r="B174" s="48" t="str">
        <f>'2017 Determination - Revenue'!B$31</f>
        <v>Peel</v>
      </c>
      <c r="C174" s="43" t="str">
        <f t="shared" si="70"/>
        <v>$</v>
      </c>
      <c r="D174" s="43"/>
      <c r="E174" s="43"/>
      <c r="F174" s="222">
        <f>('2017 Determination - Revenue'!F$125*ROUND('2017 Determination - charges'!J55,2))+('2017 Determination - Revenue'!F$125*'2017 Determination - Revenue'!F$130*ROUND('2017 Determination - charges'!J21,2))</f>
        <v>6236</v>
      </c>
      <c r="G174" s="141">
        <f>('2017 Determination - Revenue'!G$125*ROUND(Outputs!J93,2))+('2017 Determination - Revenue'!G$125*'2017 Determination - Revenue'!G$130*ROUND(Outputs!J71,2))</f>
        <v>6179</v>
      </c>
      <c r="H174" s="137"/>
      <c r="I174" s="230">
        <f t="shared" si="71"/>
        <v>-9.1404746632456346E-3</v>
      </c>
      <c r="J174" s="155"/>
      <c r="K174" s="49"/>
      <c r="P174" s="149"/>
    </row>
    <row r="175" spans="2:19" x14ac:dyDescent="0.2">
      <c r="B175" s="48" t="str">
        <f>'2017 Determination - Revenue'!B$32</f>
        <v>Lachlan</v>
      </c>
      <c r="C175" s="43" t="str">
        <f t="shared" si="70"/>
        <v>$</v>
      </c>
      <c r="D175" s="43"/>
      <c r="E175" s="43"/>
      <c r="F175" s="222">
        <f>('2017 Determination - Revenue'!F$125*ROUND('2017 Determination - charges'!J56,2))+('2017 Determination - Revenue'!F$125*'2017 Determination - Revenue'!F$130*ROUND('2017 Determination - charges'!J22,2))</f>
        <v>3581</v>
      </c>
      <c r="G175" s="141">
        <f>('2017 Determination - Revenue'!G$125*ROUND(Outputs!J94,2))+('2017 Determination - Revenue'!G$125*'2017 Determination - Revenue'!G$130*ROUND(Outputs!J72,2))</f>
        <v>3644</v>
      </c>
      <c r="H175" s="137"/>
      <c r="I175" s="230">
        <f t="shared" si="71"/>
        <v>1.7592851158894085E-2</v>
      </c>
      <c r="J175" s="155"/>
      <c r="K175" s="49"/>
      <c r="P175" s="149"/>
    </row>
    <row r="176" spans="2:19" x14ac:dyDescent="0.2">
      <c r="B176" s="48" t="str">
        <f>'2017 Determination - Revenue'!B$33</f>
        <v>Macquarie</v>
      </c>
      <c r="C176" s="43" t="str">
        <f t="shared" si="70"/>
        <v>$</v>
      </c>
      <c r="D176" s="43"/>
      <c r="E176" s="43"/>
      <c r="F176" s="222">
        <f>('2017 Determination - Revenue'!F$125*ROUND('2017 Determination - charges'!J57,2))+('2017 Determination - Revenue'!F$125*'2017 Determination - Revenue'!F$130*ROUND('2017 Determination - charges'!J23,2))</f>
        <v>2839</v>
      </c>
      <c r="G176" s="141">
        <f>('2017 Determination - Revenue'!G$125*ROUND(Outputs!J95,2))+('2017 Determination - Revenue'!G$125*'2017 Determination - Revenue'!G$130*ROUND(Outputs!J73,2))</f>
        <v>2854</v>
      </c>
      <c r="H176" s="137"/>
      <c r="I176" s="230">
        <f t="shared" si="71"/>
        <v>5.2835505459669641E-3</v>
      </c>
      <c r="J176" s="155"/>
      <c r="K176" s="49"/>
      <c r="P176" s="149"/>
    </row>
    <row r="177" spans="2:16" x14ac:dyDescent="0.2">
      <c r="B177" s="48" t="str">
        <f>'2017 Determination - Revenue'!B$34</f>
        <v>Murray</v>
      </c>
      <c r="C177" s="43" t="str">
        <f t="shared" si="70"/>
        <v>$</v>
      </c>
      <c r="D177" s="43"/>
      <c r="E177" s="43"/>
      <c r="F177" s="222">
        <f>('2017 Determination - Revenue'!F$125*ROUND('2017 Determination - charges'!J58,2))+('2017 Determination - Revenue'!F$125*'2017 Determination - Revenue'!F$130*ROUND('2017 Determination - charges'!J24,2))</f>
        <v>359</v>
      </c>
      <c r="G177" s="141">
        <f>('2017 Determination - Revenue'!G$125*ROUND(Outputs!J96,2))+('2017 Determination - Revenue'!G$125*'2017 Determination - Revenue'!G$130*ROUND(Outputs!J74,2))</f>
        <v>363</v>
      </c>
      <c r="H177" s="137"/>
      <c r="I177" s="230">
        <f t="shared" si="71"/>
        <v>1.1142061281337101E-2</v>
      </c>
      <c r="J177" s="155"/>
      <c r="K177" s="49"/>
      <c r="P177" s="149"/>
    </row>
    <row r="178" spans="2:16" x14ac:dyDescent="0.2">
      <c r="B178" s="48" t="str">
        <f>'2017 Determination - Revenue'!B$35</f>
        <v>Murrumbidgee</v>
      </c>
      <c r="C178" s="43" t="str">
        <f t="shared" si="70"/>
        <v>$</v>
      </c>
      <c r="D178" s="43"/>
      <c r="E178" s="43"/>
      <c r="F178" s="222">
        <f>('2017 Determination - Revenue'!F$125*ROUND('2017 Determination - charges'!J59,2))+('2017 Determination - Revenue'!F$125*'2017 Determination - Revenue'!F$130*ROUND('2017 Determination - charges'!J25,2))</f>
        <v>651</v>
      </c>
      <c r="G178" s="141">
        <f>('2017 Determination - Revenue'!G$125*ROUND(Outputs!J97,2))+('2017 Determination - Revenue'!G$125*'2017 Determination - Revenue'!G$130*ROUND(Outputs!J75,2))</f>
        <v>660</v>
      </c>
      <c r="H178" s="137"/>
      <c r="I178" s="230">
        <f t="shared" si="71"/>
        <v>1.3824884792626779E-2</v>
      </c>
      <c r="J178" s="155"/>
      <c r="K178" s="49"/>
      <c r="P178" s="149"/>
    </row>
    <row r="179" spans="2:16" x14ac:dyDescent="0.2">
      <c r="B179" s="48" t="str">
        <f>'2017 Determination - Revenue'!B$36</f>
        <v>Lowbidgee</v>
      </c>
      <c r="C179" s="43" t="str">
        <f t="shared" si="70"/>
        <v>$</v>
      </c>
      <c r="D179" s="43"/>
      <c r="E179" s="43"/>
      <c r="F179" s="222">
        <f>('2017 Determination - Revenue'!F$125*ROUND('2017 Determination - charges'!J60,2))+('2017 Determination - Revenue'!F$125*'2017 Determination - Revenue'!F$130*ROUND('2017 Determination - charges'!J26,2))</f>
        <v>0</v>
      </c>
      <c r="G179" s="141">
        <f>('2017 Determination - Revenue'!G$125*ROUND(Outputs!J98,2))+('2017 Determination - Revenue'!G$125*'2017 Determination - Revenue'!G$130*ROUND(Outputs!J76,2))</f>
        <v>0</v>
      </c>
      <c r="H179" s="137"/>
      <c r="I179" s="230"/>
      <c r="J179" s="155"/>
      <c r="K179" s="49"/>
      <c r="P179" s="149"/>
    </row>
    <row r="180" spans="2:16" x14ac:dyDescent="0.2">
      <c r="B180" s="48"/>
      <c r="C180" s="43"/>
      <c r="D180" s="43"/>
      <c r="E180" s="43"/>
      <c r="F180" s="57"/>
      <c r="G180" s="43"/>
      <c r="H180" s="43"/>
      <c r="I180" s="230"/>
      <c r="J180" s="155"/>
      <c r="K180" s="49"/>
      <c r="P180" s="149"/>
    </row>
    <row r="181" spans="2:16" x14ac:dyDescent="0.2">
      <c r="B181" s="55" t="str">
        <f>'2017 Determination - Revenue'!B$126</f>
        <v>Medium consumption customers</v>
      </c>
      <c r="C181" s="148" t="str">
        <f>"Entitlement = "&amp;'2017 Determination - Revenue'!G$126&amp;" kL pa, Usage = "&amp;'2017 Determination - Revenue'!G$131*'2017 Determination - Revenue'!G$126&amp;" kL pa"</f>
        <v>Entitlement = 500 kL pa, Usage = 500 kL pa</v>
      </c>
      <c r="D181" s="43"/>
      <c r="E181" s="43"/>
      <c r="F181" s="57"/>
      <c r="G181" s="43"/>
      <c r="H181" s="43"/>
      <c r="I181" s="230"/>
      <c r="J181" s="155"/>
      <c r="K181" s="49"/>
      <c r="P181" s="149"/>
    </row>
    <row r="182" spans="2:16" x14ac:dyDescent="0.2">
      <c r="B182" s="48" t="str">
        <f>'2017 Determination - Revenue'!B$28</f>
        <v>Border</v>
      </c>
      <c r="C182" s="43" t="str">
        <f t="shared" ref="C182:C190" si="72">C$171</f>
        <v>$</v>
      </c>
      <c r="D182" s="43"/>
      <c r="E182" s="43"/>
      <c r="F182" s="222">
        <f>('2017 Determination - Revenue'!F$126*ROUND('2017 Determination - charges'!J52,2))+('2017 Determination - Revenue'!F$126*'2017 Determination - Revenue'!F$131*ROUND('2017 Determination - charges'!J18,2))</f>
        <v>5600</v>
      </c>
      <c r="G182" s="141">
        <f>('2017 Determination - Revenue'!G$126*ROUND(Outputs!J90,2))+('2017 Determination - Revenue'!G$126*'2017 Determination - Revenue'!G$131*ROUND(Outputs!J68,2))</f>
        <v>5415</v>
      </c>
      <c r="H182" s="43"/>
      <c r="I182" s="230">
        <f t="shared" si="71"/>
        <v>-3.3035714285714279E-2</v>
      </c>
      <c r="J182" s="155"/>
      <c r="K182" s="49"/>
      <c r="P182" s="149"/>
    </row>
    <row r="183" spans="2:16" x14ac:dyDescent="0.2">
      <c r="B183" s="48" t="str">
        <f>'2017 Determination - Revenue'!B$29</f>
        <v>Gwydir</v>
      </c>
      <c r="C183" s="43" t="str">
        <f t="shared" si="72"/>
        <v>$</v>
      </c>
      <c r="D183" s="43"/>
      <c r="E183" s="43"/>
      <c r="F183" s="222">
        <f>('2017 Determination - Revenue'!F$126*ROUND('2017 Determination - charges'!J53,2))+('2017 Determination - Revenue'!F$126*'2017 Determination - Revenue'!F$131*ROUND('2017 Determination - charges'!J19,2))</f>
        <v>11935</v>
      </c>
      <c r="G183" s="141">
        <f>('2017 Determination - Revenue'!G$126*ROUND(Outputs!J91,2))+('2017 Determination - Revenue'!G$126*'2017 Determination - Revenue'!G$131*ROUND(Outputs!J69,2))</f>
        <v>11990</v>
      </c>
      <c r="H183" s="43"/>
      <c r="I183" s="230">
        <f t="shared" si="71"/>
        <v>4.6082949308756671E-3</v>
      </c>
      <c r="J183" s="155"/>
      <c r="K183" s="49"/>
      <c r="P183" s="149"/>
    </row>
    <row r="184" spans="2:16" x14ac:dyDescent="0.2">
      <c r="B184" s="48" t="str">
        <f>'2017 Determination - Revenue'!B$30</f>
        <v>Namoi</v>
      </c>
      <c r="C184" s="43" t="str">
        <f t="shared" si="72"/>
        <v>$</v>
      </c>
      <c r="D184" s="43"/>
      <c r="E184" s="43"/>
      <c r="F184" s="222">
        <f>('2017 Determination - Revenue'!F$126*ROUND('2017 Determination - charges'!J54,2))+('2017 Determination - Revenue'!F$126*'2017 Determination - Revenue'!F$131*ROUND('2017 Determination - charges'!J20,2))</f>
        <v>19280</v>
      </c>
      <c r="G184" s="141">
        <f>('2017 Determination - Revenue'!G$126*ROUND(Outputs!J92,2))+('2017 Determination - Revenue'!G$126*'2017 Determination - Revenue'!G$131*ROUND(Outputs!J70,2))</f>
        <v>19075</v>
      </c>
      <c r="H184" s="43"/>
      <c r="I184" s="230">
        <f t="shared" si="71"/>
        <v>-1.0632780082987514E-2</v>
      </c>
      <c r="J184" s="155"/>
      <c r="K184" s="49"/>
      <c r="P184" s="149"/>
    </row>
    <row r="185" spans="2:16" x14ac:dyDescent="0.2">
      <c r="B185" s="48" t="str">
        <f>'2017 Determination - Revenue'!B$31</f>
        <v>Peel</v>
      </c>
      <c r="C185" s="43" t="str">
        <f t="shared" si="72"/>
        <v>$</v>
      </c>
      <c r="D185" s="43"/>
      <c r="E185" s="43"/>
      <c r="F185" s="222">
        <f>('2017 Determination - Revenue'!F$126*ROUND('2017 Determination - charges'!J55,2))+('2017 Determination - Revenue'!F$126*'2017 Determination - Revenue'!F$131*ROUND('2017 Determination - charges'!J21,2))</f>
        <v>31180</v>
      </c>
      <c r="G185" s="141">
        <f>('2017 Determination - Revenue'!G$126*ROUND(Outputs!J93,2))+('2017 Determination - Revenue'!G$126*'2017 Determination - Revenue'!G$131*ROUND(Outputs!J71,2))</f>
        <v>30895</v>
      </c>
      <c r="H185" s="43"/>
      <c r="I185" s="230">
        <f t="shared" si="71"/>
        <v>-9.1404746632456346E-3</v>
      </c>
      <c r="J185" s="155"/>
      <c r="K185" s="49"/>
      <c r="P185" s="149"/>
    </row>
    <row r="186" spans="2:16" x14ac:dyDescent="0.2">
      <c r="B186" s="48" t="str">
        <f>'2017 Determination - Revenue'!B$32</f>
        <v>Lachlan</v>
      </c>
      <c r="C186" s="43" t="str">
        <f t="shared" si="72"/>
        <v>$</v>
      </c>
      <c r="D186" s="43"/>
      <c r="E186" s="43"/>
      <c r="F186" s="222">
        <f>('2017 Determination - Revenue'!F$126*ROUND('2017 Determination - charges'!J56,2))+('2017 Determination - Revenue'!F$126*'2017 Determination - Revenue'!F$131*ROUND('2017 Determination - charges'!J22,2))</f>
        <v>17905</v>
      </c>
      <c r="G186" s="141">
        <f>('2017 Determination - Revenue'!G$126*ROUND(Outputs!J94,2))+('2017 Determination - Revenue'!G$126*'2017 Determination - Revenue'!G$131*ROUND(Outputs!J72,2))</f>
        <v>18220</v>
      </c>
      <c r="H186" s="43"/>
      <c r="I186" s="230">
        <f t="shared" si="71"/>
        <v>1.7592851158894085E-2</v>
      </c>
      <c r="J186" s="155"/>
      <c r="K186" s="49"/>
      <c r="P186" s="149"/>
    </row>
    <row r="187" spans="2:16" x14ac:dyDescent="0.2">
      <c r="B187" s="48" t="str">
        <f>'2017 Determination - Revenue'!B$33</f>
        <v>Macquarie</v>
      </c>
      <c r="C187" s="43" t="str">
        <f t="shared" si="72"/>
        <v>$</v>
      </c>
      <c r="D187" s="43"/>
      <c r="E187" s="43"/>
      <c r="F187" s="222">
        <f>('2017 Determination - Revenue'!F$126*ROUND('2017 Determination - charges'!J57,2))+('2017 Determination - Revenue'!F$126*'2017 Determination - Revenue'!F$131*ROUND('2017 Determination - charges'!J23,2))</f>
        <v>14195</v>
      </c>
      <c r="G187" s="141">
        <f>('2017 Determination - Revenue'!G$126*ROUND(Outputs!J95,2))+('2017 Determination - Revenue'!G$126*'2017 Determination - Revenue'!G$131*ROUND(Outputs!J73,2))</f>
        <v>14270</v>
      </c>
      <c r="H187" s="43"/>
      <c r="I187" s="230">
        <f t="shared" si="71"/>
        <v>5.2835505459669641E-3</v>
      </c>
      <c r="J187" s="155"/>
      <c r="K187" s="49"/>
      <c r="P187" s="149"/>
    </row>
    <row r="188" spans="2:16" x14ac:dyDescent="0.2">
      <c r="B188" s="48" t="str">
        <f>'2017 Determination - Revenue'!B$34</f>
        <v>Murray</v>
      </c>
      <c r="C188" s="43" t="str">
        <f t="shared" si="72"/>
        <v>$</v>
      </c>
      <c r="D188" s="43"/>
      <c r="E188" s="43"/>
      <c r="F188" s="222">
        <f>('2017 Determination - Revenue'!F$126*ROUND('2017 Determination - charges'!J58,2))+('2017 Determination - Revenue'!F$126*'2017 Determination - Revenue'!F$131*ROUND('2017 Determination - charges'!J24,2))</f>
        <v>1795</v>
      </c>
      <c r="G188" s="141">
        <f>('2017 Determination - Revenue'!G$126*ROUND(Outputs!J96,2))+('2017 Determination - Revenue'!G$126*'2017 Determination - Revenue'!G$131*ROUND(Outputs!J74,2))</f>
        <v>1815</v>
      </c>
      <c r="H188" s="43"/>
      <c r="I188" s="230">
        <f t="shared" si="71"/>
        <v>1.1142061281337101E-2</v>
      </c>
      <c r="J188" s="155"/>
      <c r="K188" s="49"/>
      <c r="P188" s="149"/>
    </row>
    <row r="189" spans="2:16" x14ac:dyDescent="0.2">
      <c r="B189" s="48" t="str">
        <f>'2017 Determination - Revenue'!B$35</f>
        <v>Murrumbidgee</v>
      </c>
      <c r="C189" s="43" t="str">
        <f t="shared" si="72"/>
        <v>$</v>
      </c>
      <c r="D189" s="43"/>
      <c r="E189" s="43"/>
      <c r="F189" s="222">
        <f>('2017 Determination - Revenue'!F$126*ROUND('2017 Determination - charges'!J59,2))+('2017 Determination - Revenue'!F$126*'2017 Determination - Revenue'!F$131*ROUND('2017 Determination - charges'!J25,2))</f>
        <v>3255</v>
      </c>
      <c r="G189" s="141">
        <f>('2017 Determination - Revenue'!G$126*ROUND(Outputs!J97,2))+('2017 Determination - Revenue'!G$126*'2017 Determination - Revenue'!G$131*ROUND(Outputs!J75,2))</f>
        <v>3300</v>
      </c>
      <c r="H189" s="43"/>
      <c r="I189" s="230">
        <f t="shared" si="71"/>
        <v>1.3824884792626779E-2</v>
      </c>
      <c r="J189" s="155"/>
      <c r="K189" s="49"/>
      <c r="P189" s="149"/>
    </row>
    <row r="190" spans="2:16" x14ac:dyDescent="0.2">
      <c r="B190" s="48" t="str">
        <f>'2017 Determination - Revenue'!B$36</f>
        <v>Lowbidgee</v>
      </c>
      <c r="C190" s="43" t="str">
        <f t="shared" si="72"/>
        <v>$</v>
      </c>
      <c r="D190" s="43"/>
      <c r="E190" s="43"/>
      <c r="F190" s="222">
        <f>('2017 Determination - Revenue'!F$126*ROUND('2017 Determination - charges'!J60,2))+('2017 Determination - Revenue'!F$126*'2017 Determination - Revenue'!F$131*ROUND('2017 Determination - charges'!J26,2))</f>
        <v>0</v>
      </c>
      <c r="G190" s="141">
        <f>('2017 Determination - Revenue'!G$126*ROUND(Outputs!J98,2))+('2017 Determination - Revenue'!G$126*'2017 Determination - Revenue'!G$131*ROUND(Outputs!J76,2))</f>
        <v>0</v>
      </c>
      <c r="H190" s="43"/>
      <c r="I190" s="230"/>
      <c r="J190" s="155"/>
      <c r="K190" s="49"/>
      <c r="P190" s="149"/>
    </row>
    <row r="191" spans="2:16" x14ac:dyDescent="0.2">
      <c r="B191" s="48"/>
      <c r="C191" s="43"/>
      <c r="D191" s="43"/>
      <c r="E191" s="43"/>
      <c r="F191" s="137"/>
      <c r="G191" s="137"/>
      <c r="H191" s="43"/>
      <c r="I191" s="230"/>
      <c r="J191" s="155"/>
      <c r="K191" s="49"/>
      <c r="P191" s="149"/>
    </row>
    <row r="192" spans="2:16" x14ac:dyDescent="0.2">
      <c r="B192" s="55" t="str">
        <f>'2017 Determination - Revenue'!B$127</f>
        <v>Large consumption customers</v>
      </c>
      <c r="C192" s="148" t="str">
        <f>"Entitlement = "&amp;'2017 Determination - Revenue'!G$127&amp;" kL pa, Usage = "&amp;'2017 Determination - Revenue'!G$132*'2017 Determination - Revenue'!G$127&amp;" kL pa"</f>
        <v>Entitlement = 1000 kL pa, Usage = 1000 kL pa</v>
      </c>
      <c r="D192" s="43"/>
      <c r="E192" s="43"/>
      <c r="F192" s="137"/>
      <c r="G192" s="137"/>
      <c r="H192" s="43"/>
      <c r="I192" s="230"/>
      <c r="J192" s="155"/>
      <c r="K192" s="49"/>
      <c r="P192" s="149"/>
    </row>
    <row r="193" spans="2:17" x14ac:dyDescent="0.2">
      <c r="B193" s="48" t="str">
        <f>'2017 Determination - Revenue'!B$28</f>
        <v>Border</v>
      </c>
      <c r="C193" s="43" t="str">
        <f t="shared" ref="C193:C201" si="73">C$171</f>
        <v>$</v>
      </c>
      <c r="D193" s="43"/>
      <c r="E193" s="43"/>
      <c r="F193" s="222">
        <f>('2017 Determination - Revenue'!F$127*ROUND('2017 Determination - charges'!J52,2))+('2017 Determination - Revenue'!F$127*'2017 Determination - Revenue'!F$132*ROUND('2017 Determination - charges'!J18,2))</f>
        <v>11200</v>
      </c>
      <c r="G193" s="141">
        <f>('2017 Determination - Revenue'!G$127*ROUND(Outputs!J90,2))+('2017 Determination - Revenue'!G$127*'2017 Determination - Revenue'!G$132*ROUND(Outputs!J68,2))</f>
        <v>10830</v>
      </c>
      <c r="H193" s="43"/>
      <c r="I193" s="230">
        <f t="shared" si="71"/>
        <v>-3.3035714285714279E-2</v>
      </c>
      <c r="J193" s="155"/>
      <c r="K193" s="49"/>
      <c r="P193" s="149"/>
    </row>
    <row r="194" spans="2:17" x14ac:dyDescent="0.2">
      <c r="B194" s="48" t="str">
        <f>'2017 Determination - Revenue'!B$29</f>
        <v>Gwydir</v>
      </c>
      <c r="C194" s="43" t="str">
        <f t="shared" si="73"/>
        <v>$</v>
      </c>
      <c r="D194" s="43"/>
      <c r="E194" s="43"/>
      <c r="F194" s="222">
        <f>('2017 Determination - Revenue'!F$127*ROUND('2017 Determination - charges'!J53,2))+('2017 Determination - Revenue'!F$127*'2017 Determination - Revenue'!F$132*ROUND('2017 Determination - charges'!J19,2))</f>
        <v>23870</v>
      </c>
      <c r="G194" s="141">
        <f>('2017 Determination - Revenue'!G$127*ROUND(Outputs!J91,2))+('2017 Determination - Revenue'!G$127*'2017 Determination - Revenue'!G$132*ROUND(Outputs!J69,2))</f>
        <v>23980</v>
      </c>
      <c r="H194" s="43"/>
      <c r="I194" s="230">
        <f t="shared" si="71"/>
        <v>4.6082949308756671E-3</v>
      </c>
      <c r="J194" s="155"/>
      <c r="K194" s="49"/>
      <c r="P194" s="149"/>
    </row>
    <row r="195" spans="2:17" x14ac:dyDescent="0.2">
      <c r="B195" s="48" t="str">
        <f>'2017 Determination - Revenue'!B$30</f>
        <v>Namoi</v>
      </c>
      <c r="C195" s="43" t="str">
        <f t="shared" si="73"/>
        <v>$</v>
      </c>
      <c r="D195" s="43"/>
      <c r="E195" s="43"/>
      <c r="F195" s="222">
        <f>('2017 Determination - Revenue'!F$127*ROUND('2017 Determination - charges'!J54,2))+('2017 Determination - Revenue'!F$127*'2017 Determination - Revenue'!F$132*ROUND('2017 Determination - charges'!J20,2))</f>
        <v>38560</v>
      </c>
      <c r="G195" s="141">
        <f>('2017 Determination - Revenue'!G$127*ROUND(Outputs!J92,2))+('2017 Determination - Revenue'!G$127*'2017 Determination - Revenue'!G$132*ROUND(Outputs!J70,2))</f>
        <v>38150</v>
      </c>
      <c r="H195" s="43"/>
      <c r="I195" s="230">
        <f t="shared" si="71"/>
        <v>-1.0632780082987514E-2</v>
      </c>
      <c r="J195" s="155"/>
      <c r="K195" s="49"/>
      <c r="P195" s="149"/>
    </row>
    <row r="196" spans="2:17" x14ac:dyDescent="0.2">
      <c r="B196" s="48" t="str">
        <f>'2017 Determination - Revenue'!B$31</f>
        <v>Peel</v>
      </c>
      <c r="C196" s="43" t="str">
        <f t="shared" si="73"/>
        <v>$</v>
      </c>
      <c r="D196" s="43"/>
      <c r="E196" s="43"/>
      <c r="F196" s="222">
        <f>('2017 Determination - Revenue'!F$127*ROUND('2017 Determination - charges'!J55,2))+('2017 Determination - Revenue'!F$127*'2017 Determination - Revenue'!F$132*ROUND('2017 Determination - charges'!J21,2))</f>
        <v>62360</v>
      </c>
      <c r="G196" s="141">
        <f>('2017 Determination - Revenue'!G$127*ROUND(Outputs!J93,2))+('2017 Determination - Revenue'!G$127*'2017 Determination - Revenue'!G$132*ROUND(Outputs!J71,2))</f>
        <v>61790</v>
      </c>
      <c r="H196" s="43"/>
      <c r="I196" s="230">
        <f t="shared" si="71"/>
        <v>-9.1404746632456346E-3</v>
      </c>
      <c r="J196" s="155"/>
      <c r="K196" s="49"/>
      <c r="P196" s="149"/>
    </row>
    <row r="197" spans="2:17" x14ac:dyDescent="0.2">
      <c r="B197" s="48" t="str">
        <f>'2017 Determination - Revenue'!B$32</f>
        <v>Lachlan</v>
      </c>
      <c r="C197" s="43" t="str">
        <f t="shared" si="73"/>
        <v>$</v>
      </c>
      <c r="D197" s="43"/>
      <c r="E197" s="43"/>
      <c r="F197" s="222">
        <f>('2017 Determination - Revenue'!F$127*ROUND('2017 Determination - charges'!J56,2))+('2017 Determination - Revenue'!F$127*'2017 Determination - Revenue'!F$132*ROUND('2017 Determination - charges'!J22,2))</f>
        <v>35810</v>
      </c>
      <c r="G197" s="141">
        <f>('2017 Determination - Revenue'!G$127*ROUND(Outputs!J94,2))+('2017 Determination - Revenue'!G$127*'2017 Determination - Revenue'!G$132*ROUND(Outputs!J72,2))</f>
        <v>36440</v>
      </c>
      <c r="H197" s="43"/>
      <c r="I197" s="230">
        <f t="shared" si="71"/>
        <v>1.7592851158894085E-2</v>
      </c>
      <c r="J197" s="155"/>
      <c r="K197" s="49"/>
      <c r="P197" s="149"/>
    </row>
    <row r="198" spans="2:17" x14ac:dyDescent="0.2">
      <c r="B198" s="48" t="str">
        <f>'2017 Determination - Revenue'!B$33</f>
        <v>Macquarie</v>
      </c>
      <c r="C198" s="43" t="str">
        <f t="shared" si="73"/>
        <v>$</v>
      </c>
      <c r="D198" s="43"/>
      <c r="E198" s="43"/>
      <c r="F198" s="222">
        <f>('2017 Determination - Revenue'!F$127*ROUND('2017 Determination - charges'!J57,2))+('2017 Determination - Revenue'!F$127*'2017 Determination - Revenue'!F$132*ROUND('2017 Determination - charges'!J23,2))</f>
        <v>28390</v>
      </c>
      <c r="G198" s="141">
        <f>('2017 Determination - Revenue'!G$127*ROUND(Outputs!J95,2))+('2017 Determination - Revenue'!G$127*'2017 Determination - Revenue'!G$132*ROUND(Outputs!J73,2))</f>
        <v>28540</v>
      </c>
      <c r="H198" s="43"/>
      <c r="I198" s="230">
        <f t="shared" si="71"/>
        <v>5.2835505459669641E-3</v>
      </c>
      <c r="J198" s="155"/>
      <c r="K198" s="49"/>
      <c r="P198" s="149"/>
    </row>
    <row r="199" spans="2:17" x14ac:dyDescent="0.2">
      <c r="B199" s="48" t="str">
        <f>'2017 Determination - Revenue'!B$34</f>
        <v>Murray</v>
      </c>
      <c r="C199" s="43" t="str">
        <f t="shared" si="73"/>
        <v>$</v>
      </c>
      <c r="D199" s="43"/>
      <c r="E199" s="43"/>
      <c r="F199" s="222">
        <f>('2017 Determination - Revenue'!F$127*ROUND('2017 Determination - charges'!J58,2))+('2017 Determination - Revenue'!F$127*'2017 Determination - Revenue'!F$132*ROUND('2017 Determination - charges'!J24,2))</f>
        <v>3590</v>
      </c>
      <c r="G199" s="141">
        <f>('2017 Determination - Revenue'!G$127*ROUND(Outputs!J96,2))+('2017 Determination - Revenue'!G$127*'2017 Determination - Revenue'!G$132*ROUND(Outputs!J74,2))</f>
        <v>3630</v>
      </c>
      <c r="H199" s="43"/>
      <c r="I199" s="230">
        <f t="shared" si="71"/>
        <v>1.1142061281337101E-2</v>
      </c>
      <c r="J199" s="155"/>
      <c r="K199" s="49"/>
      <c r="P199" s="149"/>
    </row>
    <row r="200" spans="2:17" x14ac:dyDescent="0.2">
      <c r="B200" s="48" t="str">
        <f>'2017 Determination - Revenue'!B$35</f>
        <v>Murrumbidgee</v>
      </c>
      <c r="C200" s="43" t="str">
        <f t="shared" si="73"/>
        <v>$</v>
      </c>
      <c r="D200" s="43"/>
      <c r="E200" s="43"/>
      <c r="F200" s="222">
        <f>('2017 Determination - Revenue'!F$127*ROUND('2017 Determination - charges'!J59,2))+('2017 Determination - Revenue'!F$127*'2017 Determination - Revenue'!F$132*ROUND('2017 Determination - charges'!J25,2))</f>
        <v>6510</v>
      </c>
      <c r="G200" s="141">
        <f>('2017 Determination - Revenue'!G$127*ROUND(Outputs!J97,2))+('2017 Determination - Revenue'!G$127*'2017 Determination - Revenue'!G$132*ROUND(Outputs!J75,2))</f>
        <v>6600</v>
      </c>
      <c r="H200" s="43"/>
      <c r="I200" s="230">
        <f t="shared" si="71"/>
        <v>1.3824884792626779E-2</v>
      </c>
      <c r="J200" s="155"/>
      <c r="K200" s="49"/>
      <c r="P200" s="149"/>
    </row>
    <row r="201" spans="2:17" x14ac:dyDescent="0.2">
      <c r="B201" s="48" t="str">
        <f>'2017 Determination - Revenue'!B$36</f>
        <v>Lowbidgee</v>
      </c>
      <c r="C201" s="43" t="str">
        <f t="shared" si="73"/>
        <v>$</v>
      </c>
      <c r="D201" s="43"/>
      <c r="E201" s="43"/>
      <c r="F201" s="222">
        <f>('2017 Determination - Revenue'!F$127*ROUND('2017 Determination - charges'!J60,2))+('2017 Determination - Revenue'!F$127*'2017 Determination - Revenue'!F$132*ROUND('2017 Determination - charges'!J26,2))</f>
        <v>0</v>
      </c>
      <c r="G201" s="141">
        <f>('2017 Determination - Revenue'!G$127*ROUND(Outputs!J98,2))+('2017 Determination - Revenue'!G$127*'2017 Determination - Revenue'!G$132*ROUND(Outputs!J76,2))</f>
        <v>0</v>
      </c>
      <c r="H201" s="43"/>
      <c r="I201" s="230"/>
      <c r="J201" s="155"/>
      <c r="K201" s="49"/>
      <c r="P201" s="149"/>
    </row>
    <row r="202" spans="2:17" x14ac:dyDescent="0.2">
      <c r="B202" s="50"/>
      <c r="C202" s="41"/>
      <c r="D202" s="41"/>
      <c r="E202" s="41"/>
      <c r="F202" s="63"/>
      <c r="G202" s="41"/>
      <c r="H202" s="41"/>
      <c r="I202" s="42"/>
      <c r="J202" s="41"/>
      <c r="K202" s="51"/>
    </row>
    <row r="203" spans="2:17" x14ac:dyDescent="0.2">
      <c r="F203" s="61"/>
      <c r="I203" s="186"/>
      <c r="N203" s="148"/>
      <c r="O203" s="148"/>
      <c r="P203" s="149"/>
      <c r="Q203" s="148"/>
    </row>
    <row r="204" spans="2:17" x14ac:dyDescent="0.2">
      <c r="F204" s="61"/>
      <c r="I204" s="186"/>
      <c r="N204" s="148"/>
      <c r="O204" s="148"/>
      <c r="P204" s="148"/>
      <c r="Q204" s="148"/>
    </row>
    <row r="205" spans="2:17" x14ac:dyDescent="0.2">
      <c r="B205" s="38" t="s">
        <v>149</v>
      </c>
      <c r="G205" s="148"/>
      <c r="H205" s="148"/>
      <c r="I205" s="186"/>
      <c r="K205" s="148"/>
      <c r="L205" s="148"/>
      <c r="N205" s="148"/>
      <c r="O205" s="148"/>
      <c r="P205" s="149"/>
      <c r="Q205" s="148"/>
    </row>
    <row r="206" spans="2:17" x14ac:dyDescent="0.2">
      <c r="B206" s="45" t="str">
        <f>'2017 Determination - Revenue'!B$16</f>
        <v>Financial year</v>
      </c>
      <c r="C206" s="46" t="str">
        <f>'2017 Determination - Revenue'!C$23</f>
        <v>Units</v>
      </c>
      <c r="D206" s="46"/>
      <c r="E206" s="46"/>
      <c r="F206" s="178" t="s">
        <v>96</v>
      </c>
      <c r="G206" s="175" t="s">
        <v>96</v>
      </c>
      <c r="H206" s="52"/>
      <c r="I206" s="175"/>
      <c r="J206" s="52"/>
      <c r="K206" s="47"/>
      <c r="L206" s="148"/>
      <c r="N206" s="148"/>
      <c r="O206" s="148"/>
      <c r="P206" s="148"/>
      <c r="Q206" s="148"/>
    </row>
    <row r="207" spans="2:17" s="148" customFormat="1" ht="60" x14ac:dyDescent="0.2">
      <c r="B207" s="48"/>
      <c r="C207" s="43"/>
      <c r="D207" s="43"/>
      <c r="E207" s="43"/>
      <c r="F207" s="214" t="str">
        <f>F$168</f>
        <v>Bill in 2018-19 using the determination charges for 2018-19</v>
      </c>
      <c r="G207" s="214" t="str">
        <f>G$168</f>
        <v>Bill in 2018-19 using the re-calculated charges for 2018-19</v>
      </c>
      <c r="H207" s="163"/>
      <c r="I207" s="224" t="str">
        <f>I$168</f>
        <v>Difference between 2018-19 Determination bills and 2018-19 re-calculated bills</v>
      </c>
      <c r="J207" s="164"/>
      <c r="K207" s="49"/>
      <c r="M207" s="93"/>
    </row>
    <row r="208" spans="2:17" x14ac:dyDescent="0.2">
      <c r="B208" s="102"/>
      <c r="C208" s="43"/>
      <c r="D208" s="43"/>
      <c r="E208" s="43"/>
      <c r="F208" s="215" t="s">
        <v>97</v>
      </c>
      <c r="G208" s="215" t="s">
        <v>97</v>
      </c>
      <c r="H208" s="54"/>
      <c r="I208" s="213" t="str">
        <f>K$66</f>
        <v>%</v>
      </c>
      <c r="J208" s="53"/>
      <c r="K208" s="49"/>
      <c r="L208" s="148"/>
    </row>
    <row r="209" spans="2:16" x14ac:dyDescent="0.2">
      <c r="B209" s="55" t="str">
        <f>'2017 Determination - Revenue'!B$125</f>
        <v>Small consumption customers</v>
      </c>
      <c r="C209" s="148" t="str">
        <f>"Entitlement = "&amp;'2017 Determination - Revenue'!G$135&amp;" kL pa, Usage = "&amp;'2017 Determination - Revenue'!G$140*'2017 Determination - Revenue'!G$135&amp;" kL pa"</f>
        <v>Entitlement = 100 kL pa, Usage = 60 kL pa</v>
      </c>
      <c r="D209" s="43"/>
      <c r="E209" s="43"/>
      <c r="F209" s="57"/>
      <c r="G209" s="43"/>
      <c r="H209" s="43"/>
      <c r="I209" s="44"/>
      <c r="J209" s="43"/>
      <c r="K209" s="49"/>
      <c r="L209" s="148"/>
    </row>
    <row r="210" spans="2:16" ht="12" customHeight="1" x14ac:dyDescent="0.2">
      <c r="B210" s="48" t="str">
        <f>'2017 Determination - Revenue'!B$28</f>
        <v>Border</v>
      </c>
      <c r="C210" s="43" t="str">
        <f t="shared" ref="C210:C218" si="74">C$171</f>
        <v>$</v>
      </c>
      <c r="D210" s="43"/>
      <c r="E210" s="43"/>
      <c r="F210" s="222">
        <f>('2017 Determination - Revenue'!F$135*ROUND('2017 Determination - charges'!J35,2))+('2017 Determination - Revenue'!F$135*'2017 Determination - Revenue'!F$140*ROUND('2017 Determination - charges'!J18,2))</f>
        <v>545.6</v>
      </c>
      <c r="G210" s="141">
        <f>('2017 Determination - Revenue'!G$135*ROUND(Outputs!J79,2))+('2017 Determination - Revenue'!G$135*'2017 Determination - Revenue'!G$140*ROUND(Outputs!J68,2))</f>
        <v>538.4</v>
      </c>
      <c r="H210" s="137"/>
      <c r="I210" s="230">
        <f>G210/F210-1</f>
        <v>-1.3196480938416522E-2</v>
      </c>
      <c r="J210" s="155"/>
      <c r="K210" s="49"/>
      <c r="L210" s="148"/>
      <c r="O210" s="149"/>
      <c r="P210" s="141"/>
    </row>
    <row r="211" spans="2:16" x14ac:dyDescent="0.2">
      <c r="B211" s="48" t="str">
        <f>'2017 Determination - Revenue'!B$29</f>
        <v>Gwydir</v>
      </c>
      <c r="C211" s="43" t="str">
        <f t="shared" si="74"/>
        <v>$</v>
      </c>
      <c r="D211" s="43"/>
      <c r="E211" s="43"/>
      <c r="F211" s="222">
        <f>('2017 Determination - Revenue'!F$135*ROUND('2017 Determination - charges'!J36,2))+('2017 Determination - Revenue'!F$135*'2017 Determination - Revenue'!F$140*ROUND('2017 Determination - charges'!J19,2))</f>
        <v>1103</v>
      </c>
      <c r="G211" s="141">
        <f>('2017 Determination - Revenue'!G$135*ROUND(Outputs!J80,2))+('2017 Determination - Revenue'!G$135*'2017 Determination - Revenue'!G$140*ROUND(Outputs!J69,2))</f>
        <v>1112</v>
      </c>
      <c r="H211" s="137"/>
      <c r="I211" s="230">
        <f t="shared" ref="I211:I240" si="75">G211/F211-1</f>
        <v>8.1595648232093421E-3</v>
      </c>
      <c r="J211" s="155"/>
      <c r="K211" s="49"/>
      <c r="L211" s="148"/>
      <c r="O211" s="149"/>
      <c r="P211" s="141"/>
    </row>
    <row r="212" spans="2:16" x14ac:dyDescent="0.2">
      <c r="B212" s="48" t="str">
        <f>'2017 Determination - Revenue'!B$30</f>
        <v>Namoi</v>
      </c>
      <c r="C212" s="43" t="str">
        <f t="shared" si="74"/>
        <v>$</v>
      </c>
      <c r="D212" s="43"/>
      <c r="E212" s="43"/>
      <c r="F212" s="222">
        <f>('2017 Determination - Revenue'!F$135*ROUND('2017 Determination - charges'!J37,2))+('2017 Determination - Revenue'!F$135*'2017 Determination - Revenue'!F$140*ROUND('2017 Determination - charges'!J20,2))</f>
        <v>2075.3999999999996</v>
      </c>
      <c r="G212" s="141">
        <f>('2017 Determination - Revenue'!G$135*ROUND(Outputs!J81,2))+('2017 Determination - Revenue'!G$135*'2017 Determination - Revenue'!G$140*ROUND(Outputs!J70,2))</f>
        <v>2071.6</v>
      </c>
      <c r="H212" s="137"/>
      <c r="I212" s="230">
        <f t="shared" si="75"/>
        <v>-1.8309723426808144E-3</v>
      </c>
      <c r="J212" s="155"/>
      <c r="K212" s="49"/>
      <c r="L212" s="148"/>
      <c r="O212" s="149"/>
      <c r="P212" s="141"/>
    </row>
    <row r="213" spans="2:16" x14ac:dyDescent="0.2">
      <c r="B213" s="48" t="str">
        <f>'2017 Determination - Revenue'!B$31</f>
        <v>Peel</v>
      </c>
      <c r="C213" s="43" t="str">
        <f t="shared" si="74"/>
        <v>$</v>
      </c>
      <c r="D213" s="43"/>
      <c r="E213" s="43"/>
      <c r="F213" s="222">
        <f>('2017 Determination - Revenue'!F$135*ROUND('2017 Determination - charges'!J38,2))+('2017 Determination - Revenue'!F$135*'2017 Determination - Revenue'!F$140*ROUND('2017 Determination - charges'!J21,2))</f>
        <v>1564.6</v>
      </c>
      <c r="G213" s="141">
        <f>('2017 Determination - Revenue'!G$135*ROUND(Outputs!J82,2))+('2017 Determination - Revenue'!G$135*'2017 Determination - Revenue'!G$140*ROUND(Outputs!J71,2))</f>
        <v>1551.1999999999998</v>
      </c>
      <c r="H213" s="137"/>
      <c r="I213" s="230">
        <f t="shared" si="75"/>
        <v>-8.5644893263454591E-3</v>
      </c>
      <c r="J213" s="155"/>
      <c r="K213" s="49"/>
      <c r="L213" s="148"/>
      <c r="O213" s="149"/>
      <c r="P213" s="141"/>
    </row>
    <row r="214" spans="2:16" x14ac:dyDescent="0.2">
      <c r="B214" s="48" t="str">
        <f>'2017 Determination - Revenue'!B$32</f>
        <v>Lachlan</v>
      </c>
      <c r="C214" s="43" t="str">
        <f t="shared" si="74"/>
        <v>$</v>
      </c>
      <c r="D214" s="43"/>
      <c r="E214" s="43"/>
      <c r="F214" s="222">
        <f>('2017 Determination - Revenue'!F$135*ROUND('2017 Determination - charges'!J39,2))+('2017 Determination - Revenue'!F$135*'2017 Determination - Revenue'!F$140*ROUND('2017 Determination - charges'!J22,2))</f>
        <v>1472.6</v>
      </c>
      <c r="G214" s="141">
        <f>('2017 Determination - Revenue'!G$135*ROUND(Outputs!J83,2))+('2017 Determination - Revenue'!G$135*'2017 Determination - Revenue'!G$140*ROUND(Outputs!J72,2))</f>
        <v>1547.1999999999998</v>
      </c>
      <c r="H214" s="137"/>
      <c r="I214" s="230">
        <f t="shared" si="75"/>
        <v>5.065869889990493E-2</v>
      </c>
      <c r="J214" s="155"/>
      <c r="K214" s="49"/>
      <c r="L214" s="148"/>
      <c r="O214" s="149"/>
      <c r="P214" s="141"/>
    </row>
    <row r="215" spans="2:16" x14ac:dyDescent="0.2">
      <c r="B215" s="48" t="str">
        <f>'2017 Determination - Revenue'!B$33</f>
        <v>Macquarie</v>
      </c>
      <c r="C215" s="43" t="str">
        <f t="shared" si="74"/>
        <v>$</v>
      </c>
      <c r="D215" s="43"/>
      <c r="E215" s="43"/>
      <c r="F215" s="222">
        <f>('2017 Determination - Revenue'!F$135*ROUND('2017 Determination - charges'!J40,2))+('2017 Determination - Revenue'!F$135*'2017 Determination - Revenue'!F$140*ROUND('2017 Determination - charges'!J23,2))</f>
        <v>1157.4000000000001</v>
      </c>
      <c r="G215" s="141">
        <f>('2017 Determination - Revenue'!G$135*ROUND(Outputs!J84,2))+('2017 Determination - Revenue'!G$135*'2017 Determination - Revenue'!G$140*ROUND(Outputs!J73,2))</f>
        <v>1178.2</v>
      </c>
      <c r="H215" s="137"/>
      <c r="I215" s="230">
        <f t="shared" si="75"/>
        <v>1.7971315016416023E-2</v>
      </c>
      <c r="J215" s="155"/>
      <c r="K215" s="49"/>
      <c r="L215" s="148"/>
      <c r="O215" s="149"/>
      <c r="P215" s="141"/>
    </row>
    <row r="216" spans="2:16" x14ac:dyDescent="0.2">
      <c r="B216" s="48" t="str">
        <f>'2017 Determination - Revenue'!B$34</f>
        <v>Murray</v>
      </c>
      <c r="C216" s="43" t="str">
        <f t="shared" si="74"/>
        <v>$</v>
      </c>
      <c r="D216" s="43"/>
      <c r="E216" s="43"/>
      <c r="F216" s="222">
        <f>('2017 Determination - Revenue'!F$135*ROUND('2017 Determination - charges'!J41,2))+('2017 Determination - Revenue'!F$135*'2017 Determination - Revenue'!F$140*ROUND('2017 Determination - charges'!J24,2))</f>
        <v>197.4</v>
      </c>
      <c r="G216" s="141">
        <f>('2017 Determination - Revenue'!G$135*ROUND(Outputs!J85,2))+('2017 Determination - Revenue'!G$135*'2017 Determination - Revenue'!G$140*ROUND(Outputs!J74,2))</f>
        <v>199.79999999999998</v>
      </c>
      <c r="H216" s="137"/>
      <c r="I216" s="230">
        <f t="shared" si="75"/>
        <v>1.2158054711246091E-2</v>
      </c>
      <c r="J216" s="155"/>
      <c r="K216" s="49"/>
      <c r="L216" s="148"/>
      <c r="O216" s="149"/>
      <c r="P216" s="141"/>
    </row>
    <row r="217" spans="2:16" x14ac:dyDescent="0.2">
      <c r="B217" s="48" t="str">
        <f>'2017 Determination - Revenue'!B$35</f>
        <v>Murrumbidgee</v>
      </c>
      <c r="C217" s="43" t="str">
        <f t="shared" si="74"/>
        <v>$</v>
      </c>
      <c r="D217" s="43"/>
      <c r="E217" s="43"/>
      <c r="F217" s="222">
        <f>('2017 Determination - Revenue'!F$135*ROUND('2017 Determination - charges'!J42,2))+('2017 Determination - Revenue'!F$135*'2017 Determination - Revenue'!F$140*ROUND('2017 Determination - charges'!J25,2))</f>
        <v>321.39999999999998</v>
      </c>
      <c r="G217" s="141">
        <f>('2017 Determination - Revenue'!G$135*ROUND(Outputs!J86,2))+('2017 Determination - Revenue'!G$135*'2017 Determination - Revenue'!G$140*ROUND(Outputs!J75,2))</f>
        <v>326.79999999999995</v>
      </c>
      <c r="H217" s="137"/>
      <c r="I217" s="230">
        <f t="shared" si="75"/>
        <v>1.6801493466085837E-2</v>
      </c>
      <c r="J217" s="155"/>
      <c r="K217" s="49"/>
      <c r="L217" s="148"/>
      <c r="O217" s="149"/>
      <c r="P217" s="141"/>
    </row>
    <row r="218" spans="2:16" x14ac:dyDescent="0.2">
      <c r="B218" s="48" t="str">
        <f>'2017 Determination - Revenue'!B$36</f>
        <v>Lowbidgee</v>
      </c>
      <c r="C218" s="43" t="str">
        <f t="shared" si="74"/>
        <v>$</v>
      </c>
      <c r="D218" s="43"/>
      <c r="E218" s="43"/>
      <c r="F218" s="222">
        <f>('2017 Determination - Revenue'!F$135*ROUND('2017 Determination - charges'!J43,2))+('2017 Determination - Revenue'!F$135*'2017 Determination - Revenue'!F$140*ROUND('2017 Determination - charges'!J26,2))</f>
        <v>82</v>
      </c>
      <c r="G218" s="141">
        <f>('2017 Determination - Revenue'!G$135*ROUND(Outputs!J87,2))+('2017 Determination - Revenue'!G$135*'2017 Determination - Revenue'!G$140*ROUND(Outputs!J76,2))</f>
        <v>82</v>
      </c>
      <c r="H218" s="137"/>
      <c r="I218" s="230">
        <f t="shared" si="75"/>
        <v>0</v>
      </c>
      <c r="J218" s="155"/>
      <c r="K218" s="49"/>
      <c r="L218" s="148"/>
      <c r="O218" s="149"/>
      <c r="P218" s="141"/>
    </row>
    <row r="219" spans="2:16" x14ac:dyDescent="0.2">
      <c r="B219" s="48"/>
      <c r="C219" s="43"/>
      <c r="D219" s="43"/>
      <c r="E219" s="43"/>
      <c r="F219" s="57"/>
      <c r="G219" s="43"/>
      <c r="H219" s="43"/>
      <c r="I219" s="230"/>
      <c r="J219" s="155"/>
      <c r="K219" s="49"/>
      <c r="L219" s="148"/>
      <c r="O219" s="149"/>
      <c r="P219" s="141"/>
    </row>
    <row r="220" spans="2:16" x14ac:dyDescent="0.2">
      <c r="B220" s="55" t="str">
        <f>'2017 Determination - Revenue'!B$126</f>
        <v>Medium consumption customers</v>
      </c>
      <c r="C220" s="148" t="str">
        <f>"Entitlement = "&amp;'2017 Determination - Revenue'!G$136&amp;" kL pa, Usage = "&amp;'2017 Determination - Revenue'!G$141*'2017 Determination - Revenue'!G$136&amp;" kL pa"</f>
        <v>Entitlement = 500 kL pa, Usage = 300 kL pa</v>
      </c>
      <c r="D220" s="43"/>
      <c r="E220" s="43"/>
      <c r="F220" s="57"/>
      <c r="G220" s="43"/>
      <c r="H220" s="43"/>
      <c r="I220" s="230"/>
      <c r="J220" s="155"/>
      <c r="K220" s="49"/>
      <c r="L220" s="148"/>
      <c r="O220" s="149"/>
      <c r="P220" s="141"/>
    </row>
    <row r="221" spans="2:16" x14ac:dyDescent="0.2">
      <c r="B221" s="48" t="str">
        <f>'2017 Determination - Revenue'!B$28</f>
        <v>Border</v>
      </c>
      <c r="C221" s="43" t="str">
        <f t="shared" ref="C221:C229" si="76">C$171</f>
        <v>$</v>
      </c>
      <c r="D221" s="43"/>
      <c r="E221" s="43"/>
      <c r="F221" s="222">
        <f>('2017 Determination - Revenue'!F$136*ROUND('2017 Determination - charges'!J35,2))+('2017 Determination - Revenue'!F$136*'2017 Determination - Revenue'!F$141*ROUND('2017 Determination - charges'!J18,2))</f>
        <v>2728</v>
      </c>
      <c r="G221" s="141">
        <f>('2017 Determination - Revenue'!G$136*ROUND(Outputs!J79,2))+('2017 Determination - Revenue'!G$136*'2017 Determination - Revenue'!G$141*ROUND(Outputs!J68,2))</f>
        <v>2692</v>
      </c>
      <c r="H221" s="43"/>
      <c r="I221" s="230">
        <f t="shared" si="75"/>
        <v>-1.3196480938416411E-2</v>
      </c>
      <c r="J221" s="155"/>
      <c r="K221" s="49"/>
      <c r="L221" s="148"/>
      <c r="O221" s="149"/>
      <c r="P221" s="141"/>
    </row>
    <row r="222" spans="2:16" x14ac:dyDescent="0.2">
      <c r="B222" s="48" t="str">
        <f>'2017 Determination - Revenue'!B$29</f>
        <v>Gwydir</v>
      </c>
      <c r="C222" s="43" t="str">
        <f t="shared" si="76"/>
        <v>$</v>
      </c>
      <c r="D222" s="43"/>
      <c r="E222" s="43"/>
      <c r="F222" s="222">
        <f>('2017 Determination - Revenue'!F$136*ROUND('2017 Determination - charges'!J36,2))+('2017 Determination - Revenue'!F$136*'2017 Determination - Revenue'!F$141*ROUND('2017 Determination - charges'!J19,2))</f>
        <v>5515</v>
      </c>
      <c r="G222" s="141">
        <f>('2017 Determination - Revenue'!G$136*ROUND(Outputs!J80,2))+('2017 Determination - Revenue'!G$136*'2017 Determination - Revenue'!G$141*ROUND(Outputs!J69,2))</f>
        <v>5560</v>
      </c>
      <c r="H222" s="43"/>
      <c r="I222" s="230">
        <f t="shared" si="75"/>
        <v>8.1595648232093421E-3</v>
      </c>
      <c r="J222" s="155"/>
      <c r="K222" s="49"/>
      <c r="L222" s="148"/>
      <c r="O222" s="149"/>
      <c r="P222" s="141"/>
    </row>
    <row r="223" spans="2:16" x14ac:dyDescent="0.2">
      <c r="B223" s="48" t="str">
        <f>'2017 Determination - Revenue'!B$30</f>
        <v>Namoi</v>
      </c>
      <c r="C223" s="43" t="str">
        <f t="shared" si="76"/>
        <v>$</v>
      </c>
      <c r="D223" s="43"/>
      <c r="E223" s="43"/>
      <c r="F223" s="222">
        <f>('2017 Determination - Revenue'!F$136*ROUND('2017 Determination - charges'!J37,2))+('2017 Determination - Revenue'!F$136*'2017 Determination - Revenue'!F$141*ROUND('2017 Determination - charges'!J20,2))</f>
        <v>10377</v>
      </c>
      <c r="G223" s="141">
        <f>('2017 Determination - Revenue'!G$136*ROUND(Outputs!J81,2))+('2017 Determination - Revenue'!G$136*'2017 Determination - Revenue'!G$141*ROUND(Outputs!J70,2))</f>
        <v>10358</v>
      </c>
      <c r="H223" s="43"/>
      <c r="I223" s="230">
        <f t="shared" si="75"/>
        <v>-1.8309723426809255E-3</v>
      </c>
      <c r="J223" s="155"/>
      <c r="K223" s="49"/>
      <c r="L223" s="148"/>
      <c r="O223" s="149"/>
      <c r="P223" s="141"/>
    </row>
    <row r="224" spans="2:16" x14ac:dyDescent="0.2">
      <c r="B224" s="48" t="str">
        <f>'2017 Determination - Revenue'!B$31</f>
        <v>Peel</v>
      </c>
      <c r="C224" s="43" t="str">
        <f t="shared" si="76"/>
        <v>$</v>
      </c>
      <c r="D224" s="43"/>
      <c r="E224" s="43"/>
      <c r="F224" s="222">
        <f>('2017 Determination - Revenue'!F$136*ROUND('2017 Determination - charges'!J38,2))+('2017 Determination - Revenue'!F$136*'2017 Determination - Revenue'!F$141*ROUND('2017 Determination - charges'!J21,2))</f>
        <v>7823</v>
      </c>
      <c r="G224" s="141">
        <f>('2017 Determination - Revenue'!G$136*ROUND(Outputs!J82,2))+('2017 Determination - Revenue'!G$136*'2017 Determination - Revenue'!G$141*ROUND(Outputs!J71,2))</f>
        <v>7756</v>
      </c>
      <c r="H224" s="43"/>
      <c r="I224" s="230">
        <f t="shared" si="75"/>
        <v>-8.5644893263453481E-3</v>
      </c>
      <c r="J224" s="155"/>
      <c r="K224" s="49"/>
      <c r="L224" s="148"/>
      <c r="O224" s="149"/>
      <c r="P224" s="141"/>
    </row>
    <row r="225" spans="2:16" x14ac:dyDescent="0.2">
      <c r="B225" s="48" t="str">
        <f>'2017 Determination - Revenue'!B$32</f>
        <v>Lachlan</v>
      </c>
      <c r="C225" s="43" t="str">
        <f t="shared" si="76"/>
        <v>$</v>
      </c>
      <c r="D225" s="43"/>
      <c r="E225" s="43"/>
      <c r="F225" s="222">
        <f>('2017 Determination - Revenue'!F$136*ROUND('2017 Determination - charges'!J39,2))+('2017 Determination - Revenue'!F$136*'2017 Determination - Revenue'!F$141*ROUND('2017 Determination - charges'!J22,2))</f>
        <v>7363</v>
      </c>
      <c r="G225" s="141">
        <f>('2017 Determination - Revenue'!G$136*ROUND(Outputs!J83,2))+('2017 Determination - Revenue'!G$136*'2017 Determination - Revenue'!G$141*ROUND(Outputs!J72,2))</f>
        <v>7736</v>
      </c>
      <c r="H225" s="43"/>
      <c r="I225" s="230">
        <f t="shared" si="75"/>
        <v>5.065869889990493E-2</v>
      </c>
      <c r="J225" s="155"/>
      <c r="K225" s="49"/>
      <c r="L225" s="148"/>
      <c r="O225" s="149"/>
      <c r="P225" s="141"/>
    </row>
    <row r="226" spans="2:16" x14ac:dyDescent="0.2">
      <c r="B226" s="48" t="str">
        <f>'2017 Determination - Revenue'!B$33</f>
        <v>Macquarie</v>
      </c>
      <c r="C226" s="43" t="str">
        <f t="shared" si="76"/>
        <v>$</v>
      </c>
      <c r="D226" s="43"/>
      <c r="E226" s="43"/>
      <c r="F226" s="222">
        <f>('2017 Determination - Revenue'!F$136*ROUND('2017 Determination - charges'!J40,2))+('2017 Determination - Revenue'!F$136*'2017 Determination - Revenue'!F$141*ROUND('2017 Determination - charges'!J23,2))</f>
        <v>5787</v>
      </c>
      <c r="G226" s="141">
        <f>('2017 Determination - Revenue'!G$136*ROUND(Outputs!J84,2))+('2017 Determination - Revenue'!G$136*'2017 Determination - Revenue'!G$141*ROUND(Outputs!J73,2))</f>
        <v>5891</v>
      </c>
      <c r="H226" s="43"/>
      <c r="I226" s="230">
        <f t="shared" si="75"/>
        <v>1.7971315016416023E-2</v>
      </c>
      <c r="J226" s="155"/>
      <c r="K226" s="49"/>
      <c r="L226" s="148"/>
      <c r="O226" s="149"/>
      <c r="P226" s="141"/>
    </row>
    <row r="227" spans="2:16" x14ac:dyDescent="0.2">
      <c r="B227" s="48" t="str">
        <f>'2017 Determination - Revenue'!B$34</f>
        <v>Murray</v>
      </c>
      <c r="C227" s="43" t="str">
        <f t="shared" si="76"/>
        <v>$</v>
      </c>
      <c r="D227" s="43"/>
      <c r="E227" s="43"/>
      <c r="F227" s="222">
        <f>('2017 Determination - Revenue'!F$136*ROUND('2017 Determination - charges'!J41,2))+('2017 Determination - Revenue'!F$136*'2017 Determination - Revenue'!F$141*ROUND('2017 Determination - charges'!J24,2))</f>
        <v>987</v>
      </c>
      <c r="G227" s="141">
        <f>('2017 Determination - Revenue'!G$136*ROUND(Outputs!J85,2))+('2017 Determination - Revenue'!G$136*'2017 Determination - Revenue'!G$141*ROUND(Outputs!J74,2))</f>
        <v>998.99999999999989</v>
      </c>
      <c r="H227" s="43"/>
      <c r="I227" s="230">
        <f t="shared" si="75"/>
        <v>1.2158054711246091E-2</v>
      </c>
      <c r="J227" s="155"/>
      <c r="K227" s="49"/>
      <c r="L227" s="148"/>
      <c r="O227" s="149"/>
      <c r="P227" s="141"/>
    </row>
    <row r="228" spans="2:16" x14ac:dyDescent="0.2">
      <c r="B228" s="48" t="str">
        <f>'2017 Determination - Revenue'!B$35</f>
        <v>Murrumbidgee</v>
      </c>
      <c r="C228" s="43" t="str">
        <f t="shared" si="76"/>
        <v>$</v>
      </c>
      <c r="D228" s="43"/>
      <c r="E228" s="43"/>
      <c r="F228" s="222">
        <f>('2017 Determination - Revenue'!F$136*ROUND('2017 Determination - charges'!J42,2))+('2017 Determination - Revenue'!F$136*'2017 Determination - Revenue'!F$141*ROUND('2017 Determination - charges'!J25,2))</f>
        <v>1607</v>
      </c>
      <c r="G228" s="141">
        <f>('2017 Determination - Revenue'!G$136*ROUND(Outputs!J86,2))+('2017 Determination - Revenue'!G$136*'2017 Determination - Revenue'!G$141*ROUND(Outputs!J75,2))</f>
        <v>1634</v>
      </c>
      <c r="H228" s="43"/>
      <c r="I228" s="230">
        <f t="shared" si="75"/>
        <v>1.6801493466085837E-2</v>
      </c>
      <c r="J228" s="155"/>
      <c r="K228" s="49"/>
      <c r="L228" s="148"/>
      <c r="O228" s="149"/>
      <c r="P228" s="141"/>
    </row>
    <row r="229" spans="2:16" x14ac:dyDescent="0.2">
      <c r="B229" s="48" t="str">
        <f>'2017 Determination - Revenue'!B$36</f>
        <v>Lowbidgee</v>
      </c>
      <c r="C229" s="43" t="str">
        <f t="shared" si="76"/>
        <v>$</v>
      </c>
      <c r="D229" s="43"/>
      <c r="E229" s="43"/>
      <c r="F229" s="222">
        <f>('2017 Determination - Revenue'!F$136*ROUND('2017 Determination - charges'!J43,2))+('2017 Determination - Revenue'!F$136*'2017 Determination - Revenue'!F$141*ROUND('2017 Determination - charges'!J26,2))</f>
        <v>410</v>
      </c>
      <c r="G229" s="141">
        <f>('2017 Determination - Revenue'!G$136*ROUND(Outputs!J87,2))+('2017 Determination - Revenue'!G$136*'2017 Determination - Revenue'!G$141*ROUND(Outputs!J76,2))</f>
        <v>410</v>
      </c>
      <c r="H229" s="43"/>
      <c r="I229" s="230">
        <f t="shared" si="75"/>
        <v>0</v>
      </c>
      <c r="J229" s="155"/>
      <c r="K229" s="49"/>
      <c r="L229" s="148"/>
      <c r="O229" s="149"/>
      <c r="P229" s="141"/>
    </row>
    <row r="230" spans="2:16" x14ac:dyDescent="0.2">
      <c r="B230" s="48"/>
      <c r="C230" s="43"/>
      <c r="D230" s="43"/>
      <c r="E230" s="43"/>
      <c r="F230" s="137"/>
      <c r="G230" s="137"/>
      <c r="H230" s="43"/>
      <c r="I230" s="230"/>
      <c r="J230" s="155"/>
      <c r="K230" s="49"/>
      <c r="L230" s="148"/>
      <c r="O230" s="149"/>
      <c r="P230" s="141"/>
    </row>
    <row r="231" spans="2:16" x14ac:dyDescent="0.2">
      <c r="B231" s="55" t="str">
        <f>'2017 Determination - Revenue'!B$127</f>
        <v>Large consumption customers</v>
      </c>
      <c r="C231" s="148" t="str">
        <f>"Entitlement = "&amp;'2017 Determination - Revenue'!G$137&amp;" kL pa, Usage = "&amp;'2017 Determination - Revenue'!G$142*'2017 Determination - Revenue'!G$137&amp;" kL pa"</f>
        <v>Entitlement = 1000 kL pa, Usage = 600 kL pa</v>
      </c>
      <c r="D231" s="43"/>
      <c r="E231" s="43"/>
      <c r="F231" s="137"/>
      <c r="G231" s="137"/>
      <c r="H231" s="43"/>
      <c r="I231" s="230"/>
      <c r="J231" s="155"/>
      <c r="K231" s="49"/>
      <c r="L231" s="148"/>
      <c r="O231" s="149"/>
      <c r="P231" s="141"/>
    </row>
    <row r="232" spans="2:16" x14ac:dyDescent="0.2">
      <c r="B232" s="48" t="str">
        <f>'2017 Determination - Revenue'!B$28</f>
        <v>Border</v>
      </c>
      <c r="C232" s="43" t="str">
        <f t="shared" ref="C232:C240" si="77">C$171</f>
        <v>$</v>
      </c>
      <c r="D232" s="43"/>
      <c r="E232" s="43"/>
      <c r="F232" s="222">
        <f>('2017 Determination - Revenue'!F$137*ROUND('2017 Determination - charges'!J35,2))+('2017 Determination - Revenue'!F$137*'2017 Determination - Revenue'!F$142*ROUND('2017 Determination - charges'!J18,2))</f>
        <v>5456</v>
      </c>
      <c r="G232" s="141">
        <f>('2017 Determination - Revenue'!G$137*ROUND(Outputs!J79,2))+('2017 Determination - Revenue'!G$137*'2017 Determination - Revenue'!G$142*ROUND(Outputs!J68,2))</f>
        <v>5384</v>
      </c>
      <c r="H232" s="43"/>
      <c r="I232" s="230">
        <f t="shared" si="75"/>
        <v>-1.3196480938416411E-2</v>
      </c>
      <c r="J232" s="155"/>
      <c r="K232" s="49"/>
      <c r="L232" s="148"/>
      <c r="O232" s="149"/>
      <c r="P232" s="141"/>
    </row>
    <row r="233" spans="2:16" x14ac:dyDescent="0.2">
      <c r="B233" s="48" t="str">
        <f>'2017 Determination - Revenue'!B$29</f>
        <v>Gwydir</v>
      </c>
      <c r="C233" s="43" t="str">
        <f t="shared" si="77"/>
        <v>$</v>
      </c>
      <c r="D233" s="43"/>
      <c r="E233" s="43"/>
      <c r="F233" s="222">
        <f>('2017 Determination - Revenue'!F$137*ROUND('2017 Determination - charges'!J36,2))+('2017 Determination - Revenue'!F$137*'2017 Determination - Revenue'!F$142*ROUND('2017 Determination - charges'!J19,2))</f>
        <v>11030</v>
      </c>
      <c r="G233" s="141">
        <f>('2017 Determination - Revenue'!G$137*ROUND(Outputs!J80,2))+('2017 Determination - Revenue'!G$137*'2017 Determination - Revenue'!G$142*ROUND(Outputs!J69,2))</f>
        <v>11120</v>
      </c>
      <c r="H233" s="43"/>
      <c r="I233" s="230">
        <f t="shared" si="75"/>
        <v>8.1595648232093421E-3</v>
      </c>
      <c r="J233" s="155"/>
      <c r="K233" s="49"/>
      <c r="L233" s="148"/>
      <c r="O233" s="149"/>
      <c r="P233" s="141"/>
    </row>
    <row r="234" spans="2:16" x14ac:dyDescent="0.2">
      <c r="B234" s="48" t="str">
        <f>'2017 Determination - Revenue'!B$30</f>
        <v>Namoi</v>
      </c>
      <c r="C234" s="43" t="str">
        <f t="shared" si="77"/>
        <v>$</v>
      </c>
      <c r="D234" s="43"/>
      <c r="E234" s="43"/>
      <c r="F234" s="222">
        <f>('2017 Determination - Revenue'!F$137*ROUND('2017 Determination - charges'!J37,2))+('2017 Determination - Revenue'!F$137*'2017 Determination - Revenue'!F$142*ROUND('2017 Determination - charges'!J20,2))</f>
        <v>20754</v>
      </c>
      <c r="G234" s="141">
        <f>('2017 Determination - Revenue'!G$137*ROUND(Outputs!J81,2))+('2017 Determination - Revenue'!G$137*'2017 Determination - Revenue'!G$142*ROUND(Outputs!J70,2))</f>
        <v>20716</v>
      </c>
      <c r="H234" s="43"/>
      <c r="I234" s="230">
        <f t="shared" si="75"/>
        <v>-1.8309723426809255E-3</v>
      </c>
      <c r="J234" s="155"/>
      <c r="K234" s="49"/>
      <c r="L234" s="148"/>
      <c r="O234" s="149"/>
      <c r="P234" s="141"/>
    </row>
    <row r="235" spans="2:16" x14ac:dyDescent="0.2">
      <c r="B235" s="48" t="str">
        <f>'2017 Determination - Revenue'!B$31</f>
        <v>Peel</v>
      </c>
      <c r="C235" s="43" t="str">
        <f t="shared" si="77"/>
        <v>$</v>
      </c>
      <c r="D235" s="43"/>
      <c r="E235" s="43"/>
      <c r="F235" s="222">
        <f>('2017 Determination - Revenue'!F$137*ROUND('2017 Determination - charges'!J38,2))+('2017 Determination - Revenue'!F$137*'2017 Determination - Revenue'!F$142*ROUND('2017 Determination - charges'!J21,2))</f>
        <v>15646</v>
      </c>
      <c r="G235" s="141">
        <f>('2017 Determination - Revenue'!G$137*ROUND(Outputs!J82,2))+('2017 Determination - Revenue'!G$137*'2017 Determination - Revenue'!G$142*ROUND(Outputs!J71,2))</f>
        <v>15512</v>
      </c>
      <c r="H235" s="43"/>
      <c r="I235" s="230">
        <f t="shared" si="75"/>
        <v>-8.5644893263453481E-3</v>
      </c>
      <c r="J235" s="155"/>
      <c r="K235" s="49"/>
      <c r="L235" s="148"/>
      <c r="O235" s="149"/>
      <c r="P235" s="141"/>
    </row>
    <row r="236" spans="2:16" x14ac:dyDescent="0.2">
      <c r="B236" s="48" t="str">
        <f>'2017 Determination - Revenue'!B$32</f>
        <v>Lachlan</v>
      </c>
      <c r="C236" s="43" t="str">
        <f t="shared" si="77"/>
        <v>$</v>
      </c>
      <c r="D236" s="43"/>
      <c r="E236" s="43"/>
      <c r="F236" s="222">
        <f>('2017 Determination - Revenue'!F$137*ROUND('2017 Determination - charges'!J39,2))+('2017 Determination - Revenue'!F$137*'2017 Determination - Revenue'!F$142*ROUND('2017 Determination - charges'!J22,2))</f>
        <v>14726</v>
      </c>
      <c r="G236" s="141">
        <f>('2017 Determination - Revenue'!G$137*ROUND(Outputs!J83,2))+('2017 Determination - Revenue'!G$137*'2017 Determination - Revenue'!G$142*ROUND(Outputs!J72,2))</f>
        <v>15472</v>
      </c>
      <c r="H236" s="43"/>
      <c r="I236" s="230">
        <f t="shared" si="75"/>
        <v>5.065869889990493E-2</v>
      </c>
      <c r="J236" s="155"/>
      <c r="K236" s="49"/>
      <c r="L236" s="148"/>
      <c r="O236" s="149"/>
      <c r="P236" s="141"/>
    </row>
    <row r="237" spans="2:16" x14ac:dyDescent="0.2">
      <c r="B237" s="48" t="str">
        <f>'2017 Determination - Revenue'!B$33</f>
        <v>Macquarie</v>
      </c>
      <c r="C237" s="43" t="str">
        <f t="shared" si="77"/>
        <v>$</v>
      </c>
      <c r="D237" s="43"/>
      <c r="E237" s="43"/>
      <c r="F237" s="222">
        <f>('2017 Determination - Revenue'!F$137*ROUND('2017 Determination - charges'!J40,2))+('2017 Determination - Revenue'!F$137*'2017 Determination - Revenue'!F$142*ROUND('2017 Determination - charges'!J23,2))</f>
        <v>11574</v>
      </c>
      <c r="G237" s="141">
        <f>('2017 Determination - Revenue'!G$137*ROUND(Outputs!J84,2))+('2017 Determination - Revenue'!G$137*'2017 Determination - Revenue'!G$142*ROUND(Outputs!J73,2))</f>
        <v>11782</v>
      </c>
      <c r="H237" s="43"/>
      <c r="I237" s="230">
        <f t="shared" si="75"/>
        <v>1.7971315016416023E-2</v>
      </c>
      <c r="J237" s="155"/>
      <c r="K237" s="49"/>
      <c r="L237" s="148"/>
      <c r="O237" s="149"/>
      <c r="P237" s="141"/>
    </row>
    <row r="238" spans="2:16" x14ac:dyDescent="0.2">
      <c r="B238" s="48" t="str">
        <f>'2017 Determination - Revenue'!B$34</f>
        <v>Murray</v>
      </c>
      <c r="C238" s="43" t="str">
        <f t="shared" si="77"/>
        <v>$</v>
      </c>
      <c r="D238" s="43"/>
      <c r="E238" s="43"/>
      <c r="F238" s="222">
        <f>('2017 Determination - Revenue'!F$137*ROUND('2017 Determination - charges'!J41,2))+('2017 Determination - Revenue'!F$137*'2017 Determination - Revenue'!F$142*ROUND('2017 Determination - charges'!J24,2))</f>
        <v>1974</v>
      </c>
      <c r="G238" s="141">
        <f>('2017 Determination - Revenue'!G$137*ROUND(Outputs!J85,2))+('2017 Determination - Revenue'!G$137*'2017 Determination - Revenue'!G$142*ROUND(Outputs!J74,2))</f>
        <v>1997.9999999999998</v>
      </c>
      <c r="H238" s="43"/>
      <c r="I238" s="230">
        <f t="shared" si="75"/>
        <v>1.2158054711246091E-2</v>
      </c>
      <c r="J238" s="155"/>
      <c r="K238" s="49"/>
      <c r="L238" s="148"/>
      <c r="O238" s="149"/>
      <c r="P238" s="141"/>
    </row>
    <row r="239" spans="2:16" x14ac:dyDescent="0.2">
      <c r="B239" s="48" t="str">
        <f>'2017 Determination - Revenue'!B$35</f>
        <v>Murrumbidgee</v>
      </c>
      <c r="C239" s="43" t="str">
        <f t="shared" si="77"/>
        <v>$</v>
      </c>
      <c r="D239" s="43"/>
      <c r="E239" s="43"/>
      <c r="F239" s="222">
        <f>('2017 Determination - Revenue'!F$137*ROUND('2017 Determination - charges'!J42,2))+('2017 Determination - Revenue'!F$137*'2017 Determination - Revenue'!F$142*ROUND('2017 Determination - charges'!J25,2))</f>
        <v>3214</v>
      </c>
      <c r="G239" s="141">
        <f>('2017 Determination - Revenue'!G$137*ROUND(Outputs!J86,2))+('2017 Determination - Revenue'!G$137*'2017 Determination - Revenue'!G$142*ROUND(Outputs!J75,2))</f>
        <v>3268</v>
      </c>
      <c r="H239" s="43"/>
      <c r="I239" s="230">
        <f t="shared" si="75"/>
        <v>1.6801493466085837E-2</v>
      </c>
      <c r="J239" s="155"/>
      <c r="K239" s="49"/>
      <c r="L239" s="148"/>
      <c r="O239" s="149"/>
      <c r="P239" s="141"/>
    </row>
    <row r="240" spans="2:16" x14ac:dyDescent="0.2">
      <c r="B240" s="48" t="str">
        <f>'2017 Determination - Revenue'!B$36</f>
        <v>Lowbidgee</v>
      </c>
      <c r="C240" s="43" t="str">
        <f t="shared" si="77"/>
        <v>$</v>
      </c>
      <c r="D240" s="43"/>
      <c r="E240" s="43"/>
      <c r="F240" s="222">
        <f>('2017 Determination - Revenue'!F$137*ROUND('2017 Determination - charges'!J43,2))+('2017 Determination - Revenue'!F$137*'2017 Determination - Revenue'!F$142*ROUND('2017 Determination - charges'!J26,2))</f>
        <v>820</v>
      </c>
      <c r="G240" s="141">
        <f>('2017 Determination - Revenue'!G$137*ROUND(Outputs!J87,2))+('2017 Determination - Revenue'!G$137*'2017 Determination - Revenue'!G$142*ROUND(Outputs!J76,2))</f>
        <v>820</v>
      </c>
      <c r="H240" s="43"/>
      <c r="I240" s="230">
        <f t="shared" si="75"/>
        <v>0</v>
      </c>
      <c r="J240" s="155"/>
      <c r="K240" s="49"/>
      <c r="L240" s="148"/>
      <c r="O240" s="149"/>
      <c r="P240" s="141"/>
    </row>
    <row r="241" spans="2:17" x14ac:dyDescent="0.2">
      <c r="B241" s="50"/>
      <c r="C241" s="41"/>
      <c r="D241" s="41"/>
      <c r="E241" s="41"/>
      <c r="F241" s="63"/>
      <c r="G241" s="41"/>
      <c r="H241" s="41"/>
      <c r="I241" s="42"/>
      <c r="J241" s="41"/>
      <c r="K241" s="51"/>
      <c r="L241" s="148"/>
    </row>
    <row r="242" spans="2:17" x14ac:dyDescent="0.2">
      <c r="F242" s="61"/>
      <c r="I242" s="186"/>
    </row>
    <row r="243" spans="2:17" x14ac:dyDescent="0.2">
      <c r="F243" s="61"/>
      <c r="I243" s="186"/>
      <c r="N243" s="148"/>
      <c r="O243" s="148"/>
      <c r="P243" s="148"/>
      <c r="Q243" s="148"/>
    </row>
    <row r="244" spans="2:17" x14ac:dyDescent="0.2">
      <c r="B244" s="38" t="s">
        <v>167</v>
      </c>
      <c r="G244" s="148"/>
      <c r="H244" s="148"/>
      <c r="I244" s="186"/>
      <c r="K244" s="148"/>
      <c r="L244" s="148"/>
      <c r="N244" s="148"/>
      <c r="O244" s="148"/>
      <c r="P244" s="148"/>
      <c r="Q244" s="148"/>
    </row>
    <row r="245" spans="2:17" x14ac:dyDescent="0.2">
      <c r="B245" s="45" t="str">
        <f>'2017 Determination - Revenue'!B$16</f>
        <v>Financial year</v>
      </c>
      <c r="C245" s="46" t="str">
        <f>'2017 Determination - Revenue'!C$23</f>
        <v>Units</v>
      </c>
      <c r="D245" s="46"/>
      <c r="E245" s="46"/>
      <c r="F245" s="178" t="s">
        <v>96</v>
      </c>
      <c r="G245" s="175" t="s">
        <v>96</v>
      </c>
      <c r="H245" s="52"/>
      <c r="I245" s="175"/>
      <c r="J245" s="52"/>
      <c r="K245" s="47"/>
      <c r="L245" s="148"/>
      <c r="N245" s="148"/>
      <c r="O245" s="148"/>
      <c r="P245" s="148"/>
      <c r="Q245" s="148"/>
    </row>
    <row r="246" spans="2:17" s="148" customFormat="1" ht="60" x14ac:dyDescent="0.2">
      <c r="B246" s="102"/>
      <c r="C246" s="43"/>
      <c r="D246" s="43"/>
      <c r="E246" s="43"/>
      <c r="F246" s="214" t="str">
        <f>F$168</f>
        <v>Bill in 2018-19 using the determination charges for 2018-19</v>
      </c>
      <c r="G246" s="214" t="str">
        <f>G$168</f>
        <v>Bill in 2018-19 using the re-calculated charges for 2018-19</v>
      </c>
      <c r="H246" s="163"/>
      <c r="I246" s="224" t="str">
        <f>I$168</f>
        <v>Difference between 2018-19 Determination bills and 2018-19 re-calculated bills</v>
      </c>
      <c r="J246" s="164"/>
      <c r="K246" s="49"/>
      <c r="M246" s="93"/>
    </row>
    <row r="247" spans="2:17" x14ac:dyDescent="0.2">
      <c r="B247" s="55" t="s">
        <v>82</v>
      </c>
      <c r="C247" s="43"/>
      <c r="D247" s="43"/>
      <c r="E247" s="43"/>
      <c r="F247" s="215" t="s">
        <v>97</v>
      </c>
      <c r="G247" s="215" t="s">
        <v>97</v>
      </c>
      <c r="H247" s="54"/>
      <c r="I247" s="213" t="str">
        <f>K$66</f>
        <v>%</v>
      </c>
      <c r="J247" s="53"/>
      <c r="K247" s="49"/>
      <c r="L247" s="148"/>
    </row>
    <row r="248" spans="2:17" x14ac:dyDescent="0.2">
      <c r="B248" s="55" t="str">
        <f>'2017 Determination - Revenue'!B$125</f>
        <v>Small consumption customers</v>
      </c>
      <c r="C248" s="148" t="str">
        <f>"Entitlement = "&amp;'2017 Determination - Revenue'!G$125&amp;" kL pa, Usage = "&amp;'2017 Determination - Revenue'!G$130*'2017 Determination - Revenue'!G$125&amp;" kL pa"</f>
        <v>Entitlement = 100 kL pa, Usage = 100 kL pa</v>
      </c>
      <c r="D248" s="43"/>
      <c r="E248" s="43"/>
      <c r="F248" s="57"/>
      <c r="G248" s="43"/>
      <c r="H248" s="43"/>
      <c r="I248" s="44"/>
      <c r="J248" s="43"/>
      <c r="K248" s="49"/>
      <c r="L248" s="148"/>
    </row>
    <row r="249" spans="2:17" ht="12" customHeight="1" x14ac:dyDescent="0.2">
      <c r="B249" s="48" t="str">
        <f>'2017 Determination - Revenue'!B$28</f>
        <v>Border</v>
      </c>
      <c r="C249" s="43" t="str">
        <f>C$171</f>
        <v>$</v>
      </c>
      <c r="D249" s="43"/>
      <c r="E249" s="43"/>
      <c r="F249" s="222">
        <f>('2017 Determination - Revenue'!F$125*ROUND('2017 Determination - charges'!J79,2))+('2017 Determination - Revenue'!F$125*'2017 Determination - Revenue'!F$130*ROUND('2017 Determination - charges'!J69,2))</f>
        <v>562</v>
      </c>
      <c r="G249" s="141">
        <f>('2017 Determination - Revenue'!G$125*ROUND(Outputs!J130,2))+('2017 Determination - Revenue'!G$125*'2017 Determination - Revenue'!G$130*ROUND(Outputs!J108,2))</f>
        <v>536</v>
      </c>
      <c r="H249" s="137"/>
      <c r="I249" s="230">
        <f>G249/F249-1</f>
        <v>-4.6263345195729499E-2</v>
      </c>
      <c r="J249" s="155"/>
      <c r="K249" s="49"/>
      <c r="L249" s="148"/>
      <c r="O249" s="141"/>
      <c r="P249" s="141"/>
      <c r="Q249" s="141"/>
    </row>
    <row r="250" spans="2:17" x14ac:dyDescent="0.2">
      <c r="B250" s="48" t="str">
        <f>'2017 Determination - Revenue'!B$34</f>
        <v>Murray</v>
      </c>
      <c r="C250" s="43" t="str">
        <f>C$171</f>
        <v>$</v>
      </c>
      <c r="D250" s="43"/>
      <c r="E250" s="43"/>
      <c r="F250" s="222">
        <f>('2017 Determination - Revenue'!F$125*ROUND('2017 Determination - charges'!J80,2))+('2017 Determination - Revenue'!F$125*'2017 Determination - Revenue'!F$130*ROUND('2017 Determination - charges'!J70,2))</f>
        <v>912</v>
      </c>
      <c r="G250" s="141">
        <f>('2017 Determination - Revenue'!G$125*ROUND(Outputs!J136,2))+('2017 Determination - Revenue'!G$125*'2017 Determination - Revenue'!G$130*ROUND(Outputs!J114,2))</f>
        <v>916</v>
      </c>
      <c r="H250" s="137"/>
      <c r="I250" s="230">
        <f t="shared" ref="I250:I277" si="78">G250/F250-1</f>
        <v>4.3859649122806044E-3</v>
      </c>
      <c r="J250" s="155"/>
      <c r="K250" s="49"/>
      <c r="L250" s="148"/>
      <c r="O250" s="141"/>
      <c r="P250" s="141"/>
      <c r="Q250" s="141"/>
    </row>
    <row r="251" spans="2:17" x14ac:dyDescent="0.2">
      <c r="B251" s="48" t="str">
        <f>'2017 Determination - Revenue'!B$35</f>
        <v>Murrumbidgee</v>
      </c>
      <c r="C251" s="43" t="str">
        <f>C$171</f>
        <v>$</v>
      </c>
      <c r="D251" s="43"/>
      <c r="E251" s="43"/>
      <c r="F251" s="222">
        <f>('2017 Determination - Revenue'!F$125*ROUND('2017 Determination - charges'!J81,2))+('2017 Determination - Revenue'!F$125*'2017 Determination - Revenue'!F$130*ROUND('2017 Determination - charges'!J71,2))</f>
        <v>199</v>
      </c>
      <c r="G251" s="141">
        <f>('2017 Determination - Revenue'!G$125*ROUND(Outputs!J137,2))+('2017 Determination - Revenue'!G$125*'2017 Determination - Revenue'!G$130*ROUND(Outputs!J115,2))</f>
        <v>200</v>
      </c>
      <c r="H251" s="137"/>
      <c r="I251" s="230">
        <f t="shared" si="78"/>
        <v>5.0251256281406143E-3</v>
      </c>
      <c r="J251" s="155"/>
      <c r="K251" s="49"/>
      <c r="L251" s="148"/>
      <c r="O251" s="141"/>
      <c r="P251" s="141"/>
      <c r="Q251" s="141"/>
    </row>
    <row r="252" spans="2:17" x14ac:dyDescent="0.2">
      <c r="B252" s="48"/>
      <c r="C252" s="43"/>
      <c r="D252" s="43"/>
      <c r="E252" s="43"/>
      <c r="F252" s="141"/>
      <c r="G252" s="141"/>
      <c r="H252" s="137"/>
      <c r="I252" s="230"/>
      <c r="J252" s="155"/>
      <c r="K252" s="49"/>
      <c r="L252" s="148"/>
      <c r="O252" s="141"/>
      <c r="P252" s="141"/>
      <c r="Q252" s="141"/>
    </row>
    <row r="253" spans="2:17" x14ac:dyDescent="0.2">
      <c r="B253" s="55" t="str">
        <f>'2017 Determination - Revenue'!B$126</f>
        <v>Medium consumption customers</v>
      </c>
      <c r="C253" s="148" t="str">
        <f>"Entitlement = "&amp;'2017 Determination - Revenue'!G$126&amp;" kL pa, Usage = "&amp;'2017 Determination - Revenue'!G$131*'2017 Determination - Revenue'!G$126&amp;" kL pa"</f>
        <v>Entitlement = 500 kL pa, Usage = 500 kL pa</v>
      </c>
      <c r="D253" s="43"/>
      <c r="E253" s="43"/>
      <c r="F253" s="57"/>
      <c r="G253" s="43"/>
      <c r="H253" s="43"/>
      <c r="I253" s="230"/>
      <c r="J253" s="155"/>
      <c r="K253" s="49"/>
      <c r="O253" s="141"/>
      <c r="P253" s="141"/>
      <c r="Q253" s="141"/>
    </row>
    <row r="254" spans="2:17" x14ac:dyDescent="0.2">
      <c r="B254" s="48" t="str">
        <f>'2017 Determination - Revenue'!B$28</f>
        <v>Border</v>
      </c>
      <c r="C254" s="43" t="str">
        <f>C$171</f>
        <v>$</v>
      </c>
      <c r="D254" s="43"/>
      <c r="E254" s="43"/>
      <c r="F254" s="222">
        <f>('2017 Determination - Revenue'!F$126*ROUND('2017 Determination - charges'!J79,2))+('2017 Determination - Revenue'!F$126*'2017 Determination - Revenue'!F$131*ROUND('2017 Determination - charges'!J69,2))</f>
        <v>2810</v>
      </c>
      <c r="G254" s="141">
        <f>('2017 Determination - Revenue'!G$126*ROUND(Outputs!J130,2))+('2017 Determination - Revenue'!G$126*'2017 Determination - Revenue'!G$131*ROUND(Outputs!J108,2))</f>
        <v>2680</v>
      </c>
      <c r="H254" s="43"/>
      <c r="I254" s="230">
        <f t="shared" si="78"/>
        <v>-4.6263345195729499E-2</v>
      </c>
      <c r="J254" s="155"/>
      <c r="K254" s="49"/>
      <c r="O254" s="141"/>
      <c r="P254" s="141"/>
      <c r="Q254" s="141"/>
    </row>
    <row r="255" spans="2:17" x14ac:dyDescent="0.2">
      <c r="B255" s="48" t="str">
        <f>'2017 Determination - Revenue'!B$34</f>
        <v>Murray</v>
      </c>
      <c r="C255" s="43" t="str">
        <f>C$171</f>
        <v>$</v>
      </c>
      <c r="D255" s="43"/>
      <c r="E255" s="43"/>
      <c r="F255" s="222">
        <f>('2017 Determination - Revenue'!F$126*ROUND('2017 Determination - charges'!J80,2))+('2017 Determination - Revenue'!F$126*'2017 Determination - Revenue'!F$131*ROUND('2017 Determination - charges'!J70,2))</f>
        <v>4560</v>
      </c>
      <c r="G255" s="141">
        <f>('2017 Determination - Revenue'!G$126*ROUND(Outputs!J136,2))+('2017 Determination - Revenue'!G$126*'2017 Determination - Revenue'!G$131*ROUND(Outputs!J114,2))</f>
        <v>4580</v>
      </c>
      <c r="H255" s="43"/>
      <c r="I255" s="230">
        <f t="shared" si="78"/>
        <v>4.3859649122806044E-3</v>
      </c>
      <c r="J255" s="155"/>
      <c r="K255" s="49"/>
      <c r="O255" s="141"/>
      <c r="P255" s="141"/>
      <c r="Q255" s="141"/>
    </row>
    <row r="256" spans="2:17" x14ac:dyDescent="0.2">
      <c r="B256" s="48" t="str">
        <f>'2017 Determination - Revenue'!B$35</f>
        <v>Murrumbidgee</v>
      </c>
      <c r="C256" s="43" t="str">
        <f>C$171</f>
        <v>$</v>
      </c>
      <c r="D256" s="43"/>
      <c r="E256" s="43"/>
      <c r="F256" s="222">
        <f>('2017 Determination - Revenue'!F$126*ROUND('2017 Determination - charges'!J81,2))+('2017 Determination - Revenue'!F$126*'2017 Determination - Revenue'!F$131*ROUND('2017 Determination - charges'!J71,2))</f>
        <v>995</v>
      </c>
      <c r="G256" s="141">
        <f>('2017 Determination - Revenue'!G$126*ROUND(Outputs!J137,2))+('2017 Determination - Revenue'!G$126*'2017 Determination - Revenue'!G$131*ROUND(Outputs!J115,2))</f>
        <v>1000</v>
      </c>
      <c r="H256" s="43"/>
      <c r="I256" s="230">
        <f t="shared" si="78"/>
        <v>5.0251256281406143E-3</v>
      </c>
      <c r="J256" s="155"/>
      <c r="K256" s="49"/>
      <c r="O256" s="141"/>
      <c r="P256" s="141"/>
      <c r="Q256" s="141"/>
    </row>
    <row r="257" spans="2:17" x14ac:dyDescent="0.2">
      <c r="B257" s="48"/>
      <c r="C257" s="43"/>
      <c r="D257" s="43"/>
      <c r="E257" s="43"/>
      <c r="F257" s="57"/>
      <c r="G257" s="43"/>
      <c r="H257" s="43"/>
      <c r="I257" s="230"/>
      <c r="J257" s="155"/>
      <c r="K257" s="49"/>
      <c r="O257" s="141"/>
      <c r="P257" s="141"/>
      <c r="Q257" s="141"/>
    </row>
    <row r="258" spans="2:17" x14ac:dyDescent="0.2">
      <c r="B258" s="55" t="str">
        <f>'2017 Determination - Revenue'!B$127</f>
        <v>Large consumption customers</v>
      </c>
      <c r="C258" s="148" t="str">
        <f>"Entitlement = "&amp;'2017 Determination - Revenue'!G$127&amp;" kL pa, Usage = "&amp;'2017 Determination - Revenue'!G$132*'2017 Determination - Revenue'!G$127&amp;" kL pa"</f>
        <v>Entitlement = 1000 kL pa, Usage = 1000 kL pa</v>
      </c>
      <c r="D258" s="43"/>
      <c r="E258" s="43"/>
      <c r="F258" s="57"/>
      <c r="G258" s="43"/>
      <c r="H258" s="43"/>
      <c r="I258" s="230"/>
      <c r="J258" s="155"/>
      <c r="K258" s="49"/>
      <c r="O258" s="141"/>
      <c r="P258" s="141"/>
      <c r="Q258" s="141"/>
    </row>
    <row r="259" spans="2:17" x14ac:dyDescent="0.2">
      <c r="B259" s="48" t="str">
        <f>'2017 Determination - Revenue'!B$28</f>
        <v>Border</v>
      </c>
      <c r="C259" s="43" t="str">
        <f>C$171</f>
        <v>$</v>
      </c>
      <c r="D259" s="43"/>
      <c r="E259" s="43"/>
      <c r="F259" s="222">
        <f>('2017 Determination - Revenue'!F$127*ROUND('2017 Determination - charges'!J79,2))+('2017 Determination - Revenue'!F$127*'2017 Determination - Revenue'!F$132*ROUND('2017 Determination - charges'!J69,2))</f>
        <v>5620</v>
      </c>
      <c r="G259" s="141">
        <f>('2017 Determination - Revenue'!G$127*ROUND(Outputs!J130,2))+('2017 Determination - Revenue'!G$127*'2017 Determination - Revenue'!G$132*ROUND(Outputs!J108,2))</f>
        <v>5360</v>
      </c>
      <c r="H259" s="43"/>
      <c r="I259" s="230">
        <f t="shared" si="78"/>
        <v>-4.6263345195729499E-2</v>
      </c>
      <c r="J259" s="155"/>
      <c r="K259" s="49"/>
      <c r="O259" s="141"/>
      <c r="P259" s="141"/>
      <c r="Q259" s="141"/>
    </row>
    <row r="260" spans="2:17" x14ac:dyDescent="0.2">
      <c r="B260" s="48" t="str">
        <f>'2017 Determination - Revenue'!B$34</f>
        <v>Murray</v>
      </c>
      <c r="C260" s="43" t="str">
        <f>C$171</f>
        <v>$</v>
      </c>
      <c r="D260" s="43"/>
      <c r="E260" s="43"/>
      <c r="F260" s="222">
        <f>('2017 Determination - Revenue'!F$127*ROUND('2017 Determination - charges'!J80,2))+('2017 Determination - Revenue'!F$127*'2017 Determination - Revenue'!F$132*ROUND('2017 Determination - charges'!J70,2))</f>
        <v>9120</v>
      </c>
      <c r="G260" s="141">
        <f>('2017 Determination - Revenue'!G$127*ROUND(Outputs!J136,2))+('2017 Determination - Revenue'!G$127*'2017 Determination - Revenue'!G$132*ROUND(Outputs!J114,2))</f>
        <v>9160</v>
      </c>
      <c r="H260" s="43"/>
      <c r="I260" s="230">
        <f t="shared" si="78"/>
        <v>4.3859649122806044E-3</v>
      </c>
      <c r="J260" s="155"/>
      <c r="K260" s="49"/>
      <c r="O260" s="141"/>
      <c r="P260" s="141"/>
      <c r="Q260" s="141"/>
    </row>
    <row r="261" spans="2:17" x14ac:dyDescent="0.2">
      <c r="B261" s="48" t="str">
        <f>'2017 Determination - Revenue'!B$35</f>
        <v>Murrumbidgee</v>
      </c>
      <c r="C261" s="43" t="str">
        <f>C$171</f>
        <v>$</v>
      </c>
      <c r="D261" s="43"/>
      <c r="E261" s="43"/>
      <c r="F261" s="222">
        <f>('2017 Determination - Revenue'!F$127*ROUND('2017 Determination - charges'!J81,2))+('2017 Determination - Revenue'!F$127*'2017 Determination - Revenue'!F$132*ROUND('2017 Determination - charges'!J71,2))</f>
        <v>1990</v>
      </c>
      <c r="G261" s="141">
        <f>('2017 Determination - Revenue'!G$127*ROUND(Outputs!J137,2))+('2017 Determination - Revenue'!G$127*'2017 Determination - Revenue'!G$132*ROUND(Outputs!J115,2))</f>
        <v>2000</v>
      </c>
      <c r="H261" s="43"/>
      <c r="I261" s="230">
        <f t="shared" si="78"/>
        <v>5.0251256281406143E-3</v>
      </c>
      <c r="J261" s="155"/>
      <c r="K261" s="49"/>
      <c r="O261" s="141"/>
      <c r="P261" s="141"/>
      <c r="Q261" s="141"/>
    </row>
    <row r="262" spans="2:17" x14ac:dyDescent="0.2">
      <c r="B262" s="48"/>
      <c r="C262" s="43"/>
      <c r="D262" s="43"/>
      <c r="E262" s="43"/>
      <c r="F262" s="141"/>
      <c r="G262" s="141"/>
      <c r="H262" s="43"/>
      <c r="I262" s="230"/>
      <c r="J262" s="155"/>
      <c r="K262" s="49"/>
      <c r="O262" s="141"/>
      <c r="P262" s="141"/>
      <c r="Q262" s="141"/>
    </row>
    <row r="263" spans="2:17" x14ac:dyDescent="0.2">
      <c r="B263" s="55" t="s">
        <v>83</v>
      </c>
      <c r="C263" s="43"/>
      <c r="D263" s="43"/>
      <c r="E263" s="43"/>
      <c r="F263" s="141"/>
      <c r="G263" s="141"/>
      <c r="H263" s="43"/>
      <c r="I263" s="230"/>
      <c r="J263" s="155"/>
      <c r="K263" s="49"/>
      <c r="O263" s="141"/>
      <c r="P263" s="141"/>
      <c r="Q263" s="141"/>
    </row>
    <row r="264" spans="2:17" x14ac:dyDescent="0.2">
      <c r="B264" s="55" t="str">
        <f>'2017 Determination - Revenue'!B$125</f>
        <v>Small consumption customers</v>
      </c>
      <c r="C264" s="148" t="str">
        <f>"Entitlement = "&amp;'2017 Determination - Revenue'!G$135&amp;" kL pa, Usage = "&amp;'2017 Determination - Revenue'!G$140*'2017 Determination - Revenue'!G$135&amp;" kL pa"</f>
        <v>Entitlement = 100 kL pa, Usage = 60 kL pa</v>
      </c>
      <c r="D264" s="43"/>
      <c r="E264" s="43"/>
      <c r="F264" s="141"/>
      <c r="G264" s="141"/>
      <c r="H264" s="43"/>
      <c r="I264" s="230"/>
      <c r="J264" s="155"/>
      <c r="K264" s="49"/>
      <c r="O264" s="141"/>
      <c r="P264" s="141"/>
      <c r="Q264" s="141"/>
    </row>
    <row r="265" spans="2:17" x14ac:dyDescent="0.2">
      <c r="B265" s="48" t="str">
        <f>'2017 Determination - Revenue'!B$28</f>
        <v>Border</v>
      </c>
      <c r="C265" s="43" t="str">
        <f>C$171</f>
        <v>$</v>
      </c>
      <c r="D265" s="43"/>
      <c r="E265" s="43"/>
      <c r="F265" s="222">
        <f>('2017 Determination - Revenue'!G$135*ROUND('2017 Determination - charges'!J74,2))+('2017 Determination - Revenue'!G$135*'2017 Determination - Revenue'!G$140*ROUND('2017 Determination - charges'!J69,2))</f>
        <v>227.2</v>
      </c>
      <c r="G265" s="141">
        <f>('2017 Determination - Revenue'!G$135*ROUND(Outputs!J119,2))+('2017 Determination - Revenue'!G$135*'2017 Determination - Revenue'!G$140*ROUND(Outputs!J108,2))</f>
        <v>225.4</v>
      </c>
      <c r="H265" s="43"/>
      <c r="I265" s="230">
        <f t="shared" si="78"/>
        <v>-7.9225352112675118E-3</v>
      </c>
      <c r="J265" s="155"/>
      <c r="K265" s="49"/>
      <c r="O265" s="141"/>
      <c r="P265" s="141"/>
      <c r="Q265" s="141"/>
    </row>
    <row r="266" spans="2:17" x14ac:dyDescent="0.2">
      <c r="B266" s="48" t="str">
        <f>'2017 Determination - Revenue'!B$34</f>
        <v>Murray</v>
      </c>
      <c r="C266" s="43" t="str">
        <f>C$171</f>
        <v>$</v>
      </c>
      <c r="D266" s="43"/>
      <c r="E266" s="43"/>
      <c r="F266" s="222">
        <f>('2017 Determination - Revenue'!G$135*ROUND('2017 Determination - charges'!J75,2))+('2017 Determination - Revenue'!G$135*'2017 Determination - Revenue'!G$140*ROUND('2017 Determination - charges'!J70,2))</f>
        <v>463.6</v>
      </c>
      <c r="G266" s="141">
        <f>('2017 Determination - Revenue'!G$135*ROUND(Outputs!J125,2))+('2017 Determination - Revenue'!G$135*'2017 Determination - Revenue'!G$140*ROUND(Outputs!J114,2))</f>
        <v>467</v>
      </c>
      <c r="H266" s="43"/>
      <c r="I266" s="230">
        <f t="shared" si="78"/>
        <v>7.3339085418464567E-3</v>
      </c>
      <c r="J266" s="155"/>
      <c r="K266" s="49"/>
      <c r="O266" s="141"/>
      <c r="P266" s="141"/>
      <c r="Q266" s="141"/>
    </row>
    <row r="267" spans="2:17" x14ac:dyDescent="0.2">
      <c r="B267" s="48" t="str">
        <f>'2017 Determination - Revenue'!B$35</f>
        <v>Murrumbidgee</v>
      </c>
      <c r="C267" s="43" t="str">
        <f>C$171</f>
        <v>$</v>
      </c>
      <c r="D267" s="43"/>
      <c r="E267" s="43"/>
      <c r="F267" s="222">
        <f>('2017 Determination - Revenue'!G$135*ROUND('2017 Determination - charges'!J76,2))+('2017 Determination - Revenue'!G$135*'2017 Determination - Revenue'!G$140*ROUND('2017 Determination - charges'!J71,2))</f>
        <v>82.2</v>
      </c>
      <c r="G267" s="141">
        <f>('2017 Determination - Revenue'!G$135*ROUND(Outputs!J126,2))+('2017 Determination - Revenue'!G$135*'2017 Determination - Revenue'!G$140*ROUND(Outputs!J115,2))</f>
        <v>82.2</v>
      </c>
      <c r="H267" s="43"/>
      <c r="I267" s="230">
        <f t="shared" si="78"/>
        <v>0</v>
      </c>
      <c r="J267" s="155"/>
      <c r="K267" s="49"/>
      <c r="O267" s="141"/>
      <c r="P267" s="141"/>
      <c r="Q267" s="141"/>
    </row>
    <row r="268" spans="2:17" x14ac:dyDescent="0.2">
      <c r="B268" s="48"/>
      <c r="C268" s="43"/>
      <c r="D268" s="43"/>
      <c r="E268" s="43"/>
      <c r="F268" s="141"/>
      <c r="G268" s="141"/>
      <c r="H268" s="43"/>
      <c r="I268" s="230"/>
      <c r="J268" s="155"/>
      <c r="K268" s="49"/>
      <c r="O268" s="141"/>
      <c r="P268" s="141"/>
      <c r="Q268" s="141"/>
    </row>
    <row r="269" spans="2:17" x14ac:dyDescent="0.2">
      <c r="B269" s="55" t="str">
        <f>'2017 Determination - Revenue'!B$126</f>
        <v>Medium consumption customers</v>
      </c>
      <c r="C269" s="148" t="str">
        <f>"Entitlement = "&amp;'2017 Determination - Revenue'!G$136&amp;" kL pa, Usage = "&amp;'2017 Determination - Revenue'!G$141*'2017 Determination - Revenue'!G$136&amp;" kL pa"</f>
        <v>Entitlement = 500 kL pa, Usage = 300 kL pa</v>
      </c>
      <c r="D269" s="43"/>
      <c r="E269" s="43"/>
      <c r="F269" s="141"/>
      <c r="G269" s="141"/>
      <c r="H269" s="43"/>
      <c r="I269" s="230"/>
      <c r="J269" s="155"/>
      <c r="K269" s="49"/>
      <c r="O269" s="141"/>
      <c r="P269" s="141"/>
      <c r="Q269" s="141"/>
    </row>
    <row r="270" spans="2:17" x14ac:dyDescent="0.2">
      <c r="B270" s="48" t="str">
        <f>'2017 Determination - Revenue'!B$28</f>
        <v>Border</v>
      </c>
      <c r="C270" s="43" t="str">
        <f>C$171</f>
        <v>$</v>
      </c>
      <c r="D270" s="43"/>
      <c r="E270" s="43"/>
      <c r="F270" s="222">
        <f>('2017 Determination - Revenue'!G$136*ROUND('2017 Determination - charges'!J74,2))+('2017 Determination - Revenue'!G$136*'2017 Determination - Revenue'!F$141*ROUND('2017 Determination - charges'!J69,2))</f>
        <v>1136</v>
      </c>
      <c r="G270" s="141">
        <f>('2017 Determination - Revenue'!G$136*ROUND(Outputs!J119,2))+('2017 Determination - Revenue'!G$136*'2017 Determination - Revenue'!G$141*ROUND(Outputs!J108,2))</f>
        <v>1127</v>
      </c>
      <c r="H270" s="43"/>
      <c r="I270" s="230">
        <f t="shared" si="78"/>
        <v>-7.9225352112676228E-3</v>
      </c>
      <c r="J270" s="155"/>
      <c r="K270" s="49"/>
      <c r="O270" s="141"/>
      <c r="P270" s="141"/>
      <c r="Q270" s="141"/>
    </row>
    <row r="271" spans="2:17" x14ac:dyDescent="0.2">
      <c r="B271" s="48" t="str">
        <f>'2017 Determination - Revenue'!B$34</f>
        <v>Murray</v>
      </c>
      <c r="C271" s="43" t="str">
        <f>C$171</f>
        <v>$</v>
      </c>
      <c r="D271" s="43"/>
      <c r="E271" s="43"/>
      <c r="F271" s="222">
        <f>('2017 Determination - Revenue'!G$136*ROUND('2017 Determination - charges'!J75,2))+('2017 Determination - Revenue'!G$136*'2017 Determination - Revenue'!F$141*ROUND('2017 Determination - charges'!J70,2))</f>
        <v>2318</v>
      </c>
      <c r="G271" s="141">
        <f>('2017 Determination - Revenue'!G$136*ROUND(Outputs!J125,2))+('2017 Determination - Revenue'!G$136*'2017 Determination - Revenue'!G$141*ROUND(Outputs!J114,2))</f>
        <v>2335</v>
      </c>
      <c r="H271" s="43"/>
      <c r="I271" s="230">
        <f t="shared" si="78"/>
        <v>7.3339085418464567E-3</v>
      </c>
      <c r="J271" s="155"/>
      <c r="K271" s="49"/>
      <c r="O271" s="141"/>
      <c r="P271" s="141"/>
      <c r="Q271" s="141"/>
    </row>
    <row r="272" spans="2:17" x14ac:dyDescent="0.2">
      <c r="B272" s="48" t="str">
        <f>'2017 Determination - Revenue'!B$35</f>
        <v>Murrumbidgee</v>
      </c>
      <c r="C272" s="43" t="str">
        <f>C$171</f>
        <v>$</v>
      </c>
      <c r="D272" s="43"/>
      <c r="E272" s="43"/>
      <c r="F272" s="222">
        <f>('2017 Determination - Revenue'!G$136*ROUND('2017 Determination - charges'!J76,2))+('2017 Determination - Revenue'!G$136*'2017 Determination - Revenue'!F$141*ROUND('2017 Determination - charges'!J71,2))</f>
        <v>411</v>
      </c>
      <c r="G272" s="141">
        <f>('2017 Determination - Revenue'!G$136*ROUND(Outputs!J126,2))+('2017 Determination - Revenue'!G$136*'2017 Determination - Revenue'!G$141*ROUND(Outputs!J115,2))</f>
        <v>411</v>
      </c>
      <c r="H272" s="43"/>
      <c r="I272" s="230">
        <f t="shared" si="78"/>
        <v>0</v>
      </c>
      <c r="J272" s="155"/>
      <c r="K272" s="49"/>
      <c r="O272" s="141"/>
      <c r="P272" s="141"/>
      <c r="Q272" s="141"/>
    </row>
    <row r="273" spans="2:17" x14ac:dyDescent="0.2">
      <c r="B273" s="48"/>
      <c r="C273" s="43"/>
      <c r="D273" s="43"/>
      <c r="E273" s="43"/>
      <c r="F273" s="141"/>
      <c r="G273" s="141"/>
      <c r="H273" s="43"/>
      <c r="I273" s="230"/>
      <c r="J273" s="155"/>
      <c r="K273" s="49"/>
      <c r="O273" s="141"/>
      <c r="P273" s="141"/>
      <c r="Q273" s="141"/>
    </row>
    <row r="274" spans="2:17" x14ac:dyDescent="0.2">
      <c r="B274" s="55" t="str">
        <f>'2017 Determination - Revenue'!B$127</f>
        <v>Large consumption customers</v>
      </c>
      <c r="C274" s="148" t="str">
        <f>"Entitlement = "&amp;'2017 Determination - Revenue'!G$137&amp;" kL pa, Usage = "&amp;'2017 Determination - Revenue'!G$142*'2017 Determination - Revenue'!G$137&amp;" kL pa"</f>
        <v>Entitlement = 1000 kL pa, Usage = 600 kL pa</v>
      </c>
      <c r="D274" s="43"/>
      <c r="E274" s="43"/>
      <c r="F274" s="141"/>
      <c r="G274" s="141"/>
      <c r="H274" s="43"/>
      <c r="I274" s="230"/>
      <c r="J274" s="155"/>
      <c r="K274" s="49"/>
      <c r="O274" s="141"/>
      <c r="P274" s="141"/>
      <c r="Q274" s="141"/>
    </row>
    <row r="275" spans="2:17" x14ac:dyDescent="0.2">
      <c r="B275" s="48" t="str">
        <f>'2017 Determination - Revenue'!B$28</f>
        <v>Border</v>
      </c>
      <c r="C275" s="43" t="str">
        <f>C$171</f>
        <v>$</v>
      </c>
      <c r="D275" s="43"/>
      <c r="E275" s="43"/>
      <c r="F275" s="222">
        <f>('2017 Determination - Revenue'!G$137*ROUND('2017 Determination - charges'!J74,2))+('2017 Determination - Revenue'!G$137*'2017 Determination - Revenue'!F$142*ROUND('2017 Determination - charges'!J69,2))</f>
        <v>2272</v>
      </c>
      <c r="G275" s="141">
        <f>('2017 Determination - Revenue'!G$137*ROUND(Outputs!J119,2))+('2017 Determination - Revenue'!G$137*'2017 Determination - Revenue'!G$142*ROUND(Outputs!J108,2))</f>
        <v>2254</v>
      </c>
      <c r="H275" s="43"/>
      <c r="I275" s="230">
        <f t="shared" si="78"/>
        <v>-7.9225352112676228E-3</v>
      </c>
      <c r="J275" s="155"/>
      <c r="K275" s="49"/>
      <c r="O275" s="141"/>
      <c r="P275" s="141"/>
      <c r="Q275" s="141"/>
    </row>
    <row r="276" spans="2:17" x14ac:dyDescent="0.2">
      <c r="B276" s="48" t="str">
        <f>'2017 Determination - Revenue'!B$34</f>
        <v>Murray</v>
      </c>
      <c r="C276" s="43" t="str">
        <f>C$171</f>
        <v>$</v>
      </c>
      <c r="D276" s="43"/>
      <c r="E276" s="43"/>
      <c r="F276" s="222">
        <f>('2017 Determination - Revenue'!G$137*ROUND('2017 Determination - charges'!J75,2))+('2017 Determination - Revenue'!G$137*'2017 Determination - Revenue'!F$142*ROUND('2017 Determination - charges'!J70,2))</f>
        <v>4636</v>
      </c>
      <c r="G276" s="141">
        <f>('2017 Determination - Revenue'!G$137*ROUND(Outputs!J125,2))+('2017 Determination - Revenue'!G$137*'2017 Determination - Revenue'!G$142*ROUND(Outputs!J114,2))</f>
        <v>4670</v>
      </c>
      <c r="H276" s="43"/>
      <c r="I276" s="230">
        <f t="shared" si="78"/>
        <v>7.3339085418464567E-3</v>
      </c>
      <c r="J276" s="155"/>
      <c r="K276" s="49"/>
      <c r="O276" s="141"/>
      <c r="P276" s="141"/>
      <c r="Q276" s="141"/>
    </row>
    <row r="277" spans="2:17" x14ac:dyDescent="0.2">
      <c r="B277" s="48" t="str">
        <f>'2017 Determination - Revenue'!B$35</f>
        <v>Murrumbidgee</v>
      </c>
      <c r="C277" s="43" t="str">
        <f>C$171</f>
        <v>$</v>
      </c>
      <c r="D277" s="43"/>
      <c r="E277" s="43"/>
      <c r="F277" s="222">
        <f>('2017 Determination - Revenue'!G$137*ROUND('2017 Determination - charges'!J76,2))+('2017 Determination - Revenue'!G$137*'2017 Determination - Revenue'!F$142*ROUND('2017 Determination - charges'!J71,2))</f>
        <v>822</v>
      </c>
      <c r="G277" s="141">
        <f>('2017 Determination - Revenue'!G$137*ROUND(Outputs!J126,2))+('2017 Determination - Revenue'!G$137*'2017 Determination - Revenue'!G$142*ROUND(Outputs!J115,2))</f>
        <v>822</v>
      </c>
      <c r="H277" s="43"/>
      <c r="I277" s="230">
        <f t="shared" si="78"/>
        <v>0</v>
      </c>
      <c r="J277" s="155"/>
      <c r="K277" s="49"/>
      <c r="O277" s="141"/>
      <c r="P277" s="141"/>
      <c r="Q277" s="141"/>
    </row>
    <row r="278" spans="2:17" x14ac:dyDescent="0.2">
      <c r="B278" s="50"/>
      <c r="C278" s="41"/>
      <c r="D278" s="41"/>
      <c r="E278" s="41"/>
      <c r="F278" s="63"/>
      <c r="G278" s="41"/>
      <c r="H278" s="41"/>
      <c r="I278" s="42"/>
      <c r="J278" s="41"/>
      <c r="K278" s="51"/>
    </row>
    <row r="279" spans="2:17" x14ac:dyDescent="0.2">
      <c r="F279" s="61"/>
      <c r="I279" s="186"/>
    </row>
    <row r="280" spans="2:17" s="148" customFormat="1" x14ac:dyDescent="0.2">
      <c r="F280" s="61"/>
      <c r="I280" s="186"/>
      <c r="M280" s="93"/>
    </row>
    <row r="281" spans="2:17" s="148" customFormat="1" x14ac:dyDescent="0.2">
      <c r="B281" s="38" t="s">
        <v>148</v>
      </c>
      <c r="I281" s="186"/>
      <c r="M281" s="93"/>
    </row>
    <row r="282" spans="2:17" s="148" customFormat="1" x14ac:dyDescent="0.2">
      <c r="B282" s="45" t="str">
        <f>'2017 Determination - Revenue'!B$16</f>
        <v>Financial year</v>
      </c>
      <c r="C282" s="46" t="str">
        <f>'2017 Determination - Revenue'!C$23</f>
        <v>Units</v>
      </c>
      <c r="D282" s="46"/>
      <c r="E282" s="46"/>
      <c r="F282" s="178" t="s">
        <v>96</v>
      </c>
      <c r="G282" s="175" t="s">
        <v>96</v>
      </c>
      <c r="H282" s="52"/>
      <c r="I282" s="175"/>
      <c r="J282" s="52"/>
      <c r="K282" s="47"/>
      <c r="M282" s="93"/>
    </row>
    <row r="283" spans="2:17" s="148" customFormat="1" ht="60" x14ac:dyDescent="0.2">
      <c r="B283" s="48"/>
      <c r="C283" s="43"/>
      <c r="D283" s="43"/>
      <c r="E283" s="43"/>
      <c r="F283" s="214" t="str">
        <f>F$168</f>
        <v>Bill in 2018-19 using the determination charges for 2018-19</v>
      </c>
      <c r="G283" s="214" t="str">
        <f>G$168</f>
        <v>Bill in 2018-19 using the re-calculated charges for 2018-19</v>
      </c>
      <c r="H283" s="163"/>
      <c r="I283" s="224" t="str">
        <f>I$168</f>
        <v>Difference between 2018-19 Determination bills and 2018-19 re-calculated bills</v>
      </c>
      <c r="J283" s="164"/>
      <c r="K283" s="49"/>
      <c r="M283" s="93"/>
    </row>
    <row r="284" spans="2:17" s="148" customFormat="1" x14ac:dyDescent="0.2">
      <c r="B284" s="102"/>
      <c r="C284" s="43"/>
      <c r="D284" s="43"/>
      <c r="E284" s="43"/>
      <c r="F284" s="215" t="s">
        <v>97</v>
      </c>
      <c r="G284" s="215" t="s">
        <v>97</v>
      </c>
      <c r="H284" s="54"/>
      <c r="I284" s="213" t="str">
        <f>K$66</f>
        <v>%</v>
      </c>
      <c r="J284" s="53"/>
      <c r="K284" s="49"/>
      <c r="M284" s="93"/>
    </row>
    <row r="285" spans="2:17" s="148" customFormat="1" x14ac:dyDescent="0.2">
      <c r="B285" s="102" t="s">
        <v>173</v>
      </c>
      <c r="C285" s="43"/>
      <c r="D285" s="43"/>
      <c r="E285" s="43"/>
      <c r="F285" s="57"/>
      <c r="G285" s="43"/>
      <c r="H285" s="43"/>
      <c r="I285" s="44"/>
      <c r="J285" s="43"/>
      <c r="K285" s="49"/>
      <c r="M285" s="93"/>
    </row>
    <row r="286" spans="2:17" s="148" customFormat="1" x14ac:dyDescent="0.2">
      <c r="B286" s="48" t="s">
        <v>98</v>
      </c>
      <c r="C286" s="43" t="str">
        <f>C$171</f>
        <v>$</v>
      </c>
      <c r="D286" s="43"/>
      <c r="E286" s="43"/>
      <c r="F286" s="222">
        <f>(ROUND('2017 Determination - charges'!J91,2)*'Updated Volumes'!AB124)+(ROUND('2017 Determination - charges'!J96,2)*'FRWS calcs'!G25)+(ROUND('2017 Determination - charges'!J101,2)*'FRWS calcs'!G30)*1000</f>
        <v>3740.5666176470586</v>
      </c>
      <c r="G286" s="141">
        <f>(ROUND(Outputs!J148,2)*'Updated Volumes'!AB124)+(ROUND(Outputs!J153,2)*'FRWS calcs'!G25)+(ROUND(Outputs!J158,2)*'FRWS calcs'!G30)*1000</f>
        <v>3740.5666176470586</v>
      </c>
      <c r="H286" s="43"/>
      <c r="I286" s="230">
        <f>G286/F286-1</f>
        <v>0</v>
      </c>
      <c r="J286" s="155"/>
      <c r="K286" s="49"/>
      <c r="M286" s="93"/>
    </row>
    <row r="287" spans="2:17" s="148" customFormat="1" x14ac:dyDescent="0.2">
      <c r="B287" s="165" t="s">
        <v>99</v>
      </c>
      <c r="C287" s="43" t="str">
        <f t="shared" ref="C287:C288" si="79">C$171</f>
        <v>$</v>
      </c>
      <c r="D287" s="43"/>
      <c r="E287" s="43"/>
      <c r="F287" s="222">
        <f>((ROUND('2017 Determination - charges'!J92,2)*'Updated Volumes'!AB125)+(ROUND('2017 Determination - charges'!J97,2)*'FRWS calcs'!G26)+(ROUND('2017 Determination - charges'!J102,2)*'FRWS calcs'!G31))/'Updated Volumes'!AB$121*1000</f>
        <v>399.13977108433727</v>
      </c>
      <c r="G287" s="141">
        <f>((ROUND(Outputs!J149,2)*'Updated Volumes'!AB125)+(ROUND(Outputs!J154,2)*'FRWS calcs'!G26)+(ROUND(Outputs!J159,2)*'FRWS calcs'!G31))/'Updated Volumes'!AB$121*1000</f>
        <v>399.13977108433727</v>
      </c>
      <c r="H287" s="43"/>
      <c r="I287" s="230">
        <f t="shared" ref="I287:I288" si="80">G287/F287-1</f>
        <v>0</v>
      </c>
      <c r="J287" s="155"/>
      <c r="K287" s="49"/>
      <c r="M287" s="93"/>
    </row>
    <row r="288" spans="2:17" s="148" customFormat="1" x14ac:dyDescent="0.2">
      <c r="B288" s="165" t="s">
        <v>100</v>
      </c>
      <c r="C288" s="43" t="str">
        <f t="shared" si="79"/>
        <v>$</v>
      </c>
      <c r="D288" s="43"/>
      <c r="E288" s="43"/>
      <c r="F288" s="222">
        <f>((ROUND('2017 Determination - charges'!J93,2)*'Updated Volumes'!AB126)+(ROUND('2017 Determination - charges'!J98,2)*'FRWS calcs'!G27)+(ROUND('2017 Determination - charges'!J103,2)*'FRWS calcs'!G32))/'Updated Volumes'!AB$120*1000</f>
        <v>625.49852901785721</v>
      </c>
      <c r="G288" s="141">
        <f>((ROUND(Outputs!J150,2)*'Updated Volumes'!AB126)+(ROUND(Outputs!J155,2)*'FRWS calcs'!G27)+(ROUND(Outputs!J160,2)*'FRWS calcs'!G32))/'Updated Volumes'!AB$120*1000</f>
        <v>657.04964062500005</v>
      </c>
      <c r="H288" s="43"/>
      <c r="I288" s="230">
        <f t="shared" si="80"/>
        <v>5.0441544053962284E-2</v>
      </c>
      <c r="J288" s="155"/>
      <c r="K288" s="49"/>
      <c r="M288" s="93"/>
    </row>
    <row r="289" spans="2:14" s="148" customFormat="1" x14ac:dyDescent="0.2">
      <c r="B289" s="50"/>
      <c r="C289" s="41"/>
      <c r="D289" s="41"/>
      <c r="E289" s="41"/>
      <c r="F289" s="63"/>
      <c r="G289" s="41"/>
      <c r="H289" s="41"/>
      <c r="I289" s="42"/>
      <c r="J289" s="41"/>
      <c r="K289" s="51"/>
      <c r="M289" s="93"/>
    </row>
    <row r="290" spans="2:14" s="148" customFormat="1" x14ac:dyDescent="0.2">
      <c r="F290" s="61"/>
      <c r="M290" s="93"/>
    </row>
    <row r="291" spans="2:14" s="148" customFormat="1" x14ac:dyDescent="0.2">
      <c r="F291" s="61"/>
      <c r="M291" s="93"/>
    </row>
    <row r="292" spans="2:14" s="148" customFormat="1" ht="15.75" x14ac:dyDescent="0.25">
      <c r="B292" s="167" t="s">
        <v>123</v>
      </c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225"/>
    </row>
    <row r="293" spans="2:14" x14ac:dyDescent="0.2">
      <c r="N293" s="148"/>
    </row>
    <row r="294" spans="2:14" x14ac:dyDescent="0.2">
      <c r="B294" s="38" t="s">
        <v>163</v>
      </c>
      <c r="C294" s="148"/>
      <c r="D294" s="148"/>
      <c r="E294" s="148"/>
      <c r="G294" s="148"/>
      <c r="H294" s="148"/>
      <c r="I294" s="148"/>
      <c r="K294" s="148"/>
      <c r="L294" s="148"/>
      <c r="N294" s="148"/>
    </row>
    <row r="295" spans="2:14" ht="12" customHeight="1" x14ac:dyDescent="0.2">
      <c r="B295" s="45" t="str">
        <f>'2017 Determination - Revenue'!B$16</f>
        <v>Financial year</v>
      </c>
      <c r="C295" s="46" t="str">
        <f>'2017 Determination - Revenue'!C$23</f>
        <v>Units</v>
      </c>
      <c r="D295" s="46"/>
      <c r="E295" s="46"/>
      <c r="F295" s="157"/>
      <c r="G295" s="158"/>
      <c r="H295" s="52"/>
      <c r="I295" s="52"/>
      <c r="J295" s="52"/>
      <c r="K295" s="47"/>
      <c r="L295" s="148"/>
      <c r="N295" s="148"/>
    </row>
    <row r="296" spans="2:14" ht="112.5" customHeight="1" x14ac:dyDescent="0.2">
      <c r="B296" s="198"/>
      <c r="C296" s="43"/>
      <c r="D296" s="43"/>
      <c r="E296" s="43"/>
      <c r="F296" s="233" t="s">
        <v>87</v>
      </c>
      <c r="G296" s="233" t="s">
        <v>146</v>
      </c>
      <c r="H296" s="233" t="s">
        <v>147</v>
      </c>
      <c r="I296" s="233" t="s">
        <v>143</v>
      </c>
      <c r="J296" s="233" t="s">
        <v>144</v>
      </c>
      <c r="K296" s="49"/>
      <c r="L296" s="148"/>
      <c r="N296" s="148"/>
    </row>
    <row r="297" spans="2:14" x14ac:dyDescent="0.2">
      <c r="B297" s="48"/>
      <c r="C297" s="43"/>
      <c r="D297" s="43"/>
      <c r="E297" s="43"/>
      <c r="F297" s="223" t="s">
        <v>213</v>
      </c>
      <c r="G297" s="223" t="s">
        <v>214</v>
      </c>
      <c r="H297" s="223" t="s">
        <v>215</v>
      </c>
      <c r="I297" s="223" t="s">
        <v>217</v>
      </c>
      <c r="J297" s="223" t="s">
        <v>216</v>
      </c>
      <c r="K297" s="49"/>
      <c r="N297" s="148"/>
    </row>
    <row r="298" spans="2:14" s="148" customFormat="1" x14ac:dyDescent="0.2">
      <c r="B298" s="48"/>
      <c r="C298" s="43"/>
      <c r="D298" s="43"/>
      <c r="E298" s="43"/>
      <c r="F298" s="234" t="s">
        <v>61</v>
      </c>
      <c r="G298" s="234" t="s">
        <v>61</v>
      </c>
      <c r="H298" s="234" t="s">
        <v>61</v>
      </c>
      <c r="I298" s="234" t="s">
        <v>1</v>
      </c>
      <c r="J298" s="234" t="s">
        <v>1</v>
      </c>
      <c r="K298" s="49"/>
      <c r="M298" s="93"/>
    </row>
    <row r="299" spans="2:14" s="148" customFormat="1" x14ac:dyDescent="0.2">
      <c r="B299" s="48"/>
      <c r="C299" s="43"/>
      <c r="D299" s="43"/>
      <c r="E299" s="43"/>
      <c r="F299" s="224"/>
      <c r="G299" s="224"/>
      <c r="H299" s="224"/>
      <c r="I299" s="224"/>
      <c r="J299" s="224"/>
      <c r="K299" s="49"/>
      <c r="M299" s="93"/>
    </row>
    <row r="300" spans="2:14" s="148" customFormat="1" x14ac:dyDescent="0.2">
      <c r="B300" s="241" t="s">
        <v>222</v>
      </c>
      <c r="C300" s="43"/>
      <c r="D300" s="43"/>
      <c r="E300" s="43"/>
      <c r="F300" s="224"/>
      <c r="G300" s="224"/>
      <c r="H300" s="224"/>
      <c r="I300" s="224"/>
      <c r="J300" s="224"/>
      <c r="K300" s="49"/>
      <c r="M300" s="93"/>
    </row>
    <row r="301" spans="2:14" hidden="1" outlineLevel="1" x14ac:dyDescent="0.2">
      <c r="B301" s="55" t="s">
        <v>84</v>
      </c>
      <c r="C301" s="43"/>
      <c r="D301" s="43"/>
      <c r="E301" s="43"/>
      <c r="F301" s="44"/>
      <c r="G301" s="44"/>
      <c r="H301" s="44"/>
      <c r="I301" s="44"/>
      <c r="J301" s="44"/>
      <c r="K301" s="49"/>
      <c r="N301" s="148"/>
    </row>
    <row r="302" spans="2:14" hidden="1" outlineLevel="1" x14ac:dyDescent="0.2">
      <c r="B302" s="48" t="str">
        <f>'2017 Determination - Revenue'!B$28</f>
        <v>Border</v>
      </c>
      <c r="C302" s="43" t="str">
        <f>'2017 Determination - Revenue'!C$28</f>
        <v>$'000</v>
      </c>
      <c r="D302" s="43"/>
      <c r="E302" s="43"/>
      <c r="F302" s="44"/>
      <c r="G302" s="239">
        <f>('MDB calcs'!G21*'2017 Determination - charges'!G18)/1000</f>
        <v>823.81750612003566</v>
      </c>
      <c r="H302" s="235">
        <f>('MDB calcs'!G21*ROUND(G68,2))/1000</f>
        <v>806.42387254000005</v>
      </c>
      <c r="I302" s="186" t="s">
        <v>145</v>
      </c>
      <c r="J302" s="44" t="s">
        <v>145</v>
      </c>
      <c r="K302" s="49"/>
      <c r="N302" s="148"/>
    </row>
    <row r="303" spans="2:14" hidden="1" outlineLevel="1" x14ac:dyDescent="0.2">
      <c r="B303" s="48" t="str">
        <f>'2017 Determination - Revenue'!B$29</f>
        <v>Gwydir</v>
      </c>
      <c r="C303" s="43" t="str">
        <f>'2017 Determination - Revenue'!C$28</f>
        <v>$'000</v>
      </c>
      <c r="D303" s="43"/>
      <c r="E303" s="43"/>
      <c r="F303" s="44"/>
      <c r="G303" s="239">
        <f>('MDB calcs'!G22*'2017 Determination - charges'!G19)/1000</f>
        <v>3075.6186560368847</v>
      </c>
      <c r="H303" s="235">
        <f>('MDB calcs'!G22*ROUND(G69,2))/1000</f>
        <v>3113.6614009999994</v>
      </c>
      <c r="I303" s="186" t="s">
        <v>145</v>
      </c>
      <c r="J303" s="44" t="s">
        <v>145</v>
      </c>
      <c r="K303" s="49"/>
      <c r="N303" s="148"/>
    </row>
    <row r="304" spans="2:14" hidden="1" outlineLevel="1" x14ac:dyDescent="0.2">
      <c r="B304" s="48" t="str">
        <f>'2017 Determination - Revenue'!B$30</f>
        <v>Namoi</v>
      </c>
      <c r="C304" s="43" t="str">
        <f>'2017 Determination - Revenue'!C$28</f>
        <v>$'000</v>
      </c>
      <c r="D304" s="43"/>
      <c r="E304" s="43"/>
      <c r="F304" s="44"/>
      <c r="G304" s="239">
        <f>('MDB calcs'!G23*'2017 Determination - charges'!G20)/1000</f>
        <v>3307.8861939023918</v>
      </c>
      <c r="H304" s="235">
        <f>('MDB calcs'!G23*ROUND(G70,2))/1000</f>
        <v>3294.0581539500004</v>
      </c>
      <c r="I304" s="186" t="s">
        <v>145</v>
      </c>
      <c r="J304" s="44" t="s">
        <v>145</v>
      </c>
      <c r="K304" s="49"/>
      <c r="N304" s="148"/>
    </row>
    <row r="305" spans="2:14" hidden="1" outlineLevel="1" x14ac:dyDescent="0.2">
      <c r="B305" s="48" t="str">
        <f>'2017 Determination - Revenue'!B$31</f>
        <v>Peel</v>
      </c>
      <c r="C305" s="43" t="str">
        <f>'2017 Determination - Revenue'!C$28</f>
        <v>$'000</v>
      </c>
      <c r="D305" s="43"/>
      <c r="E305" s="43"/>
      <c r="F305" s="44"/>
      <c r="G305" s="239">
        <f>('MDB calcs'!G24*'2017 Determination - charges'!G21)/1000</f>
        <v>215.44477819990678</v>
      </c>
      <c r="H305" s="235">
        <f>('MDB calcs'!G24*ROUND(G71,2))/1000</f>
        <v>211.06029909999998</v>
      </c>
      <c r="I305" s="186" t="s">
        <v>145</v>
      </c>
      <c r="J305" s="44" t="s">
        <v>145</v>
      </c>
      <c r="K305" s="49"/>
      <c r="N305" s="148"/>
    </row>
    <row r="306" spans="2:14" hidden="1" outlineLevel="1" x14ac:dyDescent="0.2">
      <c r="B306" s="48" t="str">
        <f>'2017 Determination - Revenue'!B$32</f>
        <v>Lachlan</v>
      </c>
      <c r="C306" s="43" t="str">
        <f>'2017 Determination - Revenue'!C$28</f>
        <v>$'000</v>
      </c>
      <c r="D306" s="43"/>
      <c r="E306" s="43"/>
      <c r="F306" s="44"/>
      <c r="G306" s="239">
        <f>('MDB calcs'!G25*'2017 Determination - charges'!G22)/1000</f>
        <v>3703.6910333283336</v>
      </c>
      <c r="H306" s="235">
        <f>('MDB calcs'!G25*ROUND(G72,2))/1000</f>
        <v>3921.898034880001</v>
      </c>
      <c r="I306" s="186" t="s">
        <v>145</v>
      </c>
      <c r="J306" s="44" t="s">
        <v>145</v>
      </c>
      <c r="K306" s="49"/>
      <c r="N306" s="148"/>
    </row>
    <row r="307" spans="2:14" hidden="1" outlineLevel="1" x14ac:dyDescent="0.2">
      <c r="B307" s="48" t="str">
        <f>'2017 Determination - Revenue'!B$33</f>
        <v>Macquarie</v>
      </c>
      <c r="C307" s="43" t="str">
        <f>'2017 Determination - Revenue'!C$28</f>
        <v>$'000</v>
      </c>
      <c r="D307" s="43"/>
      <c r="E307" s="43"/>
      <c r="F307" s="44"/>
      <c r="G307" s="239">
        <f>('MDB calcs'!G26*'2017 Determination - charges'!G23)/1000</f>
        <v>3491.0416333323437</v>
      </c>
      <c r="H307" s="235">
        <f>('MDB calcs'!G26*ROUND(G73,2))/1000</f>
        <v>3570.9860361000001</v>
      </c>
      <c r="I307" s="186" t="s">
        <v>145</v>
      </c>
      <c r="J307" s="44" t="s">
        <v>145</v>
      </c>
      <c r="K307" s="49"/>
      <c r="N307" s="148"/>
    </row>
    <row r="308" spans="2:14" hidden="1" outlineLevel="1" x14ac:dyDescent="0.2">
      <c r="B308" s="48" t="str">
        <f>'2017 Determination - Revenue'!B$34</f>
        <v>Murray</v>
      </c>
      <c r="C308" s="43" t="str">
        <f>'2017 Determination - Revenue'!C$28</f>
        <v>$'000</v>
      </c>
      <c r="D308" s="43"/>
      <c r="E308" s="43"/>
      <c r="F308" s="44"/>
      <c r="G308" s="239">
        <f>('MDB calcs'!G27*'2017 Determination - charges'!G24)/1000</f>
        <v>2900.5562639844761</v>
      </c>
      <c r="H308" s="235">
        <f>('MDB calcs'!G27*ROUND(G74,2))/1000</f>
        <v>2967.6596085000006</v>
      </c>
      <c r="I308" s="186" t="s">
        <v>145</v>
      </c>
      <c r="J308" s="44" t="s">
        <v>145</v>
      </c>
      <c r="K308" s="49"/>
      <c r="N308" s="148"/>
    </row>
    <row r="309" spans="2:14" hidden="1" outlineLevel="1" x14ac:dyDescent="0.2">
      <c r="B309" s="48" t="str">
        <f>'2017 Determination - Revenue'!B$35</f>
        <v>Murrumbidgee</v>
      </c>
      <c r="C309" s="43" t="str">
        <f>'2017 Determination - Revenue'!C$28</f>
        <v>$'000</v>
      </c>
      <c r="D309" s="43"/>
      <c r="E309" s="43"/>
      <c r="F309" s="44"/>
      <c r="G309" s="239">
        <f>('MDB calcs'!G28*'2017 Determination - charges'!G25)/1000</f>
        <v>5603.0897101915943</v>
      </c>
      <c r="H309" s="235">
        <f>('MDB calcs'!G28*ROUND(G75,2))/1000</f>
        <v>5744.2942772769247</v>
      </c>
      <c r="I309" s="186" t="s">
        <v>145</v>
      </c>
      <c r="J309" s="44" t="s">
        <v>145</v>
      </c>
      <c r="K309" s="49"/>
      <c r="N309" s="148"/>
    </row>
    <row r="310" spans="2:14" hidden="1" outlineLevel="1" x14ac:dyDescent="0.2">
      <c r="B310" s="48" t="str">
        <f>'2017 Determination - Revenue'!B$36</f>
        <v>Lowbidgee</v>
      </c>
      <c r="C310" s="43" t="str">
        <f>'2017 Determination - Revenue'!C$28</f>
        <v>$'000</v>
      </c>
      <c r="D310" s="43"/>
      <c r="E310" s="43"/>
      <c r="F310" s="44"/>
      <c r="G310" s="236">
        <v>0</v>
      </c>
      <c r="H310" s="236">
        <v>0</v>
      </c>
      <c r="I310" s="186" t="s">
        <v>145</v>
      </c>
      <c r="J310" s="44" t="s">
        <v>145</v>
      </c>
      <c r="K310" s="49"/>
      <c r="N310" s="148"/>
    </row>
    <row r="311" spans="2:14" hidden="1" outlineLevel="1" x14ac:dyDescent="0.2">
      <c r="B311" s="48"/>
      <c r="C311" s="43"/>
      <c r="D311" s="43"/>
      <c r="E311" s="43"/>
      <c r="F311" s="44"/>
      <c r="G311" s="235"/>
      <c r="H311" s="235"/>
      <c r="I311" s="186"/>
      <c r="J311" s="44"/>
      <c r="K311" s="49"/>
      <c r="N311" s="148"/>
    </row>
    <row r="312" spans="2:14" hidden="1" outlineLevel="1" x14ac:dyDescent="0.2">
      <c r="B312" s="55" t="s">
        <v>85</v>
      </c>
      <c r="C312" s="43"/>
      <c r="D312" s="43"/>
      <c r="E312" s="43"/>
      <c r="F312" s="44"/>
      <c r="G312" s="235"/>
      <c r="H312" s="235"/>
      <c r="I312" s="186"/>
      <c r="J312" s="44"/>
      <c r="K312" s="49"/>
      <c r="N312" s="148"/>
    </row>
    <row r="313" spans="2:14" hidden="1" outlineLevel="1" x14ac:dyDescent="0.2">
      <c r="B313" s="48" t="str">
        <f>'2017 Determination - Revenue'!B$28</f>
        <v>Border</v>
      </c>
      <c r="C313" s="43" t="str">
        <f>'2017 Determination - Revenue'!C$28</f>
        <v>$'000</v>
      </c>
      <c r="D313" s="43"/>
      <c r="E313" s="43"/>
      <c r="F313" s="44"/>
      <c r="G313" s="239">
        <f>('MDB calcs'!G33*'2017 Determination - charges'!G35)/1000</f>
        <v>520.87386648750987</v>
      </c>
      <c r="H313" s="235">
        <f>('MDB calcs'!G33*ROUND(G79,2))/1000</f>
        <v>521.17164000000002</v>
      </c>
      <c r="I313" s="186" t="s">
        <v>145</v>
      </c>
      <c r="J313" s="44" t="s">
        <v>145</v>
      </c>
      <c r="K313" s="49"/>
      <c r="N313" s="148"/>
    </row>
    <row r="314" spans="2:14" hidden="1" outlineLevel="1" x14ac:dyDescent="0.2">
      <c r="B314" s="48" t="str">
        <f>'2017 Determination - Revenue'!B$29</f>
        <v>Gwydir</v>
      </c>
      <c r="C314" s="43" t="str">
        <f>'2017 Determination - Revenue'!C$28</f>
        <v>$'000</v>
      </c>
      <c r="D314" s="43"/>
      <c r="E314" s="43"/>
      <c r="F314" s="44"/>
      <c r="G314" s="239">
        <f>('MDB calcs'!G34*'2017 Determination - charges'!G36)/1000</f>
        <v>1773.5564673140316</v>
      </c>
      <c r="H314" s="235">
        <f>('MDB calcs'!G34*ROUND(G80,2))/1000</f>
        <v>1773.6342</v>
      </c>
      <c r="I314" s="186" t="s">
        <v>145</v>
      </c>
      <c r="J314" s="44" t="s">
        <v>145</v>
      </c>
      <c r="K314" s="49"/>
      <c r="N314" s="148"/>
    </row>
    <row r="315" spans="2:14" hidden="1" outlineLevel="1" x14ac:dyDescent="0.2">
      <c r="B315" s="48" t="str">
        <f>'2017 Determination - Revenue'!B$30</f>
        <v>Namoi</v>
      </c>
      <c r="C315" s="43" t="str">
        <f>'2017 Determination - Revenue'!C$28</f>
        <v>$'000</v>
      </c>
      <c r="D315" s="43"/>
      <c r="E315" s="43"/>
      <c r="F315" s="44"/>
      <c r="G315" s="239">
        <f>('MDB calcs'!G35*'2017 Determination - charges'!G37)/1000</f>
        <v>2038.7684388244068</v>
      </c>
      <c r="H315" s="235">
        <f>('MDB calcs'!G35*ROUND(G81,2))/1000</f>
        <v>2042.00964</v>
      </c>
      <c r="I315" s="186" t="s">
        <v>145</v>
      </c>
      <c r="J315" s="44" t="s">
        <v>145</v>
      </c>
      <c r="K315" s="49"/>
      <c r="N315" s="148"/>
    </row>
    <row r="316" spans="2:14" hidden="1" outlineLevel="1" x14ac:dyDescent="0.2">
      <c r="B316" s="48" t="str">
        <f>'2017 Determination - Revenue'!B$31</f>
        <v>Peel</v>
      </c>
      <c r="C316" s="43" t="str">
        <f>'2017 Determination - Revenue'!C$28</f>
        <v>$'000</v>
      </c>
      <c r="D316" s="43"/>
      <c r="E316" s="43"/>
      <c r="F316" s="44"/>
      <c r="G316" s="239">
        <f>('MDB calcs'!G36*'2017 Determination - charges'!G38)/1000</f>
        <v>122.24987183378994</v>
      </c>
      <c r="H316" s="235">
        <f>('MDB calcs'!G36*ROUND(G82,2))/1000</f>
        <v>125.05908000000002</v>
      </c>
      <c r="I316" s="186" t="s">
        <v>145</v>
      </c>
      <c r="J316" s="44" t="s">
        <v>145</v>
      </c>
      <c r="K316" s="49"/>
      <c r="N316" s="148"/>
    </row>
    <row r="317" spans="2:14" hidden="1" outlineLevel="1" x14ac:dyDescent="0.2">
      <c r="B317" s="48" t="str">
        <f>'2017 Determination - Revenue'!B$32</f>
        <v>Lachlan</v>
      </c>
      <c r="C317" s="43" t="str">
        <f>'2017 Determination - Revenue'!C$28</f>
        <v>$'000</v>
      </c>
      <c r="D317" s="43"/>
      <c r="E317" s="43"/>
      <c r="F317" s="44"/>
      <c r="G317" s="239">
        <f>('MDB calcs'!G37*'2017 Determination - charges'!G39)/1000</f>
        <v>1728.2110742741156</v>
      </c>
      <c r="H317" s="235">
        <f>('MDB calcs'!G37*ROUND(G83,2))/1000</f>
        <v>1760.2014799999999</v>
      </c>
      <c r="I317" s="186" t="s">
        <v>145</v>
      </c>
      <c r="J317" s="44" t="s">
        <v>145</v>
      </c>
      <c r="K317" s="49"/>
      <c r="N317" s="148"/>
    </row>
    <row r="318" spans="2:14" hidden="1" outlineLevel="1" x14ac:dyDescent="0.2">
      <c r="B318" s="48" t="str">
        <f>'2017 Determination - Revenue'!B$33</f>
        <v>Macquarie</v>
      </c>
      <c r="C318" s="43" t="str">
        <f>'2017 Determination - Revenue'!C$28</f>
        <v>$'000</v>
      </c>
      <c r="D318" s="43"/>
      <c r="E318" s="43"/>
      <c r="F318" s="44"/>
      <c r="G318" s="239">
        <f>('MDB calcs'!G38*'2017 Determination - charges'!G40)/1000</f>
        <v>1800.4922890674561</v>
      </c>
      <c r="H318" s="235">
        <f>('MDB calcs'!G38*ROUND(G84,2))/1000</f>
        <v>1808.85276</v>
      </c>
      <c r="I318" s="186" t="s">
        <v>145</v>
      </c>
      <c r="J318" s="44" t="s">
        <v>145</v>
      </c>
      <c r="K318" s="49"/>
      <c r="N318" s="148"/>
    </row>
    <row r="319" spans="2:14" hidden="1" outlineLevel="1" x14ac:dyDescent="0.2">
      <c r="B319" s="48" t="str">
        <f>'2017 Determination - Revenue'!B$34</f>
        <v>Murray</v>
      </c>
      <c r="C319" s="43" t="str">
        <f>'2017 Determination - Revenue'!C$28</f>
        <v>$'000</v>
      </c>
      <c r="D319" s="43"/>
      <c r="E319" s="43"/>
      <c r="F319" s="44"/>
      <c r="G319" s="239">
        <f>('MDB calcs'!G39*'2017 Determination - charges'!G41)/1000</f>
        <v>1570.3501611063584</v>
      </c>
      <c r="H319" s="235">
        <f>('MDB calcs'!G39*ROUND(G85,2))/1000</f>
        <v>1562.45325</v>
      </c>
      <c r="I319" s="186" t="s">
        <v>145</v>
      </c>
      <c r="J319" s="44" t="s">
        <v>145</v>
      </c>
      <c r="K319" s="49"/>
      <c r="N319" s="148"/>
    </row>
    <row r="320" spans="2:14" hidden="1" outlineLevel="1" x14ac:dyDescent="0.2">
      <c r="B320" s="48" t="str">
        <f>'2017 Determination - Revenue'!B$35</f>
        <v>Murrumbidgee</v>
      </c>
      <c r="C320" s="43" t="str">
        <f>'2017 Determination - Revenue'!C$28</f>
        <v>$'000</v>
      </c>
      <c r="D320" s="43"/>
      <c r="E320" s="43"/>
      <c r="F320" s="44"/>
      <c r="G320" s="239">
        <f>('MDB calcs'!G40*'2017 Determination - charges'!G42)/1000</f>
        <v>2527.6329210145964</v>
      </c>
      <c r="H320" s="235">
        <f>('MDB calcs'!G40*ROUND(G86,2))/1000</f>
        <v>2517.4389300000003</v>
      </c>
      <c r="I320" s="186" t="s">
        <v>145</v>
      </c>
      <c r="J320" s="44" t="s">
        <v>145</v>
      </c>
      <c r="K320" s="49"/>
      <c r="N320" s="148"/>
    </row>
    <row r="321" spans="2:14" hidden="1" outlineLevel="1" x14ac:dyDescent="0.2">
      <c r="B321" s="48" t="str">
        <f>'2017 Determination - Revenue'!B$36</f>
        <v>Lowbidgee</v>
      </c>
      <c r="C321" s="43" t="str">
        <f>'2017 Determination - Revenue'!C$28</f>
        <v>$'000</v>
      </c>
      <c r="D321" s="43"/>
      <c r="E321" s="43"/>
      <c r="F321" s="44"/>
      <c r="G321" s="239">
        <f>('MDB calcs'!G41*'2017 Determination - charges'!G43)/1000</f>
        <v>585.01639329709701</v>
      </c>
      <c r="H321" s="235">
        <f>('MDB calcs'!G41*ROUND(G87,2))/1000</f>
        <v>582.66</v>
      </c>
      <c r="I321" s="186" t="s">
        <v>145</v>
      </c>
      <c r="J321" s="44" t="s">
        <v>145</v>
      </c>
      <c r="K321" s="49"/>
      <c r="N321" s="148"/>
    </row>
    <row r="322" spans="2:14" hidden="1" outlineLevel="1" x14ac:dyDescent="0.2">
      <c r="B322" s="48"/>
      <c r="C322" s="43"/>
      <c r="D322" s="43"/>
      <c r="E322" s="43"/>
      <c r="F322" s="44"/>
      <c r="G322" s="44"/>
      <c r="H322" s="235"/>
      <c r="I322" s="186"/>
      <c r="J322" s="44"/>
      <c r="K322" s="49"/>
      <c r="N322" s="148"/>
    </row>
    <row r="323" spans="2:14" hidden="1" outlineLevel="1" x14ac:dyDescent="0.2">
      <c r="B323" s="55" t="s">
        <v>86</v>
      </c>
      <c r="C323" s="43"/>
      <c r="D323" s="43"/>
      <c r="E323" s="43"/>
      <c r="F323" s="44"/>
      <c r="G323" s="44"/>
      <c r="H323" s="235"/>
      <c r="I323" s="186"/>
      <c r="J323" s="44"/>
      <c r="K323" s="49"/>
      <c r="N323" s="148"/>
    </row>
    <row r="324" spans="2:14" hidden="1" outlineLevel="1" x14ac:dyDescent="0.2">
      <c r="B324" s="48" t="str">
        <f>'2017 Determination - Revenue'!B$28</f>
        <v>Border</v>
      </c>
      <c r="C324" s="43" t="str">
        <f>'2017 Determination - Revenue'!C$28</f>
        <v>$'000</v>
      </c>
      <c r="D324" s="43"/>
      <c r="E324" s="43"/>
      <c r="F324" s="44"/>
      <c r="G324" s="239">
        <f>('MDB calcs'!G45*'2017 Determination - charges'!G52)/1000</f>
        <v>16.735534716670667</v>
      </c>
      <c r="H324" s="235">
        <f>('MDB calcs'!G45*ROUND(G90,2))/1000</f>
        <v>15.956280000000001</v>
      </c>
      <c r="I324" s="186" t="s">
        <v>145</v>
      </c>
      <c r="J324" s="44" t="s">
        <v>145</v>
      </c>
      <c r="K324" s="49"/>
      <c r="N324" s="148"/>
    </row>
    <row r="325" spans="2:14" hidden="1" outlineLevel="1" x14ac:dyDescent="0.2">
      <c r="B325" s="48" t="str">
        <f>'2017 Determination - Revenue'!B$29</f>
        <v>Gwydir</v>
      </c>
      <c r="C325" s="43" t="str">
        <f>'2017 Determination - Revenue'!C$28</f>
        <v>$'000</v>
      </c>
      <c r="D325" s="43"/>
      <c r="E325" s="43"/>
      <c r="F325" s="44"/>
      <c r="G325" s="239">
        <f>('MDB calcs'!G46*'2017 Determination - charges'!G53)/1000</f>
        <v>298.30712730204215</v>
      </c>
      <c r="H325" s="235">
        <f>('MDB calcs'!G46*ROUND(G91,2))/1000</f>
        <v>297.1968</v>
      </c>
      <c r="I325" s="186" t="s">
        <v>145</v>
      </c>
      <c r="J325" s="44" t="s">
        <v>145</v>
      </c>
      <c r="K325" s="49"/>
      <c r="N325" s="148"/>
    </row>
    <row r="326" spans="2:14" hidden="1" outlineLevel="1" x14ac:dyDescent="0.2">
      <c r="B326" s="48" t="str">
        <f>'2017 Determination - Revenue'!B$30</f>
        <v>Namoi</v>
      </c>
      <c r="C326" s="43" t="str">
        <f>'2017 Determination - Revenue'!C$28</f>
        <v>$'000</v>
      </c>
      <c r="D326" s="43"/>
      <c r="E326" s="43"/>
      <c r="F326" s="44"/>
      <c r="G326" s="239">
        <f>('MDB calcs'!G47*'2017 Determination - charges'!G54)/1000</f>
        <v>151.42069589130071</v>
      </c>
      <c r="H326" s="235">
        <f>('MDB calcs'!G47*ROUND(G92,2))/1000</f>
        <v>148.59416000000002</v>
      </c>
      <c r="I326" s="186" t="s">
        <v>145</v>
      </c>
      <c r="J326" s="44" t="s">
        <v>145</v>
      </c>
      <c r="K326" s="49"/>
      <c r="N326" s="148"/>
    </row>
    <row r="327" spans="2:14" hidden="1" outlineLevel="1" x14ac:dyDescent="0.2">
      <c r="B327" s="48" t="str">
        <f>'2017 Determination - Revenue'!B$31</f>
        <v>Peel</v>
      </c>
      <c r="C327" s="43" t="str">
        <f>'2017 Determination - Revenue'!C$28</f>
        <v>$'000</v>
      </c>
      <c r="D327" s="43"/>
      <c r="E327" s="43"/>
      <c r="F327" s="44"/>
      <c r="G327" s="239">
        <f>('MDB calcs'!G48*'2017 Determination - charges'!G55)/1000</f>
        <v>721.90976564766515</v>
      </c>
      <c r="H327" s="235">
        <f>('MDB calcs'!G48*ROUND(G93,2))/1000</f>
        <v>718.99379999999996</v>
      </c>
      <c r="I327" s="186" t="s">
        <v>145</v>
      </c>
      <c r="J327" s="44" t="s">
        <v>145</v>
      </c>
      <c r="K327" s="49"/>
      <c r="N327" s="148"/>
    </row>
    <row r="328" spans="2:14" hidden="1" outlineLevel="1" x14ac:dyDescent="0.2">
      <c r="B328" s="48" t="str">
        <f>'2017 Determination - Revenue'!B$32</f>
        <v>Lachlan</v>
      </c>
      <c r="C328" s="43" t="str">
        <f>'2017 Determination - Revenue'!C$28</f>
        <v>$'000</v>
      </c>
      <c r="D328" s="43"/>
      <c r="E328" s="43"/>
      <c r="F328" s="44"/>
      <c r="G328" s="239">
        <f>('MDB calcs'!G49*'2017 Determination - charges'!G56)/1000</f>
        <v>881.23837149266842</v>
      </c>
      <c r="H328" s="235">
        <f>('MDB calcs'!G49*ROUND(G94,2))/1000</f>
        <v>852.06587000000002</v>
      </c>
      <c r="I328" s="186" t="s">
        <v>145</v>
      </c>
      <c r="J328" s="44" t="s">
        <v>145</v>
      </c>
      <c r="K328" s="49"/>
      <c r="N328" s="148"/>
    </row>
    <row r="329" spans="2:14" hidden="1" outlineLevel="1" x14ac:dyDescent="0.2">
      <c r="B329" s="48" t="str">
        <f>'2017 Determination - Revenue'!B$33</f>
        <v>Macquarie</v>
      </c>
      <c r="C329" s="43" t="str">
        <f>'2017 Determination - Revenue'!C$28</f>
        <v>$'000</v>
      </c>
      <c r="D329" s="43"/>
      <c r="E329" s="43"/>
      <c r="F329" s="44"/>
      <c r="G329" s="239">
        <f>('MDB calcs'!G50*'2017 Determination - charges'!G57)/1000</f>
        <v>576.89254797902549</v>
      </c>
      <c r="H329" s="235">
        <f>('MDB calcs'!G50*ROUND(G95,2))/1000</f>
        <v>569.03104000000008</v>
      </c>
      <c r="I329" s="186" t="s">
        <v>145</v>
      </c>
      <c r="J329" s="44" t="s">
        <v>145</v>
      </c>
      <c r="K329" s="49"/>
      <c r="N329" s="148"/>
    </row>
    <row r="330" spans="2:14" hidden="1" outlineLevel="1" x14ac:dyDescent="0.2">
      <c r="B330" s="48" t="str">
        <f>'2017 Determination - Revenue'!B$34</f>
        <v>Murray</v>
      </c>
      <c r="C330" s="43" t="str">
        <f>'2017 Determination - Revenue'!C$28</f>
        <v>$'000</v>
      </c>
      <c r="D330" s="43"/>
      <c r="E330" s="43"/>
      <c r="F330" s="44"/>
      <c r="G330" s="239">
        <f>('MDB calcs'!G51*'2017 Determination - charges'!G58)/1000</f>
        <v>405.33194796587901</v>
      </c>
      <c r="H330" s="235">
        <f>('MDB calcs'!G51*ROUND(G96,2))/1000</f>
        <v>405.92860000000002</v>
      </c>
      <c r="I330" s="186" t="s">
        <v>145</v>
      </c>
      <c r="J330" s="44" t="s">
        <v>145</v>
      </c>
      <c r="K330" s="49"/>
      <c r="N330" s="148"/>
    </row>
    <row r="331" spans="2:14" hidden="1" outlineLevel="1" x14ac:dyDescent="0.2">
      <c r="B331" s="48" t="str">
        <f>'2017 Determination - Revenue'!B$35</f>
        <v>Murrumbidgee</v>
      </c>
      <c r="C331" s="43" t="str">
        <f>'2017 Determination - Revenue'!C$28</f>
        <v>$'000</v>
      </c>
      <c r="D331" s="43"/>
      <c r="E331" s="43"/>
      <c r="F331" s="44"/>
      <c r="G331" s="239">
        <f>('MDB calcs'!G52*'2017 Determination - charges'!G59)/1000</f>
        <v>1294.5029119376584</v>
      </c>
      <c r="H331" s="235">
        <f>('MDB calcs'!G52*ROUND(G97,2))/1000</f>
        <v>1293.0676000000001</v>
      </c>
      <c r="I331" s="186" t="s">
        <v>145</v>
      </c>
      <c r="J331" s="44" t="s">
        <v>145</v>
      </c>
      <c r="K331" s="49"/>
      <c r="N331" s="148"/>
    </row>
    <row r="332" spans="2:14" hidden="1" outlineLevel="1" x14ac:dyDescent="0.2">
      <c r="B332" s="48" t="str">
        <f>'2017 Determination - Revenue'!B$36</f>
        <v>Lowbidgee</v>
      </c>
      <c r="C332" s="43" t="str">
        <f>'2017 Determination - Revenue'!C$28</f>
        <v>$'000</v>
      </c>
      <c r="D332" s="43"/>
      <c r="E332" s="43"/>
      <c r="F332" s="44"/>
      <c r="G332" s="236">
        <v>0</v>
      </c>
      <c r="H332" s="236">
        <v>0</v>
      </c>
      <c r="I332" s="186" t="s">
        <v>145</v>
      </c>
      <c r="J332" s="44" t="s">
        <v>145</v>
      </c>
      <c r="K332" s="49"/>
      <c r="N332" s="148"/>
    </row>
    <row r="333" spans="2:14" hidden="1" outlineLevel="1" x14ac:dyDescent="0.2">
      <c r="B333" s="48"/>
      <c r="C333" s="43"/>
      <c r="D333" s="43"/>
      <c r="E333" s="43"/>
      <c r="F333" s="44"/>
      <c r="G333" s="44"/>
      <c r="H333" s="235"/>
      <c r="I333" s="44"/>
      <c r="J333" s="44"/>
      <c r="K333" s="49"/>
      <c r="N333" s="148"/>
    </row>
    <row r="334" spans="2:14" hidden="1" outlineLevel="1" x14ac:dyDescent="0.2">
      <c r="B334" s="48"/>
      <c r="C334" s="43"/>
      <c r="D334" s="43"/>
      <c r="E334" s="43"/>
      <c r="F334" s="186"/>
      <c r="G334" s="44"/>
      <c r="H334" s="235"/>
      <c r="I334" s="44"/>
      <c r="J334" s="44"/>
      <c r="K334" s="49"/>
      <c r="N334" s="148"/>
    </row>
    <row r="335" spans="2:14" collapsed="1" x14ac:dyDescent="0.2">
      <c r="B335" s="55" t="s">
        <v>220</v>
      </c>
      <c r="C335" s="43"/>
      <c r="D335" s="43"/>
      <c r="E335" s="43"/>
      <c r="F335" s="237"/>
      <c r="G335" s="44"/>
      <c r="H335" s="44"/>
      <c r="I335" s="44"/>
      <c r="J335" s="44"/>
      <c r="K335" s="49"/>
    </row>
    <row r="336" spans="2:14" x14ac:dyDescent="0.2">
      <c r="B336" s="48" t="str">
        <f>'2017 Determination - Revenue'!B$28</f>
        <v>Border</v>
      </c>
      <c r="C336" s="43" t="str">
        <f>'2017 Determination - Revenue'!C$28</f>
        <v>$'000</v>
      </c>
      <c r="D336" s="43"/>
      <c r="E336" s="43"/>
      <c r="F336" s="238">
        <f>'2017 Determination - Revenue'!G28</f>
        <v>1344.7697650285472</v>
      </c>
      <c r="G336" s="238">
        <f>G302+G313+G324</f>
        <v>1361.426907324216</v>
      </c>
      <c r="H336" s="238">
        <f>H302+H313+H324</f>
        <v>1343.5517925400002</v>
      </c>
      <c r="I336" s="187">
        <f t="shared" ref="I336:I344" si="81">G336/F336-1</f>
        <v>1.2386612733901847E-2</v>
      </c>
      <c r="J336" s="187">
        <f t="shared" ref="J336:J344" si="82">H336/F336-1</f>
        <v>-9.0571079170653768E-4</v>
      </c>
      <c r="K336" s="49"/>
    </row>
    <row r="337" spans="2:14" x14ac:dyDescent="0.2">
      <c r="B337" s="48" t="str">
        <f>'2017 Determination - Revenue'!B$29</f>
        <v>Gwydir</v>
      </c>
      <c r="C337" s="43" t="str">
        <f>'2017 Determination - Revenue'!C$28</f>
        <v>$'000</v>
      </c>
      <c r="D337" s="43"/>
      <c r="E337" s="43"/>
      <c r="F337" s="238">
        <f>'2017 Determination - Revenue'!G29</f>
        <v>5187.1886948974634</v>
      </c>
      <c r="G337" s="238">
        <f t="shared" ref="G337:H344" si="83">G303+G314+G325</f>
        <v>5147.482250652959</v>
      </c>
      <c r="H337" s="238">
        <f t="shared" si="83"/>
        <v>5184.4924009999995</v>
      </c>
      <c r="I337" s="187">
        <f t="shared" si="81"/>
        <v>-7.6547136763238655E-3</v>
      </c>
      <c r="J337" s="187">
        <f t="shared" si="82"/>
        <v>-5.1979869174922921E-4</v>
      </c>
      <c r="K337" s="49"/>
      <c r="N337" s="148"/>
    </row>
    <row r="338" spans="2:14" x14ac:dyDescent="0.2">
      <c r="B338" s="48" t="str">
        <f>'2017 Determination - Revenue'!B$30</f>
        <v>Namoi</v>
      </c>
      <c r="C338" s="43" t="str">
        <f>'2017 Determination - Revenue'!C$28</f>
        <v>$'000</v>
      </c>
      <c r="D338" s="43"/>
      <c r="E338" s="43"/>
      <c r="F338" s="238">
        <f>'2017 Determination - Revenue'!G30</f>
        <v>5486.6491176172922</v>
      </c>
      <c r="G338" s="238">
        <f t="shared" si="83"/>
        <v>5498.0753286180998</v>
      </c>
      <c r="H338" s="238">
        <f t="shared" si="83"/>
        <v>5484.6619539499998</v>
      </c>
      <c r="I338" s="187">
        <f t="shared" si="81"/>
        <v>2.0825481556892012E-3</v>
      </c>
      <c r="J338" s="187">
        <f t="shared" si="82"/>
        <v>-3.6218165672596836E-4</v>
      </c>
      <c r="K338" s="49"/>
      <c r="N338" s="148"/>
    </row>
    <row r="339" spans="2:14" x14ac:dyDescent="0.2">
      <c r="B339" s="48" t="str">
        <f>'2017 Determination - Revenue'!B$31</f>
        <v>Peel</v>
      </c>
      <c r="C339" s="43" t="str">
        <f>'2017 Determination - Revenue'!C$28</f>
        <v>$'000</v>
      </c>
      <c r="D339" s="43"/>
      <c r="E339" s="43"/>
      <c r="F339" s="238">
        <f>'2017 Determination - Revenue'!G31</f>
        <v>1055.9400280129389</v>
      </c>
      <c r="G339" s="238">
        <f t="shared" si="83"/>
        <v>1059.6044156813618</v>
      </c>
      <c r="H339" s="238">
        <f t="shared" si="83"/>
        <v>1055.1131791</v>
      </c>
      <c r="I339" s="187">
        <f t="shared" si="81"/>
        <v>3.4702611618184775E-3</v>
      </c>
      <c r="J339" s="187">
        <f t="shared" si="82"/>
        <v>-7.8304533496553752E-4</v>
      </c>
      <c r="K339" s="49"/>
      <c r="N339" s="148"/>
    </row>
    <row r="340" spans="2:14" x14ac:dyDescent="0.2">
      <c r="B340" s="48" t="str">
        <f>'2017 Determination - Revenue'!B$32</f>
        <v>Lachlan</v>
      </c>
      <c r="C340" s="43" t="str">
        <f>'2017 Determination - Revenue'!C$28</f>
        <v>$'000</v>
      </c>
      <c r="D340" s="43"/>
      <c r="E340" s="43"/>
      <c r="F340" s="238">
        <f>'2017 Determination - Revenue'!G32</f>
        <v>6536.1319155625815</v>
      </c>
      <c r="G340" s="238">
        <f t="shared" si="83"/>
        <v>6313.1404790951174</v>
      </c>
      <c r="H340" s="238">
        <f t="shared" si="83"/>
        <v>6534.1653848800015</v>
      </c>
      <c r="I340" s="187">
        <f t="shared" si="81"/>
        <v>-3.4116728265003338E-2</v>
      </c>
      <c r="J340" s="187">
        <f t="shared" si="82"/>
        <v>-3.0087071497097995E-4</v>
      </c>
      <c r="K340" s="49"/>
      <c r="N340" s="148"/>
    </row>
    <row r="341" spans="2:14" x14ac:dyDescent="0.2">
      <c r="B341" s="48" t="str">
        <f>'2017 Determination - Revenue'!B$33</f>
        <v>Macquarie</v>
      </c>
      <c r="C341" s="43" t="str">
        <f>'2017 Determination - Revenue'!C$28</f>
        <v>$'000</v>
      </c>
      <c r="D341" s="43"/>
      <c r="E341" s="43"/>
      <c r="F341" s="238">
        <f>'2017 Determination - Revenue'!G33</f>
        <v>5952.9292820896098</v>
      </c>
      <c r="G341" s="238">
        <f t="shared" si="83"/>
        <v>5868.4264703788249</v>
      </c>
      <c r="H341" s="238">
        <f t="shared" si="83"/>
        <v>5948.8698360999997</v>
      </c>
      <c r="I341" s="187">
        <f t="shared" si="81"/>
        <v>-1.4195164717482167E-2</v>
      </c>
      <c r="J341" s="187">
        <f t="shared" si="82"/>
        <v>-6.8192410782097479E-4</v>
      </c>
      <c r="K341" s="49"/>
      <c r="N341" s="148"/>
    </row>
    <row r="342" spans="2:14" x14ac:dyDescent="0.2">
      <c r="B342" s="48" t="str">
        <f>'2017 Determination - Revenue'!B$34</f>
        <v>Murray</v>
      </c>
      <c r="C342" s="43" t="str">
        <f>'2017 Determination - Revenue'!C$28</f>
        <v>$'000</v>
      </c>
      <c r="D342" s="43"/>
      <c r="E342" s="43"/>
      <c r="F342" s="238">
        <f>'2017 Determination - Revenue'!G34</f>
        <v>4947.1990109016042</v>
      </c>
      <c r="G342" s="238">
        <f t="shared" si="83"/>
        <v>4876.2383730567135</v>
      </c>
      <c r="H342" s="238">
        <f t="shared" si="83"/>
        <v>4936.0414585000008</v>
      </c>
      <c r="I342" s="187">
        <f t="shared" si="81"/>
        <v>-1.4343598809856362E-2</v>
      </c>
      <c r="J342" s="187">
        <f t="shared" si="82"/>
        <v>-2.255327181505451E-3</v>
      </c>
      <c r="K342" s="49"/>
      <c r="N342" s="148"/>
    </row>
    <row r="343" spans="2:14" x14ac:dyDescent="0.2">
      <c r="B343" s="48" t="str">
        <f>'2017 Determination - Revenue'!B$35</f>
        <v>Murrumbidgee</v>
      </c>
      <c r="C343" s="43" t="str">
        <f>'2017 Determination - Revenue'!C$28</f>
        <v>$'000</v>
      </c>
      <c r="D343" s="43"/>
      <c r="E343" s="43"/>
      <c r="F343" s="238">
        <f>'2017 Determination - Revenue'!G35</f>
        <v>9568.6577255460525</v>
      </c>
      <c r="G343" s="238">
        <f t="shared" si="83"/>
        <v>9425.225543143848</v>
      </c>
      <c r="H343" s="238">
        <f t="shared" si="83"/>
        <v>9554.8008072769244</v>
      </c>
      <c r="I343" s="187">
        <f t="shared" si="81"/>
        <v>-1.4989791307852385E-2</v>
      </c>
      <c r="J343" s="187">
        <f t="shared" si="82"/>
        <v>-1.4481569585390597E-3</v>
      </c>
      <c r="K343" s="49"/>
      <c r="N343" s="148"/>
    </row>
    <row r="344" spans="2:14" x14ac:dyDescent="0.2">
      <c r="B344" s="48" t="str">
        <f>'2017 Determination - Revenue'!B$36</f>
        <v>Lowbidgee</v>
      </c>
      <c r="C344" s="43" t="str">
        <f>'2017 Determination - Revenue'!C$28</f>
        <v>$'000</v>
      </c>
      <c r="D344" s="43"/>
      <c r="E344" s="43"/>
      <c r="F344" s="238">
        <f>'2017 Determination - Revenue'!G36</f>
        <v>585.59474030538888</v>
      </c>
      <c r="G344" s="238">
        <f t="shared" si="83"/>
        <v>585.01639329709701</v>
      </c>
      <c r="H344" s="238">
        <f t="shared" si="83"/>
        <v>582.66</v>
      </c>
      <c r="I344" s="187">
        <f t="shared" si="81"/>
        <v>-9.87623297282747E-4</v>
      </c>
      <c r="J344" s="187">
        <f t="shared" si="82"/>
        <v>-5.0115550967183564E-3</v>
      </c>
      <c r="K344" s="49"/>
      <c r="N344" s="148"/>
    </row>
    <row r="345" spans="2:14" x14ac:dyDescent="0.2">
      <c r="B345" s="48"/>
      <c r="C345" s="43"/>
      <c r="D345" s="43"/>
      <c r="E345" s="43"/>
      <c r="F345" s="44"/>
      <c r="G345" s="44"/>
      <c r="H345" s="44"/>
      <c r="I345" s="187"/>
      <c r="J345" s="187"/>
      <c r="K345" s="49"/>
    </row>
    <row r="346" spans="2:14" s="148" customFormat="1" x14ac:dyDescent="0.2">
      <c r="B346" s="48"/>
      <c r="C346" s="43"/>
      <c r="D346" s="43"/>
      <c r="E346" s="43"/>
      <c r="F346" s="44"/>
      <c r="G346" s="44"/>
      <c r="H346" s="44"/>
      <c r="I346" s="187"/>
      <c r="J346" s="187"/>
      <c r="K346" s="49"/>
      <c r="M346" s="93"/>
    </row>
    <row r="347" spans="2:14" s="148" customFormat="1" x14ac:dyDescent="0.2">
      <c r="B347" s="241" t="s">
        <v>223</v>
      </c>
      <c r="C347" s="43"/>
      <c r="D347" s="43"/>
      <c r="E347" s="43"/>
      <c r="F347" s="44"/>
      <c r="G347" s="44"/>
      <c r="H347" s="44"/>
      <c r="I347" s="187"/>
      <c r="J347" s="187"/>
      <c r="K347" s="49"/>
      <c r="M347" s="93"/>
    </row>
    <row r="348" spans="2:14" s="148" customFormat="1" hidden="1" outlineLevel="1" x14ac:dyDescent="0.2">
      <c r="B348" s="55" t="s">
        <v>88</v>
      </c>
      <c r="C348" s="43"/>
      <c r="D348" s="43"/>
      <c r="E348" s="43"/>
      <c r="F348" s="44"/>
      <c r="G348" s="44"/>
      <c r="H348" s="44"/>
      <c r="I348" s="187"/>
      <c r="J348" s="187"/>
      <c r="K348" s="49"/>
      <c r="M348" s="93"/>
    </row>
    <row r="349" spans="2:14" s="148" customFormat="1" hidden="1" outlineLevel="1" x14ac:dyDescent="0.2">
      <c r="B349" s="48" t="str">
        <f>'Updated Volumes'!B$31</f>
        <v xml:space="preserve">Energy Australia </v>
      </c>
      <c r="C349" s="43" t="str">
        <f>'2017 Determination - Revenue'!C$28</f>
        <v>$'000</v>
      </c>
      <c r="D349" s="43"/>
      <c r="E349" s="43"/>
      <c r="F349" s="44"/>
      <c r="G349" s="240">
        <f>'FRWS calcs'!G14*ROUND('2017 Determination - charges'!G91,2)</f>
        <v>3191.76</v>
      </c>
      <c r="H349" s="238">
        <f>'FRWS calcs'!G14*ROUND(Outputs!G148,2)</f>
        <v>3191.76</v>
      </c>
      <c r="I349" s="186" t="s">
        <v>145</v>
      </c>
      <c r="J349" s="44" t="s">
        <v>145</v>
      </c>
      <c r="K349" s="49"/>
      <c r="M349" s="93"/>
    </row>
    <row r="350" spans="2:14" s="148" customFormat="1" hidden="1" outlineLevel="1" x14ac:dyDescent="0.2">
      <c r="B350" s="48" t="str">
        <f>'Updated Volumes'!B$32</f>
        <v xml:space="preserve">Minor customers (raw) </v>
      </c>
      <c r="C350" s="43" t="str">
        <f>'2017 Determination - Revenue'!C$28</f>
        <v>$'000</v>
      </c>
      <c r="D350" s="43"/>
      <c r="E350" s="43"/>
      <c r="F350" s="44"/>
      <c r="G350" s="240">
        <f>'FRWS calcs'!G15*ROUND('2017 Determination - charges'!G92,2)</f>
        <v>6.4740000000000011</v>
      </c>
      <c r="H350" s="238">
        <f>'FRWS calcs'!G15*ROUND(Outputs!G149,2)</f>
        <v>6.4740000000000011</v>
      </c>
      <c r="I350" s="186" t="s">
        <v>145</v>
      </c>
      <c r="J350" s="44" t="s">
        <v>145</v>
      </c>
      <c r="K350" s="49"/>
      <c r="M350" s="93"/>
    </row>
    <row r="351" spans="2:14" s="148" customFormat="1" hidden="1" outlineLevel="1" x14ac:dyDescent="0.2">
      <c r="B351" s="48" t="str">
        <f>'Updated Volumes'!B$33</f>
        <v xml:space="preserve">Minor customers (filtered) </v>
      </c>
      <c r="C351" s="43" t="str">
        <f>'2017 Determination - Revenue'!C$28</f>
        <v>$'000</v>
      </c>
      <c r="D351" s="43"/>
      <c r="E351" s="43"/>
      <c r="F351" s="44"/>
      <c r="G351" s="240">
        <f>'FRWS calcs'!G16*ROUND('2017 Determination - charges'!G93,2)</f>
        <v>34.047999999999995</v>
      </c>
      <c r="H351" s="238">
        <f>'FRWS calcs'!G16*ROUND(Outputs!G150,2)</f>
        <v>32.704000000000001</v>
      </c>
      <c r="I351" s="186" t="s">
        <v>145</v>
      </c>
      <c r="J351" s="44" t="s">
        <v>145</v>
      </c>
      <c r="K351" s="49"/>
      <c r="M351" s="93"/>
    </row>
    <row r="352" spans="2:14" s="148" customFormat="1" hidden="1" outlineLevel="1" x14ac:dyDescent="0.2">
      <c r="B352" s="48"/>
      <c r="C352" s="43"/>
      <c r="D352" s="43"/>
      <c r="E352" s="43"/>
      <c r="F352" s="44"/>
      <c r="G352" s="238"/>
      <c r="H352" s="238"/>
      <c r="I352" s="186"/>
      <c r="J352" s="44"/>
      <c r="K352" s="49"/>
      <c r="M352" s="93"/>
    </row>
    <row r="353" spans="2:13" s="148" customFormat="1" hidden="1" outlineLevel="1" x14ac:dyDescent="0.2">
      <c r="B353" s="55" t="s">
        <v>89</v>
      </c>
      <c r="C353" s="43"/>
      <c r="D353" s="43"/>
      <c r="E353" s="43"/>
      <c r="F353" s="44"/>
      <c r="G353" s="238"/>
      <c r="H353" s="238"/>
      <c r="I353" s="186"/>
      <c r="J353" s="44"/>
      <c r="K353" s="49"/>
      <c r="M353" s="93"/>
    </row>
    <row r="354" spans="2:13" s="148" customFormat="1" hidden="1" outlineLevel="1" x14ac:dyDescent="0.2">
      <c r="B354" s="48" t="str">
        <f>'Updated Volumes'!B$31</f>
        <v xml:space="preserve">Energy Australia </v>
      </c>
      <c r="C354" s="43" t="str">
        <f>'2017 Determination - Revenue'!C$28</f>
        <v>$'000</v>
      </c>
      <c r="D354" s="43"/>
      <c r="E354" s="43"/>
      <c r="F354" s="44"/>
      <c r="G354" s="240">
        <f>'FRWS calcs'!G25*ROUND('2017 Determination - charges'!G96,2)</f>
        <v>369.72155294117647</v>
      </c>
      <c r="H354" s="238">
        <f>'FRWS calcs'!G25*ROUND(Outputs!G153,2)</f>
        <v>369.72155294117647</v>
      </c>
      <c r="I354" s="186" t="s">
        <v>145</v>
      </c>
      <c r="J354" s="44" t="s">
        <v>145</v>
      </c>
      <c r="K354" s="49"/>
      <c r="M354" s="93"/>
    </row>
    <row r="355" spans="2:13" s="148" customFormat="1" hidden="1" outlineLevel="1" x14ac:dyDescent="0.2">
      <c r="B355" s="48" t="str">
        <f>'Updated Volumes'!B$32</f>
        <v xml:space="preserve">Minor customers (raw) </v>
      </c>
      <c r="C355" s="43" t="str">
        <f>'2017 Determination - Revenue'!C$28</f>
        <v>$'000</v>
      </c>
      <c r="D355" s="43"/>
      <c r="E355" s="43"/>
      <c r="F355" s="44"/>
      <c r="G355" s="240">
        <f>'FRWS calcs'!G26*ROUND('2017 Determination - charges'!G97,2)</f>
        <v>3.984</v>
      </c>
      <c r="H355" s="238">
        <f>'FRWS calcs'!G26*ROUND(Outputs!G154,2)</f>
        <v>3.984</v>
      </c>
      <c r="I355" s="186" t="s">
        <v>145</v>
      </c>
      <c r="J355" s="44" t="s">
        <v>145</v>
      </c>
      <c r="K355" s="49"/>
      <c r="M355" s="93"/>
    </row>
    <row r="356" spans="2:13" s="148" customFormat="1" hidden="1" outlineLevel="1" x14ac:dyDescent="0.2">
      <c r="B356" s="48" t="str">
        <f>'Updated Volumes'!B$33</f>
        <v xml:space="preserve">Minor customers (filtered) </v>
      </c>
      <c r="C356" s="43" t="str">
        <f>'2017 Determination - Revenue'!C$28</f>
        <v>$'000</v>
      </c>
      <c r="D356" s="43"/>
      <c r="E356" s="43"/>
      <c r="F356" s="44"/>
      <c r="G356" s="240">
        <f>'FRWS calcs'!G27*ROUND('2017 Determination - charges'!G98,2)</f>
        <v>20.608000000000001</v>
      </c>
      <c r="H356" s="238">
        <f>'FRWS calcs'!G27*ROUND(Outputs!G155,2)</f>
        <v>24.64</v>
      </c>
      <c r="I356" s="186" t="s">
        <v>145</v>
      </c>
      <c r="J356" s="44" t="s">
        <v>145</v>
      </c>
      <c r="K356" s="49"/>
      <c r="M356" s="93"/>
    </row>
    <row r="357" spans="2:13" s="148" customFormat="1" hidden="1" outlineLevel="1" x14ac:dyDescent="0.2">
      <c r="B357" s="48"/>
      <c r="C357" s="43"/>
      <c r="D357" s="43"/>
      <c r="E357" s="43"/>
      <c r="F357" s="44"/>
      <c r="G357" s="44"/>
      <c r="H357" s="238"/>
      <c r="I357" s="186"/>
      <c r="J357" s="44"/>
      <c r="K357" s="49"/>
      <c r="M357" s="93"/>
    </row>
    <row r="358" spans="2:13" s="148" customFormat="1" hidden="1" outlineLevel="1" x14ac:dyDescent="0.2">
      <c r="B358" s="55" t="s">
        <v>90</v>
      </c>
      <c r="C358" s="43"/>
      <c r="D358" s="43"/>
      <c r="E358" s="43"/>
      <c r="F358" s="44"/>
      <c r="G358" s="44"/>
      <c r="H358" s="238"/>
      <c r="I358" s="186"/>
      <c r="J358" s="44"/>
      <c r="K358" s="49"/>
      <c r="M358" s="93"/>
    </row>
    <row r="359" spans="2:13" s="148" customFormat="1" hidden="1" outlineLevel="1" x14ac:dyDescent="0.2">
      <c r="B359" s="48" t="str">
        <f>'Updated Volumes'!B$31</f>
        <v xml:space="preserve">Energy Australia </v>
      </c>
      <c r="C359" s="43" t="str">
        <f>'2017 Determination - Revenue'!C$28</f>
        <v>$'000</v>
      </c>
      <c r="D359" s="43"/>
      <c r="E359" s="43"/>
      <c r="F359" s="44"/>
      <c r="G359" s="240">
        <f>'FRWS calcs'!G30*ROUND('2017 Determination - charges'!G101,2)</f>
        <v>0</v>
      </c>
      <c r="H359" s="238">
        <f>'FRWS calcs'!G30*ROUND(Outputs!G158,2)</f>
        <v>0</v>
      </c>
      <c r="I359" s="186" t="s">
        <v>145</v>
      </c>
      <c r="J359" s="44" t="s">
        <v>145</v>
      </c>
      <c r="K359" s="49"/>
      <c r="M359" s="93"/>
    </row>
    <row r="360" spans="2:13" s="148" customFormat="1" hidden="1" outlineLevel="1" x14ac:dyDescent="0.2">
      <c r="B360" s="48" t="str">
        <f>'Updated Volumes'!B$32</f>
        <v xml:space="preserve">Minor customers (raw) </v>
      </c>
      <c r="C360" s="43" t="str">
        <f>'2017 Determination - Revenue'!C$28</f>
        <v>$'000</v>
      </c>
      <c r="D360" s="43"/>
      <c r="E360" s="43"/>
      <c r="F360" s="44"/>
      <c r="G360" s="240">
        <f>'FRWS calcs'!G31*ROUND('2017 Determination - charges'!G102,2)</f>
        <v>21.500703999999995</v>
      </c>
      <c r="H360" s="238">
        <f>'FRWS calcs'!G31*ROUND(Outputs!G159,2)</f>
        <v>21.164755499999995</v>
      </c>
      <c r="I360" s="186" t="s">
        <v>145</v>
      </c>
      <c r="J360" s="44" t="s">
        <v>145</v>
      </c>
      <c r="K360" s="49"/>
      <c r="M360" s="93"/>
    </row>
    <row r="361" spans="2:13" s="148" customFormat="1" hidden="1" outlineLevel="1" x14ac:dyDescent="0.2">
      <c r="B361" s="48" t="str">
        <f>'Updated Volumes'!B$33</f>
        <v xml:space="preserve">Minor customers (filtered) </v>
      </c>
      <c r="C361" s="43" t="str">
        <f>'2017 Determination - Revenue'!C$28</f>
        <v>$'000</v>
      </c>
      <c r="D361" s="43"/>
      <c r="E361" s="43"/>
      <c r="F361" s="44"/>
      <c r="G361" s="240">
        <f>'FRWS calcs'!G32*ROUND('2017 Determination - charges'!G103,2)</f>
        <v>79.284221500000001</v>
      </c>
      <c r="H361" s="238">
        <f>'FRWS calcs'!G32*ROUND(Outputs!G160,2)</f>
        <v>83.870912000000004</v>
      </c>
      <c r="I361" s="186" t="s">
        <v>145</v>
      </c>
      <c r="J361" s="44" t="s">
        <v>145</v>
      </c>
      <c r="K361" s="49"/>
      <c r="M361" s="93"/>
    </row>
    <row r="362" spans="2:13" s="148" customFormat="1" hidden="1" outlineLevel="1" x14ac:dyDescent="0.2">
      <c r="B362" s="48"/>
      <c r="C362" s="43"/>
      <c r="D362" s="43"/>
      <c r="E362" s="43"/>
      <c r="F362" s="44"/>
      <c r="G362" s="44"/>
      <c r="H362" s="44"/>
      <c r="I362" s="187"/>
      <c r="J362" s="187"/>
      <c r="K362" s="49"/>
      <c r="M362" s="93"/>
    </row>
    <row r="363" spans="2:13" s="148" customFormat="1" collapsed="1" x14ac:dyDescent="0.2">
      <c r="B363" s="55" t="s">
        <v>220</v>
      </c>
      <c r="C363" s="43"/>
      <c r="D363" s="43"/>
      <c r="E363" s="43"/>
      <c r="F363" s="44"/>
      <c r="G363" s="44"/>
      <c r="H363" s="44"/>
      <c r="I363" s="187"/>
      <c r="J363" s="187"/>
      <c r="K363" s="49"/>
      <c r="M363" s="93"/>
    </row>
    <row r="364" spans="2:13" s="148" customFormat="1" x14ac:dyDescent="0.2">
      <c r="B364" s="48" t="str">
        <f>'Updated Volumes'!B$31</f>
        <v xml:space="preserve">Energy Australia </v>
      </c>
      <c r="C364" s="43" t="str">
        <f>'2017 Determination - Revenue'!C$28</f>
        <v>$'000</v>
      </c>
      <c r="D364" s="43"/>
      <c r="E364" s="43"/>
      <c r="F364" s="238">
        <f>'2017 Determination - Revenue'!G64</f>
        <v>3582.3064354548201</v>
      </c>
      <c r="G364" s="238">
        <f t="shared" ref="G364:H366" si="84">G349+G354+G359</f>
        <v>3561.4815529411767</v>
      </c>
      <c r="H364" s="238">
        <f t="shared" si="84"/>
        <v>3561.4815529411767</v>
      </c>
      <c r="I364" s="187">
        <f>G364/F364-1</f>
        <v>-5.8132610620731384E-3</v>
      </c>
      <c r="J364" s="187">
        <f>H364/F364-1</f>
        <v>-5.8132610620731384E-3</v>
      </c>
      <c r="K364" s="49"/>
      <c r="M364" s="93"/>
    </row>
    <row r="365" spans="2:13" s="148" customFormat="1" x14ac:dyDescent="0.2">
      <c r="B365" s="48" t="str">
        <f>'Updated Volumes'!B$32</f>
        <v xml:space="preserve">Minor customers (raw) </v>
      </c>
      <c r="C365" s="43" t="str">
        <f>'2017 Determination - Revenue'!C$28</f>
        <v>$'000</v>
      </c>
      <c r="D365" s="43"/>
      <c r="E365" s="43"/>
      <c r="F365" s="238">
        <f>'2017 Determination - Revenue'!G65</f>
        <v>31.820077004246794</v>
      </c>
      <c r="G365" s="238">
        <f t="shared" si="84"/>
        <v>31.958703999999997</v>
      </c>
      <c r="H365" s="238">
        <f t="shared" si="84"/>
        <v>31.622755499999997</v>
      </c>
      <c r="I365" s="187">
        <f>G365/F365-1</f>
        <v>4.3565889464913798E-3</v>
      </c>
      <c r="J365" s="187">
        <f>H365/F365-1</f>
        <v>-6.2011636307625073E-3</v>
      </c>
      <c r="K365" s="49"/>
      <c r="M365" s="93"/>
    </row>
    <row r="366" spans="2:13" s="148" customFormat="1" x14ac:dyDescent="0.2">
      <c r="B366" s="48" t="str">
        <f>'Updated Volumes'!B$33</f>
        <v xml:space="preserve">Minor customers (filtered) </v>
      </c>
      <c r="C366" s="43" t="str">
        <f>'2017 Determination - Revenue'!C$28</f>
        <v>$'000</v>
      </c>
      <c r="D366" s="43"/>
      <c r="E366" s="43"/>
      <c r="F366" s="238">
        <f>'2017 Determination - Revenue'!G66</f>
        <v>140.89264543944256</v>
      </c>
      <c r="G366" s="238">
        <f t="shared" si="84"/>
        <v>133.94022150000001</v>
      </c>
      <c r="H366" s="238">
        <f t="shared" si="84"/>
        <v>141.214912</v>
      </c>
      <c r="I366" s="187">
        <f>G366/F366-1</f>
        <v>-4.9345541903610513E-2</v>
      </c>
      <c r="J366" s="187">
        <f>H366/F366-1</f>
        <v>2.2873199630277785E-3</v>
      </c>
      <c r="K366" s="49"/>
      <c r="M366" s="93"/>
    </row>
    <row r="367" spans="2:13" s="148" customFormat="1" x14ac:dyDescent="0.2">
      <c r="B367" s="48"/>
      <c r="C367" s="43"/>
      <c r="D367" s="43"/>
      <c r="E367" s="43"/>
      <c r="F367" s="44"/>
      <c r="G367" s="44"/>
      <c r="H367" s="44"/>
      <c r="I367" s="187"/>
      <c r="J367" s="187"/>
      <c r="K367" s="49"/>
      <c r="M367" s="93"/>
    </row>
    <row r="368" spans="2:13" s="148" customFormat="1" x14ac:dyDescent="0.2">
      <c r="B368" s="48"/>
      <c r="C368" s="43"/>
      <c r="D368" s="43"/>
      <c r="E368" s="43"/>
      <c r="F368" s="44"/>
      <c r="G368" s="44"/>
      <c r="H368" s="44"/>
      <c r="I368" s="187"/>
      <c r="J368" s="187"/>
      <c r="K368" s="49"/>
      <c r="M368" s="93"/>
    </row>
    <row r="369" spans="2:13" s="148" customFormat="1" x14ac:dyDescent="0.2">
      <c r="B369" s="241" t="s">
        <v>221</v>
      </c>
      <c r="C369" s="43"/>
      <c r="D369" s="43"/>
      <c r="E369" s="43"/>
      <c r="F369" s="238">
        <f>SUM(F336:F344)+SUM(F364:F366)</f>
        <v>44420.079437859982</v>
      </c>
      <c r="G369" s="238">
        <f>SUM(G336:G344)+SUM(G364:G366)</f>
        <v>43862.016639689413</v>
      </c>
      <c r="H369" s="238">
        <f>SUM(H336:H344)+SUM(H364:H366)</f>
        <v>44358.676033788106</v>
      </c>
      <c r="I369" s="187">
        <f>G369/F369-1</f>
        <v>-1.2563300318975235E-2</v>
      </c>
      <c r="J369" s="187">
        <f>H369/F369-1</f>
        <v>-1.3823344048219388E-3</v>
      </c>
      <c r="K369" s="49"/>
      <c r="M369" s="93"/>
    </row>
    <row r="370" spans="2:13" x14ac:dyDescent="0.2">
      <c r="B370" s="50"/>
      <c r="C370" s="41"/>
      <c r="D370" s="41"/>
      <c r="E370" s="41"/>
      <c r="F370" s="41"/>
      <c r="G370" s="41"/>
      <c r="H370" s="41"/>
      <c r="I370" s="41"/>
      <c r="J370" s="41"/>
      <c r="K370" s="51"/>
    </row>
    <row r="377" spans="2:13" x14ac:dyDescent="0.2">
      <c r="F377" s="105"/>
      <c r="G377" s="105"/>
    </row>
    <row r="378" spans="2:13" x14ac:dyDescent="0.2">
      <c r="F378" s="105"/>
      <c r="G378" s="105"/>
    </row>
    <row r="379" spans="2:13" x14ac:dyDescent="0.2">
      <c r="F379" s="105"/>
      <c r="G379" s="10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D5"/>
  <sheetViews>
    <sheetView showGridLines="0" workbookViewId="0"/>
  </sheetViews>
  <sheetFormatPr defaultRowHeight="12" x14ac:dyDescent="0.2"/>
  <sheetData>
    <row r="5" spans="4:4" ht="15.75" x14ac:dyDescent="0.25">
      <c r="D5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L213"/>
  <sheetViews>
    <sheetView showGridLines="0" zoomScaleNormal="100" workbookViewId="0"/>
  </sheetViews>
  <sheetFormatPr defaultRowHeight="12" x14ac:dyDescent="0.2"/>
  <cols>
    <col min="1" max="1" width="3.85546875" style="37" customWidth="1"/>
    <col min="2" max="2" width="50.7109375" style="37" customWidth="1"/>
    <col min="3" max="3" width="9" style="37" customWidth="1"/>
    <col min="4" max="5" width="5.7109375" style="37" customWidth="1"/>
    <col min="6" max="6" width="16.28515625" style="61" bestFit="1" customWidth="1"/>
    <col min="7" max="7" width="12.85546875" style="37" customWidth="1"/>
    <col min="8" max="8" width="5.7109375" style="37" customWidth="1"/>
    <col min="9" max="9" width="13.140625" style="37" bestFit="1" customWidth="1"/>
    <col min="10" max="10" width="10.42578125" style="37" bestFit="1" customWidth="1"/>
    <col min="11" max="16384" width="9.140625" style="37"/>
  </cols>
  <sheetData>
    <row r="2" spans="2:10" ht="18" x14ac:dyDescent="0.25">
      <c r="B2" s="40" t="s">
        <v>169</v>
      </c>
    </row>
    <row r="3" spans="2:10" x14ac:dyDescent="0.2">
      <c r="B3" s="37" t="s">
        <v>174</v>
      </c>
    </row>
    <row r="5" spans="2:10" x14ac:dyDescent="0.2">
      <c r="B5" s="163" t="s">
        <v>28</v>
      </c>
      <c r="C5" s="163"/>
      <c r="D5" s="163"/>
      <c r="G5" s="209" t="s">
        <v>29</v>
      </c>
      <c r="J5" s="148"/>
    </row>
    <row r="6" spans="2:10" x14ac:dyDescent="0.2">
      <c r="B6" s="211" t="str">
        <f>B16</f>
        <v>TABLE 5.1 - USAGE AND ENTITLEMENT VOLUMES FOR CALCULATIONS</v>
      </c>
      <c r="C6" s="211"/>
      <c r="D6" s="211"/>
      <c r="E6" s="46"/>
      <c r="F6" s="218"/>
      <c r="G6" s="211">
        <f>ROW(B16)</f>
        <v>16</v>
      </c>
      <c r="H6" s="93"/>
      <c r="J6" s="148"/>
    </row>
    <row r="7" spans="2:10" x14ac:dyDescent="0.2">
      <c r="B7" s="207" t="str">
        <f>B57</f>
        <v xml:space="preserve">TABLE 5.2 - TWENTY YEAR AVERAGE ACTUAL ALLOCATIONS </v>
      </c>
      <c r="C7" s="207"/>
      <c r="D7" s="207"/>
      <c r="E7" s="43"/>
      <c r="F7" s="219"/>
      <c r="G7" s="207">
        <f>ROW(B57)</f>
        <v>57</v>
      </c>
      <c r="H7" s="93"/>
      <c r="J7" s="148"/>
    </row>
    <row r="8" spans="2:10" x14ac:dyDescent="0.2">
      <c r="B8" s="207" t="str">
        <f>B97</f>
        <v>TABLE 5.3 - RELIABILITY RATIO AND HIGH SECURITY ENTITLEMENT PREMIUM</v>
      </c>
      <c r="C8" s="207"/>
      <c r="D8" s="207"/>
      <c r="E8" s="43"/>
      <c r="F8" s="219"/>
      <c r="G8" s="207">
        <f>ROW(B97)</f>
        <v>97</v>
      </c>
      <c r="H8" s="93"/>
      <c r="J8" s="148"/>
    </row>
    <row r="9" spans="2:10" x14ac:dyDescent="0.2">
      <c r="B9" s="207" t="str">
        <f>B127</f>
        <v>TABLE 5.4 - TOTAL NUMBER OF 'GS ENTITLEMENT EQUIVALENTS'</v>
      </c>
      <c r="C9" s="207"/>
      <c r="D9" s="207"/>
      <c r="E9" s="43"/>
      <c r="F9" s="219"/>
      <c r="G9" s="207">
        <f>ROW(B127)</f>
        <v>127</v>
      </c>
      <c r="H9" s="93"/>
      <c r="J9" s="148"/>
    </row>
    <row r="10" spans="2:10" x14ac:dyDescent="0.2">
      <c r="B10" s="207" t="str">
        <f>B144</f>
        <v>TABLE 5.5 - REVENUE TO BE RECOVERED FROM CHARGES (EXCLUDING MDBA/BRC REVENUE)</v>
      </c>
      <c r="C10" s="207"/>
      <c r="D10" s="207"/>
      <c r="E10" s="43"/>
      <c r="F10" s="219"/>
      <c r="G10" s="207">
        <f>ROW(B144)</f>
        <v>144</v>
      </c>
      <c r="H10" s="93"/>
      <c r="J10" s="148"/>
    </row>
    <row r="11" spans="2:10" x14ac:dyDescent="0.2">
      <c r="B11" s="208" t="str">
        <f>B186</f>
        <v>TABLE 5.6 - REVENUE TO BE RECOVERED FROM CHARGES (ONLY MDBA/BRC REVENUE)</v>
      </c>
      <c r="C11" s="208"/>
      <c r="D11" s="208"/>
      <c r="E11" s="41"/>
      <c r="F11" s="220"/>
      <c r="G11" s="208">
        <f>ROW(B186)</f>
        <v>186</v>
      </c>
      <c r="H11" s="93"/>
      <c r="J11" s="148"/>
    </row>
    <row r="12" spans="2:10" x14ac:dyDescent="0.2">
      <c r="C12" s="43"/>
      <c r="D12" s="43"/>
      <c r="E12" s="43"/>
      <c r="J12" s="148"/>
    </row>
    <row r="13" spans="2:10" x14ac:dyDescent="0.2">
      <c r="C13" s="43"/>
      <c r="D13" s="43"/>
      <c r="E13" s="43"/>
      <c r="J13" s="148"/>
    </row>
    <row r="14" spans="2:10" x14ac:dyDescent="0.2">
      <c r="B14" s="98"/>
      <c r="C14" s="43"/>
      <c r="D14" s="43"/>
      <c r="E14" s="43"/>
      <c r="J14" s="148"/>
    </row>
    <row r="15" spans="2:10" x14ac:dyDescent="0.2">
      <c r="J15" s="148"/>
    </row>
    <row r="16" spans="2:10" x14ac:dyDescent="0.2">
      <c r="B16" s="38" t="s">
        <v>191</v>
      </c>
      <c r="F16" s="99"/>
      <c r="J16" s="148"/>
    </row>
    <row r="17" spans="2:10" x14ac:dyDescent="0.2">
      <c r="B17" s="45" t="str">
        <f>'2017 Determination - Revenue'!B$16</f>
        <v>Financial year</v>
      </c>
      <c r="C17" s="46" t="str">
        <f>'2017 Determination - Revenue'!C$23</f>
        <v>Units</v>
      </c>
      <c r="D17" s="46"/>
      <c r="E17" s="46"/>
      <c r="F17" s="178" t="str">
        <f>'2017 Determination - Revenue'!F$16</f>
        <v>2017-18</v>
      </c>
      <c r="G17" s="175" t="str">
        <f>'2017 Determination - Revenue'!G$16</f>
        <v>2018-19</v>
      </c>
      <c r="H17" s="100"/>
      <c r="J17" s="148"/>
    </row>
    <row r="18" spans="2:10" x14ac:dyDescent="0.2">
      <c r="B18" s="48"/>
      <c r="C18" s="43"/>
      <c r="D18" s="43"/>
      <c r="E18" s="43"/>
      <c r="F18" s="64"/>
      <c r="G18" s="54"/>
      <c r="H18" s="101"/>
      <c r="J18" s="148"/>
    </row>
    <row r="19" spans="2:10" x14ac:dyDescent="0.2">
      <c r="B19" s="102" t="s">
        <v>159</v>
      </c>
      <c r="C19" s="43"/>
      <c r="D19" s="43"/>
      <c r="E19" s="43"/>
      <c r="F19" s="57"/>
      <c r="G19" s="43"/>
      <c r="H19" s="49"/>
      <c r="I19" s="148"/>
      <c r="J19" s="148"/>
    </row>
    <row r="20" spans="2:10" x14ac:dyDescent="0.2">
      <c r="B20" s="55" t="s">
        <v>55</v>
      </c>
      <c r="C20" s="43"/>
      <c r="D20" s="43"/>
      <c r="E20" s="43"/>
      <c r="F20" s="57"/>
      <c r="G20" s="43"/>
      <c r="H20" s="49"/>
      <c r="I20" s="148"/>
      <c r="J20" s="148"/>
    </row>
    <row r="21" spans="2:10" x14ac:dyDescent="0.2">
      <c r="B21" s="48" t="str">
        <f>'2017 Determination - Revenue'!B$28</f>
        <v>Border</v>
      </c>
      <c r="C21" s="43" t="str">
        <f>'Updated Volumes'!$C$20</f>
        <v>ML</v>
      </c>
      <c r="D21" s="43"/>
      <c r="E21" s="43"/>
      <c r="F21" s="122">
        <f>AVERAGE('Updated Volumes'!F20:Y20)</f>
        <v>148174.473</v>
      </c>
      <c r="G21" s="122">
        <f>AVERAGE('Updated Volumes'!G20:Z20)</f>
        <v>151299.038</v>
      </c>
      <c r="H21" s="49"/>
      <c r="J21" s="148"/>
    </row>
    <row r="22" spans="2:10" x14ac:dyDescent="0.2">
      <c r="B22" s="48" t="str">
        <f>'2017 Determination - Revenue'!B$29</f>
        <v>Gwydir</v>
      </c>
      <c r="C22" s="43" t="str">
        <f>'Updated Volumes'!$C$20</f>
        <v>ML</v>
      </c>
      <c r="D22" s="43"/>
      <c r="E22" s="43"/>
      <c r="F22" s="122">
        <f>AVERAGE('Updated Volumes'!F21:Y21)</f>
        <v>262135.2</v>
      </c>
      <c r="G22" s="122">
        <f>AVERAGE('Updated Volumes'!G21:Z21)</f>
        <v>259040.05</v>
      </c>
      <c r="H22" s="49"/>
      <c r="J22" s="148"/>
    </row>
    <row r="23" spans="2:10" x14ac:dyDescent="0.2">
      <c r="B23" s="48" t="str">
        <f>'2017 Determination - Revenue'!B$30</f>
        <v>Namoi</v>
      </c>
      <c r="C23" s="43" t="str">
        <f>'Updated Volumes'!$C$20</f>
        <v>ML</v>
      </c>
      <c r="D23" s="43"/>
      <c r="E23" s="43"/>
      <c r="F23" s="122">
        <f>AVERAGE('Updated Volumes'!F22:Y22)</f>
        <v>164798.92549999998</v>
      </c>
      <c r="G23" s="122">
        <f>AVERAGE('Updated Volumes'!G22:Z22)</f>
        <v>165530.56050000002</v>
      </c>
      <c r="H23" s="49"/>
      <c r="J23" s="148"/>
    </row>
    <row r="24" spans="2:10" x14ac:dyDescent="0.2">
      <c r="B24" s="48" t="str">
        <f>'2017 Determination - Revenue'!B$31</f>
        <v>Peel</v>
      </c>
      <c r="C24" s="43" t="str">
        <f>'Updated Volumes'!$C$20</f>
        <v>ML</v>
      </c>
      <c r="D24" s="43"/>
      <c r="E24" s="43"/>
      <c r="F24" s="122">
        <f>AVERAGE('Updated Volumes'!F23:Y23)</f>
        <v>11495.845000000001</v>
      </c>
      <c r="G24" s="122">
        <f>AVERAGE('Updated Volumes'!G23:Z23)</f>
        <v>11732.09</v>
      </c>
      <c r="H24" s="49"/>
      <c r="J24" s="121"/>
    </row>
    <row r="25" spans="2:10" x14ac:dyDescent="0.2">
      <c r="B25" s="48" t="str">
        <f>'2017 Determination - Revenue'!B$32</f>
        <v>Lachlan</v>
      </c>
      <c r="C25" s="43" t="str">
        <f>'Updated Volumes'!$C$20</f>
        <v>ML</v>
      </c>
      <c r="D25" s="43"/>
      <c r="E25" s="43"/>
      <c r="F25" s="122">
        <f>AVERAGE('Updated Volumes'!F24:Y24)</f>
        <v>206000.69800000003</v>
      </c>
      <c r="G25" s="122">
        <f>AVERAGE('Updated Volumes'!G24:Z24)</f>
        <v>194538.59300000005</v>
      </c>
      <c r="H25" s="49"/>
      <c r="J25" s="121"/>
    </row>
    <row r="26" spans="2:10" x14ac:dyDescent="0.2">
      <c r="B26" s="48" t="str">
        <f>'2017 Determination - Revenue'!B$33</f>
        <v>Macquarie</v>
      </c>
      <c r="C26" s="43" t="str">
        <f>'Updated Volumes'!$C$20</f>
        <v>ML</v>
      </c>
      <c r="D26" s="43"/>
      <c r="E26" s="43"/>
      <c r="F26" s="122">
        <f>AVERAGE('Updated Volumes'!F25:Y25)</f>
        <v>259098.571</v>
      </c>
      <c r="G26" s="122">
        <f>AVERAGE('Updated Volumes'!G25:Z25)</f>
        <v>253261.421</v>
      </c>
      <c r="H26" s="49"/>
      <c r="J26" s="121"/>
    </row>
    <row r="27" spans="2:10" x14ac:dyDescent="0.2">
      <c r="B27" s="48" t="str">
        <f>'2017 Determination - Revenue'!B$34</f>
        <v>Murray</v>
      </c>
      <c r="C27" s="43" t="str">
        <f>'Updated Volumes'!$C$20</f>
        <v>ML</v>
      </c>
      <c r="D27" s="43"/>
      <c r="E27" s="43"/>
      <c r="F27" s="122">
        <f>AVERAGE('Updated Volumes'!F26:Y26)</f>
        <v>1556610.1219230772</v>
      </c>
      <c r="G27" s="122">
        <f>AVERAGE('Updated Volumes'!G26:Z26)</f>
        <v>1521876.7223076925</v>
      </c>
      <c r="H27" s="49"/>
      <c r="J27" s="121"/>
    </row>
    <row r="28" spans="2:10" x14ac:dyDescent="0.2">
      <c r="B28" s="48" t="str">
        <f>'2017 Determination - Revenue'!B$35</f>
        <v>Murrumbidgee</v>
      </c>
      <c r="C28" s="43" t="str">
        <f>'Updated Volumes'!$C$20</f>
        <v>ML</v>
      </c>
      <c r="D28" s="43"/>
      <c r="E28" s="43"/>
      <c r="F28" s="122">
        <f>AVERAGE('Updated Volumes'!F27:Y27)</f>
        <v>1733642.2380769234</v>
      </c>
      <c r="G28" s="122">
        <f>AVERAGE('Updated Volumes'!G27:Z27)</f>
        <v>1694482.087692308</v>
      </c>
      <c r="H28" s="49"/>
      <c r="J28" s="121"/>
    </row>
    <row r="29" spans="2:10" x14ac:dyDescent="0.2">
      <c r="B29" s="48" t="str">
        <f>'2017 Determination - Revenue'!B$36</f>
        <v>Lowbidgee</v>
      </c>
      <c r="C29" s="43" t="str">
        <f>'Updated Volumes'!$C$20</f>
        <v>ML</v>
      </c>
      <c r="D29" s="43"/>
      <c r="E29" s="43"/>
      <c r="F29" s="122">
        <f>AVERAGE('Updated Volumes'!F28:Y28)</f>
        <v>49090.75</v>
      </c>
      <c r="G29" s="122">
        <f>AVERAGE('Updated Volumes'!G28:Z28)</f>
        <v>51142.6</v>
      </c>
      <c r="H29" s="49"/>
    </row>
    <row r="30" spans="2:10" x14ac:dyDescent="0.2">
      <c r="B30" s="88"/>
      <c r="C30" s="43"/>
      <c r="D30" s="43"/>
      <c r="E30" s="43"/>
      <c r="F30" s="89"/>
      <c r="G30" s="96"/>
      <c r="H30" s="49"/>
    </row>
    <row r="31" spans="2:10" x14ac:dyDescent="0.2">
      <c r="B31" s="55" t="s">
        <v>69</v>
      </c>
      <c r="C31" s="43"/>
      <c r="D31" s="43"/>
      <c r="E31" s="43"/>
      <c r="F31" s="57"/>
      <c r="G31" s="43"/>
      <c r="H31" s="49"/>
    </row>
    <row r="32" spans="2:10" s="148" customFormat="1" x14ac:dyDescent="0.2">
      <c r="B32" s="102" t="s">
        <v>101</v>
      </c>
      <c r="C32" s="43"/>
      <c r="D32" s="43"/>
      <c r="E32" s="43"/>
      <c r="F32" s="57"/>
      <c r="G32" s="43"/>
      <c r="H32" s="49"/>
    </row>
    <row r="33" spans="2:10" x14ac:dyDescent="0.2">
      <c r="B33" s="48" t="str">
        <f>'2017 Determination - Revenue'!B$28</f>
        <v>Border</v>
      </c>
      <c r="C33" s="43" t="str">
        <f>'Updated Volumes'!$C$20</f>
        <v>ML</v>
      </c>
      <c r="D33" s="43"/>
      <c r="E33" s="43"/>
      <c r="F33" s="123">
        <f>ROUND(('Updated Volumes'!Y41+'Updated Volumes'!Y63),0)</f>
        <v>263238</v>
      </c>
      <c r="G33" s="123">
        <f>ROUND(('Updated Volumes'!Z41+'Updated Volumes'!Z63),0)</f>
        <v>263218</v>
      </c>
      <c r="H33" s="49"/>
      <c r="I33" s="119"/>
      <c r="J33" s="103"/>
    </row>
    <row r="34" spans="2:10" x14ac:dyDescent="0.2">
      <c r="B34" s="48" t="str">
        <f>'2017 Determination - Revenue'!B$29</f>
        <v>Gwydir</v>
      </c>
      <c r="C34" s="43" t="str">
        <f>'Updated Volumes'!$C$20</f>
        <v>ML</v>
      </c>
      <c r="D34" s="43"/>
      <c r="E34" s="43"/>
      <c r="F34" s="123">
        <f>ROUND(('Updated Volumes'!Y42+'Updated Volumes'!Y64),0)</f>
        <v>509665</v>
      </c>
      <c r="G34" s="123">
        <f>ROUND(('Updated Volumes'!Z42+'Updated Volumes'!Z64),0)</f>
        <v>509665</v>
      </c>
      <c r="H34" s="49"/>
      <c r="I34" s="119"/>
      <c r="J34" s="103"/>
    </row>
    <row r="35" spans="2:10" x14ac:dyDescent="0.2">
      <c r="B35" s="48" t="str">
        <f>'2017 Determination - Revenue'!B$30</f>
        <v>Namoi</v>
      </c>
      <c r="C35" s="43" t="str">
        <f>'Updated Volumes'!$C$20</f>
        <v>ML</v>
      </c>
      <c r="D35" s="43"/>
      <c r="E35" s="43"/>
      <c r="F35" s="123">
        <f>ROUND(('Updated Volumes'!Y43+'Updated Volumes'!Y65),0)</f>
        <v>256212</v>
      </c>
      <c r="G35" s="123">
        <f>ROUND(('Updated Volumes'!Z43+'Updated Volumes'!Z65),0)</f>
        <v>256212</v>
      </c>
      <c r="H35" s="49"/>
      <c r="I35" s="119"/>
      <c r="J35" s="103"/>
    </row>
    <row r="36" spans="2:10" x14ac:dyDescent="0.2">
      <c r="B36" s="48" t="str">
        <f>'2017 Determination - Revenue'!B$31</f>
        <v>Peel</v>
      </c>
      <c r="C36" s="43" t="str">
        <f>'Updated Volumes'!$C$20</f>
        <v>ML</v>
      </c>
      <c r="D36" s="43"/>
      <c r="E36" s="43"/>
      <c r="F36" s="123">
        <f>ROUND(('Updated Volumes'!Y44+'Updated Volumes'!Y66),0)</f>
        <v>30428</v>
      </c>
      <c r="G36" s="123">
        <f>ROUND(('Updated Volumes'!Z44+'Updated Volumes'!Z66),0)</f>
        <v>30428</v>
      </c>
      <c r="H36" s="49"/>
      <c r="I36" s="119"/>
      <c r="J36" s="103"/>
    </row>
    <row r="37" spans="2:10" x14ac:dyDescent="0.2">
      <c r="B37" s="48" t="str">
        <f>'2017 Determination - Revenue'!B$32</f>
        <v>Lachlan</v>
      </c>
      <c r="C37" s="43" t="str">
        <f>'Updated Volumes'!$C$20</f>
        <v>ML</v>
      </c>
      <c r="D37" s="43"/>
      <c r="E37" s="43"/>
      <c r="F37" s="123">
        <f>ROUND(('Updated Volumes'!Y45+'Updated Volumes'!Y67),0)</f>
        <v>633166</v>
      </c>
      <c r="G37" s="123">
        <f>ROUND(('Updated Volumes'!Z45+'Updated Volumes'!Z67),0)</f>
        <v>633166</v>
      </c>
      <c r="H37" s="49"/>
      <c r="I37" s="119"/>
      <c r="J37" s="103"/>
    </row>
    <row r="38" spans="2:10" x14ac:dyDescent="0.2">
      <c r="B38" s="48" t="str">
        <f>'2017 Determination - Revenue'!B$33</f>
        <v>Macquarie</v>
      </c>
      <c r="C38" s="43" t="str">
        <f>'Updated Volumes'!$C$20</f>
        <v>ML</v>
      </c>
      <c r="D38" s="43"/>
      <c r="E38" s="43"/>
      <c r="F38" s="123">
        <f>ROUND(('Updated Volumes'!Y46+'Updated Volumes'!Y68),0)</f>
        <v>632466</v>
      </c>
      <c r="G38" s="123">
        <f>ROUND(('Updated Volumes'!Z46+'Updated Volumes'!Z68),0)</f>
        <v>632466</v>
      </c>
      <c r="H38" s="49"/>
      <c r="I38" s="119"/>
      <c r="J38" s="103"/>
    </row>
    <row r="39" spans="2:10" x14ac:dyDescent="0.2">
      <c r="B39" s="48" t="str">
        <f>'2017 Determination - Revenue'!B$34</f>
        <v>Murray</v>
      </c>
      <c r="C39" s="43" t="str">
        <f>'Updated Volumes'!$C$20</f>
        <v>ML</v>
      </c>
      <c r="D39" s="43"/>
      <c r="E39" s="43"/>
      <c r="F39" s="123">
        <f>ROUND(('Updated Volumes'!Y47+'Updated Volumes'!Y69),0)</f>
        <v>2083271</v>
      </c>
      <c r="G39" s="123">
        <f>ROUND(('Updated Volumes'!Z47+'Updated Volumes'!Z69),0)</f>
        <v>2083271</v>
      </c>
      <c r="H39" s="49"/>
      <c r="I39" s="119"/>
      <c r="J39" s="103"/>
    </row>
    <row r="40" spans="2:10" x14ac:dyDescent="0.2">
      <c r="B40" s="48" t="str">
        <f>'2017 Determination - Revenue'!B$35</f>
        <v>Murrumbidgee</v>
      </c>
      <c r="C40" s="43" t="str">
        <f>'Updated Volumes'!$C$20</f>
        <v>ML</v>
      </c>
      <c r="D40" s="43"/>
      <c r="E40" s="43"/>
      <c r="F40" s="123">
        <f>ROUND(('Updated Volumes'!Y48+'Updated Volumes'!Y70),0)</f>
        <v>2267963</v>
      </c>
      <c r="G40" s="123">
        <f>ROUND(('Updated Volumes'!Z48+'Updated Volumes'!Z70),0)</f>
        <v>2267963</v>
      </c>
      <c r="H40" s="49"/>
      <c r="I40" s="119"/>
      <c r="J40" s="103"/>
    </row>
    <row r="41" spans="2:10" x14ac:dyDescent="0.2">
      <c r="B41" s="48" t="str">
        <f>'2017 Determination - Revenue'!B$36</f>
        <v>Lowbidgee</v>
      </c>
      <c r="C41" s="43" t="str">
        <f>'Updated Volumes'!$C$20</f>
        <v>ML</v>
      </c>
      <c r="D41" s="43"/>
      <c r="E41" s="43"/>
      <c r="F41" s="123">
        <f>ROUND(('Updated Volumes'!Y49+'Updated Volumes'!Y71),0)</f>
        <v>747000</v>
      </c>
      <c r="G41" s="123">
        <f>ROUND(('Updated Volumes'!Z49+'Updated Volumes'!Z71),0)</f>
        <v>747000</v>
      </c>
      <c r="H41" s="49"/>
    </row>
    <row r="42" spans="2:10" x14ac:dyDescent="0.2">
      <c r="B42" s="88"/>
      <c r="C42" s="43"/>
      <c r="D42" s="43"/>
      <c r="E42" s="43"/>
      <c r="F42" s="89"/>
      <c r="G42" s="96"/>
      <c r="H42" s="49"/>
    </row>
    <row r="43" spans="2:10" x14ac:dyDescent="0.2">
      <c r="B43" s="55" t="str">
        <f>'Updated Volumes'!B51</f>
        <v>High security entitlements</v>
      </c>
      <c r="C43" s="43"/>
      <c r="D43" s="43"/>
      <c r="E43" s="43"/>
      <c r="F43" s="57"/>
      <c r="G43" s="43"/>
      <c r="H43" s="49"/>
    </row>
    <row r="44" spans="2:10" s="148" customFormat="1" x14ac:dyDescent="0.2">
      <c r="B44" s="102" t="s">
        <v>101</v>
      </c>
      <c r="C44" s="43"/>
      <c r="D44" s="43"/>
      <c r="E44" s="43"/>
      <c r="F44" s="57"/>
      <c r="G44" s="43"/>
      <c r="H44" s="49"/>
    </row>
    <row r="45" spans="2:10" x14ac:dyDescent="0.2">
      <c r="B45" s="48" t="str">
        <f>'2017 Determination - Revenue'!B$28</f>
        <v>Border</v>
      </c>
      <c r="C45" s="43" t="str">
        <f>'Updated Volumes'!$C$20</f>
        <v>ML</v>
      </c>
      <c r="D45" s="43"/>
      <c r="E45" s="43"/>
      <c r="F45" s="123">
        <f>ROUND('Updated Volumes'!Y52,0)</f>
        <v>3121</v>
      </c>
      <c r="G45" s="123">
        <f>ROUND('Updated Volumes'!Z52,0)</f>
        <v>3141</v>
      </c>
      <c r="H45" s="49"/>
      <c r="I45" s="118"/>
      <c r="J45" s="120"/>
    </row>
    <row r="46" spans="2:10" x14ac:dyDescent="0.2">
      <c r="B46" s="48" t="str">
        <f>'2017 Determination - Revenue'!B$29</f>
        <v>Gwydir</v>
      </c>
      <c r="C46" s="43" t="str">
        <f>'Updated Volumes'!$C$20</f>
        <v>ML</v>
      </c>
      <c r="D46" s="43"/>
      <c r="E46" s="43"/>
      <c r="F46" s="123">
        <f>ROUND('Updated Volumes'!Y53,0)</f>
        <v>26920</v>
      </c>
      <c r="G46" s="123">
        <f>ROUND('Updated Volumes'!Z53,0)</f>
        <v>26920</v>
      </c>
      <c r="H46" s="49"/>
      <c r="I46" s="118"/>
      <c r="J46" s="120"/>
    </row>
    <row r="47" spans="2:10" x14ac:dyDescent="0.2">
      <c r="B47" s="48" t="str">
        <f>'2017 Determination - Revenue'!B$30</f>
        <v>Namoi</v>
      </c>
      <c r="C47" s="43" t="str">
        <f>'Updated Volumes'!$C$20</f>
        <v>ML</v>
      </c>
      <c r="D47" s="43"/>
      <c r="E47" s="43"/>
      <c r="F47" s="123">
        <f>ROUND('Updated Volumes'!Y54,0)</f>
        <v>8866</v>
      </c>
      <c r="G47" s="123">
        <f>ROUND('Updated Volumes'!Z54,0)</f>
        <v>8866</v>
      </c>
      <c r="H47" s="49"/>
      <c r="I47" s="118"/>
      <c r="J47" s="120"/>
    </row>
    <row r="48" spans="2:10" x14ac:dyDescent="0.2">
      <c r="B48" s="48" t="str">
        <f>'2017 Determination - Revenue'!B$31</f>
        <v>Peel</v>
      </c>
      <c r="C48" s="43" t="str">
        <f>'Updated Volumes'!$C$20</f>
        <v>ML</v>
      </c>
      <c r="D48" s="43"/>
      <c r="E48" s="43"/>
      <c r="F48" s="123">
        <f>ROUND('Updated Volumes'!Y55,0)</f>
        <v>17367</v>
      </c>
      <c r="G48" s="123">
        <f>ROUND('Updated Volumes'!Z55,0)</f>
        <v>17367</v>
      </c>
      <c r="H48" s="49"/>
      <c r="I48" s="118"/>
      <c r="J48" s="120"/>
    </row>
    <row r="49" spans="2:10" x14ac:dyDescent="0.2">
      <c r="B49" s="48" t="str">
        <f>'2017 Determination - Revenue'!B$32</f>
        <v>Lachlan</v>
      </c>
      <c r="C49" s="43" t="str">
        <f>'Updated Volumes'!$C$20</f>
        <v>ML</v>
      </c>
      <c r="D49" s="43"/>
      <c r="E49" s="43"/>
      <c r="F49" s="123">
        <f>ROUND('Updated Volumes'!Y56,0)</f>
        <v>57304</v>
      </c>
      <c r="G49" s="123">
        <f>ROUND('Updated Volumes'!Z56,0)</f>
        <v>57301</v>
      </c>
      <c r="H49" s="49"/>
      <c r="I49" s="118"/>
      <c r="J49" s="120"/>
    </row>
    <row r="50" spans="2:10" x14ac:dyDescent="0.2">
      <c r="B50" s="48" t="str">
        <f>'2017 Determination - Revenue'!B$33</f>
        <v>Macquarie</v>
      </c>
      <c r="C50" s="43" t="str">
        <f>'Updated Volumes'!$C$20</f>
        <v>ML</v>
      </c>
      <c r="D50" s="43"/>
      <c r="E50" s="43"/>
      <c r="F50" s="123">
        <f>ROUND('Updated Volumes'!Y57,0)</f>
        <v>42712</v>
      </c>
      <c r="G50" s="123">
        <f>ROUND('Updated Volumes'!Z57,0)</f>
        <v>42688</v>
      </c>
      <c r="H50" s="49"/>
      <c r="I50" s="118"/>
      <c r="J50" s="120"/>
    </row>
    <row r="51" spans="2:10" x14ac:dyDescent="0.2">
      <c r="B51" s="48" t="str">
        <f>'2017 Determination - Revenue'!B$34</f>
        <v>Murray</v>
      </c>
      <c r="C51" s="43" t="str">
        <f>'Updated Volumes'!$C$20</f>
        <v>ML</v>
      </c>
      <c r="D51" s="43"/>
      <c r="E51" s="43"/>
      <c r="F51" s="123">
        <f>ROUND('Updated Volumes'!Y58,0)</f>
        <v>263603</v>
      </c>
      <c r="G51" s="123">
        <f>ROUND('Updated Volumes'!Z58,0)</f>
        <v>263590</v>
      </c>
      <c r="H51" s="49"/>
      <c r="I51" s="118"/>
      <c r="J51" s="120"/>
    </row>
    <row r="52" spans="2:10" x14ac:dyDescent="0.2">
      <c r="B52" s="48" t="str">
        <f>'2017 Determination - Revenue'!B$35</f>
        <v>Murrumbidgee</v>
      </c>
      <c r="C52" s="43" t="str">
        <f>'Updated Volumes'!$C$20</f>
        <v>ML</v>
      </c>
      <c r="D52" s="43"/>
      <c r="E52" s="43"/>
      <c r="F52" s="123">
        <f>ROUND('Updated Volumes'!Y59,0)</f>
        <v>438328</v>
      </c>
      <c r="G52" s="123">
        <f>ROUND('Updated Volumes'!Z59,0)</f>
        <v>438328</v>
      </c>
      <c r="H52" s="49"/>
      <c r="I52" s="118"/>
      <c r="J52" s="120"/>
    </row>
    <row r="53" spans="2:10" x14ac:dyDescent="0.2">
      <c r="B53" s="48" t="str">
        <f>'2017 Determination - Revenue'!B$36</f>
        <v>Lowbidgee</v>
      </c>
      <c r="C53" s="43" t="str">
        <f>'Updated Volumes'!$C$20</f>
        <v>ML</v>
      </c>
      <c r="D53" s="43"/>
      <c r="E53" s="43"/>
      <c r="F53" s="123">
        <f>ROUND('Updated Volumes'!Y60,0)</f>
        <v>0</v>
      </c>
      <c r="G53" s="123">
        <f>ROUND('Updated Volumes'!Z60,0)</f>
        <v>0</v>
      </c>
      <c r="H53" s="49"/>
    </row>
    <row r="54" spans="2:10" x14ac:dyDescent="0.2">
      <c r="B54" s="50"/>
      <c r="C54" s="41"/>
      <c r="D54" s="41"/>
      <c r="E54" s="41"/>
      <c r="F54" s="63"/>
      <c r="G54" s="41"/>
      <c r="H54" s="51"/>
    </row>
    <row r="57" spans="2:10" x14ac:dyDescent="0.2">
      <c r="B57" s="38" t="s">
        <v>141</v>
      </c>
      <c r="F57" s="148"/>
    </row>
    <row r="58" spans="2:10" x14ac:dyDescent="0.2">
      <c r="B58" s="45" t="str">
        <f>'2017 Determination - Revenue'!B$16</f>
        <v>Financial year</v>
      </c>
      <c r="C58" s="46" t="str">
        <f>'2017 Determination - Revenue'!C$23</f>
        <v>Units</v>
      </c>
      <c r="D58" s="46"/>
      <c r="E58" s="46"/>
      <c r="F58" s="62" t="str">
        <f>'2017 Determination - Revenue'!F$16</f>
        <v>2017-18</v>
      </c>
      <c r="G58" s="52" t="str">
        <f>'2017 Determination - Revenue'!G$16</f>
        <v>2018-19</v>
      </c>
      <c r="H58" s="47"/>
    </row>
    <row r="59" spans="2:10" x14ac:dyDescent="0.2">
      <c r="B59" s="48"/>
      <c r="C59" s="43"/>
      <c r="D59" s="43"/>
      <c r="E59" s="43"/>
      <c r="F59" s="64"/>
      <c r="G59" s="54"/>
      <c r="H59" s="49"/>
    </row>
    <row r="60" spans="2:10" x14ac:dyDescent="0.2">
      <c r="B60" s="102" t="s">
        <v>160</v>
      </c>
      <c r="C60" s="43"/>
      <c r="D60" s="43"/>
      <c r="E60" s="43"/>
      <c r="F60" s="57"/>
      <c r="G60" s="43"/>
      <c r="H60" s="49"/>
    </row>
    <row r="61" spans="2:10" x14ac:dyDescent="0.2">
      <c r="B61" s="55" t="str">
        <f>'Updated Volumes'!B79</f>
        <v>General security entitlements</v>
      </c>
      <c r="C61" s="43"/>
      <c r="D61" s="43"/>
      <c r="E61" s="43"/>
      <c r="F61" s="57"/>
      <c r="G61" s="43"/>
      <c r="H61" s="49"/>
    </row>
    <row r="62" spans="2:10" x14ac:dyDescent="0.2">
      <c r="B62" s="48" t="str">
        <f>'2017 Determination - Revenue'!B$28</f>
        <v>Border</v>
      </c>
      <c r="C62" s="43" t="str">
        <f>'Updated Volumes'!$C$80</f>
        <v>%</v>
      </c>
      <c r="D62" s="43"/>
      <c r="E62" s="43"/>
      <c r="F62" s="106">
        <f>AVERAGE('Updated Volumes'!F80:Y80)</f>
        <v>0.4642611013938393</v>
      </c>
      <c r="G62" s="106">
        <f>AVERAGE('Updated Volumes'!G80:Z80)</f>
        <v>0.48795133154527265</v>
      </c>
      <c r="H62" s="49"/>
    </row>
    <row r="63" spans="2:10" x14ac:dyDescent="0.2">
      <c r="B63" s="48" t="str">
        <f>'2017 Determination - Revenue'!B$29</f>
        <v>Gwydir</v>
      </c>
      <c r="C63" s="43" t="str">
        <f>'Updated Volumes'!$C$80</f>
        <v>%</v>
      </c>
      <c r="D63" s="43"/>
      <c r="E63" s="43"/>
      <c r="F63" s="106">
        <f>AVERAGE('Updated Volumes'!F81:Y81)</f>
        <v>0.43874779714841683</v>
      </c>
      <c r="G63" s="106">
        <f>AVERAGE('Updated Volumes'!G81:Z81)</f>
        <v>0.44056288647179587</v>
      </c>
      <c r="H63" s="49"/>
    </row>
    <row r="64" spans="2:10" x14ac:dyDescent="0.2">
      <c r="B64" s="48" t="str">
        <f>'2017 Determination - Revenue'!B$30</f>
        <v>Namoi</v>
      </c>
      <c r="C64" s="43" t="str">
        <f>'Updated Volumes'!$C$80</f>
        <v>%</v>
      </c>
      <c r="D64" s="43"/>
      <c r="E64" s="43"/>
      <c r="F64" s="106">
        <f>AVERAGE('Updated Volumes'!F82:Y82)</f>
        <v>0.58245197620959044</v>
      </c>
      <c r="G64" s="106">
        <f>AVERAGE('Updated Volumes'!G82:Z82)</f>
        <v>0.59429539463538317</v>
      </c>
      <c r="H64" s="49"/>
    </row>
    <row r="65" spans="2:8" x14ac:dyDescent="0.2">
      <c r="B65" s="48" t="str">
        <f>'2017 Determination - Revenue'!B$31</f>
        <v>Peel</v>
      </c>
      <c r="C65" s="43" t="str">
        <f>'Updated Volumes'!$C$80</f>
        <v>%</v>
      </c>
      <c r="D65" s="43"/>
      <c r="E65" s="43"/>
      <c r="F65" s="106">
        <f>AVERAGE('Updated Volumes'!F83:Y83)</f>
        <v>0.62250023005126853</v>
      </c>
      <c r="G65" s="106">
        <f>AVERAGE('Updated Volumes'!G83:Z83)</f>
        <v>0.64000006572893386</v>
      </c>
      <c r="H65" s="49"/>
    </row>
    <row r="66" spans="2:8" x14ac:dyDescent="0.2">
      <c r="B66" s="48" t="str">
        <f>'2017 Determination - Revenue'!B$32</f>
        <v>Lachlan</v>
      </c>
      <c r="C66" s="43" t="str">
        <f>'Updated Volumes'!$C$80</f>
        <v>%</v>
      </c>
      <c r="D66" s="43"/>
      <c r="E66" s="43"/>
      <c r="F66" s="106">
        <f>AVERAGE('Updated Volumes'!F84:Y84)</f>
        <v>0.3654321138961259</v>
      </c>
      <c r="G66" s="106">
        <f>AVERAGE('Updated Volumes'!G84:Z84)</f>
        <v>0.38443211389612586</v>
      </c>
      <c r="H66" s="49"/>
    </row>
    <row r="67" spans="2:8" x14ac:dyDescent="0.2">
      <c r="B67" s="48" t="str">
        <f>'2017 Determination - Revenue'!B$33</f>
        <v>Macquarie</v>
      </c>
      <c r="C67" s="43" t="str">
        <f>'Updated Volumes'!$C$80</f>
        <v>%</v>
      </c>
      <c r="D67" s="43"/>
      <c r="E67" s="43"/>
      <c r="F67" s="106">
        <f>AVERAGE('Updated Volumes'!F85:Y85)</f>
        <v>0.39703018759898756</v>
      </c>
      <c r="G67" s="106">
        <f>AVERAGE('Updated Volumes'!G85:Z85)</f>
        <v>0.40453018759898746</v>
      </c>
      <c r="H67" s="49"/>
    </row>
    <row r="68" spans="2:8" x14ac:dyDescent="0.2">
      <c r="B68" s="48" t="str">
        <f>'2017 Determination - Revenue'!B$34</f>
        <v>Murray</v>
      </c>
      <c r="C68" s="43" t="str">
        <f>'Updated Volumes'!$C$80</f>
        <v>%</v>
      </c>
      <c r="D68" s="43"/>
      <c r="E68" s="43"/>
      <c r="F68" s="106">
        <f>AVERAGE('Updated Volumes'!F86:Y86)</f>
        <v>0.60890439295202625</v>
      </c>
      <c r="G68" s="106">
        <f>AVERAGE('Updated Volumes'!G86:Z86)</f>
        <v>0.60890439295202625</v>
      </c>
      <c r="H68" s="49"/>
    </row>
    <row r="69" spans="2:8" x14ac:dyDescent="0.2">
      <c r="B69" s="48" t="str">
        <f>'2017 Determination - Revenue'!B$35</f>
        <v>Murrumbidgee</v>
      </c>
      <c r="C69" s="43" t="str">
        <f>'Updated Volumes'!$C$80</f>
        <v>%</v>
      </c>
      <c r="D69" s="43"/>
      <c r="E69" s="43"/>
      <c r="F69" s="106">
        <f>AVERAGE('Updated Volumes'!F87:Y87)</f>
        <v>0.62111301031771859</v>
      </c>
      <c r="G69" s="106">
        <f>AVERAGE('Updated Volumes'!G87:Z87)</f>
        <v>0.62111303236490956</v>
      </c>
      <c r="H69" s="49"/>
    </row>
    <row r="70" spans="2:8" x14ac:dyDescent="0.2">
      <c r="B70" s="48" t="str">
        <f>'2017 Determination - Revenue'!B$36</f>
        <v>Lowbidgee</v>
      </c>
      <c r="C70" s="43" t="str">
        <f>'Updated Volumes'!$C$80</f>
        <v>%</v>
      </c>
      <c r="D70" s="43"/>
      <c r="E70" s="43"/>
      <c r="F70" s="106"/>
      <c r="G70" s="106"/>
      <c r="H70" s="49"/>
    </row>
    <row r="71" spans="2:8" x14ac:dyDescent="0.2">
      <c r="B71" s="88"/>
      <c r="C71" s="43"/>
      <c r="D71" s="43"/>
      <c r="E71" s="43"/>
      <c r="F71" s="104"/>
      <c r="G71" s="96"/>
      <c r="H71" s="49"/>
    </row>
    <row r="72" spans="2:8" x14ac:dyDescent="0.2">
      <c r="B72" s="55" t="str">
        <f>'Updated Volumes'!B90</f>
        <v>High security entitlements</v>
      </c>
      <c r="C72" s="43"/>
      <c r="D72" s="43"/>
      <c r="E72" s="43"/>
      <c r="F72" s="104"/>
      <c r="G72" s="43"/>
      <c r="H72" s="49"/>
    </row>
    <row r="73" spans="2:8" x14ac:dyDescent="0.2">
      <c r="B73" s="48" t="str">
        <f>'2017 Determination - Revenue'!B$28</f>
        <v>Border</v>
      </c>
      <c r="C73" s="43" t="str">
        <f>'Updated Volumes'!$C$80</f>
        <v>%</v>
      </c>
      <c r="D73" s="43"/>
      <c r="E73" s="43"/>
      <c r="F73" s="106">
        <f>AVERAGE('Updated Volumes'!F91:Y91)</f>
        <v>1.000016020506248</v>
      </c>
      <c r="G73" s="106">
        <f>AVERAGE('Updated Volumes'!G91:Z91)</f>
        <v>1.000016020506248</v>
      </c>
      <c r="H73" s="49"/>
    </row>
    <row r="74" spans="2:8" x14ac:dyDescent="0.2">
      <c r="B74" s="48" t="str">
        <f>'2017 Determination - Revenue'!B$29</f>
        <v>Gwydir</v>
      </c>
      <c r="C74" s="43" t="str">
        <f>'Updated Volumes'!$C$80</f>
        <v>%</v>
      </c>
      <c r="D74" s="43"/>
      <c r="E74" s="43"/>
      <c r="F74" s="106">
        <f>AVERAGE('Updated Volumes'!F92:Y92)</f>
        <v>0.99987741410629316</v>
      </c>
      <c r="G74" s="106">
        <f>AVERAGE('Updated Volumes'!G92:Z92)</f>
        <v>0.99987741410629316</v>
      </c>
      <c r="H74" s="49"/>
    </row>
    <row r="75" spans="2:8" x14ac:dyDescent="0.2">
      <c r="B75" s="48" t="str">
        <f>'2017 Determination - Revenue'!B$30</f>
        <v>Namoi</v>
      </c>
      <c r="C75" s="43" t="str">
        <f>'Updated Volumes'!$C$80</f>
        <v>%</v>
      </c>
      <c r="D75" s="43"/>
      <c r="E75" s="43"/>
      <c r="F75" s="106">
        <f>AVERAGE('Updated Volumes'!F93:Y93)</f>
        <v>1.0000902323482967</v>
      </c>
      <c r="G75" s="106">
        <f>AVERAGE('Updated Volumes'!G93:Z93)</f>
        <v>1.0000902323482967</v>
      </c>
      <c r="H75" s="49"/>
    </row>
    <row r="76" spans="2:8" x14ac:dyDescent="0.2">
      <c r="B76" s="48" t="str">
        <f>'2017 Determination - Revenue'!B$31</f>
        <v>Peel</v>
      </c>
      <c r="C76" s="43" t="str">
        <f>'Updated Volumes'!$C$80</f>
        <v>%</v>
      </c>
      <c r="D76" s="43"/>
      <c r="E76" s="43"/>
      <c r="F76" s="106">
        <f>AVERAGE('Updated Volumes'!F94:Y94)</f>
        <v>0.98450000000000004</v>
      </c>
      <c r="G76" s="106">
        <f>AVERAGE('Updated Volumes'!G94:Z94)</f>
        <v>0.98450000000000004</v>
      </c>
      <c r="H76" s="49"/>
    </row>
    <row r="77" spans="2:8" x14ac:dyDescent="0.2">
      <c r="B77" s="48" t="str">
        <f>'2017 Determination - Revenue'!B$32</f>
        <v>Lachlan</v>
      </c>
      <c r="C77" s="43" t="str">
        <f>'Updated Volumes'!$C$80</f>
        <v>%</v>
      </c>
      <c r="D77" s="43"/>
      <c r="E77" s="43"/>
      <c r="F77" s="106">
        <f>AVERAGE('Updated Volumes'!F95:Y95)</f>
        <v>0.82518297152031272</v>
      </c>
      <c r="G77" s="106">
        <f>AVERAGE('Updated Volumes'!G95:Z95)</f>
        <v>0.82518759622145232</v>
      </c>
      <c r="H77" s="49"/>
    </row>
    <row r="78" spans="2:8" x14ac:dyDescent="0.2">
      <c r="B78" s="48" t="str">
        <f>'2017 Determination - Revenue'!B$33</f>
        <v>Macquarie</v>
      </c>
      <c r="C78" s="43" t="str">
        <f>'Updated Volumes'!$C$80</f>
        <v>%</v>
      </c>
      <c r="D78" s="43"/>
      <c r="E78" s="43"/>
      <c r="F78" s="106">
        <f>AVERAGE('Updated Volumes'!F96:Y96)</f>
        <v>0.99996616875819444</v>
      </c>
      <c r="G78" s="106">
        <f>AVERAGE('Updated Volumes'!G96:Z96)</f>
        <v>0.9999946310895288</v>
      </c>
      <c r="H78" s="49"/>
    </row>
    <row r="79" spans="2:8" x14ac:dyDescent="0.2">
      <c r="B79" s="48" t="str">
        <f>'2017 Determination - Revenue'!B$34</f>
        <v>Murray</v>
      </c>
      <c r="C79" s="43" t="str">
        <f>'Updated Volumes'!$C$80</f>
        <v>%</v>
      </c>
      <c r="D79" s="43"/>
      <c r="E79" s="43"/>
      <c r="F79" s="106">
        <f>AVERAGE('Updated Volumes'!F97:Y97)</f>
        <v>0.94931241191776583</v>
      </c>
      <c r="G79" s="106">
        <f>AVERAGE('Updated Volumes'!G97:Z97)</f>
        <v>0.94931241191776561</v>
      </c>
      <c r="H79" s="49"/>
    </row>
    <row r="80" spans="2:8" x14ac:dyDescent="0.2">
      <c r="B80" s="48" t="str">
        <f>'2017 Determination - Revenue'!B$35</f>
        <v>Murrumbidgee</v>
      </c>
      <c r="C80" s="43" t="str">
        <f>'Updated Volumes'!$C$80</f>
        <v>%</v>
      </c>
      <c r="D80" s="43"/>
      <c r="E80" s="43"/>
      <c r="F80" s="106">
        <f>AVERAGE('Updated Volumes'!F98:Y98)</f>
        <v>0.97218156636269304</v>
      </c>
      <c r="G80" s="106">
        <f>AVERAGE('Updated Volumes'!G98:Z98)</f>
        <v>0.97218488094668098</v>
      </c>
      <c r="H80" s="49"/>
    </row>
    <row r="81" spans="2:8" x14ac:dyDescent="0.2">
      <c r="B81" s="48" t="str">
        <f>'2017 Determination - Revenue'!B$36</f>
        <v>Lowbidgee</v>
      </c>
      <c r="C81" s="43" t="str">
        <f>'Updated Volumes'!$C$80</f>
        <v>%</v>
      </c>
      <c r="D81" s="43"/>
      <c r="E81" s="43"/>
      <c r="F81" s="106">
        <f>AVERAGE('Updated Volumes'!F99:Y99)</f>
        <v>0</v>
      </c>
      <c r="G81" s="106">
        <f>AVERAGE('Updated Volumes'!G99:Z99)</f>
        <v>0</v>
      </c>
      <c r="H81" s="49"/>
    </row>
    <row r="82" spans="2:8" x14ac:dyDescent="0.2">
      <c r="B82" s="88"/>
      <c r="C82" s="43"/>
      <c r="D82" s="43"/>
      <c r="E82" s="43"/>
      <c r="F82" s="104"/>
      <c r="G82" s="96"/>
      <c r="H82" s="49"/>
    </row>
    <row r="83" spans="2:8" x14ac:dyDescent="0.2">
      <c r="B83" s="55" t="str">
        <f>'Updated Volumes'!B101</f>
        <v>Supplementary entitlements</v>
      </c>
      <c r="C83" s="43"/>
      <c r="D83" s="43"/>
      <c r="E83" s="43"/>
      <c r="F83" s="104"/>
      <c r="G83" s="43"/>
      <c r="H83" s="49"/>
    </row>
    <row r="84" spans="2:8" x14ac:dyDescent="0.2">
      <c r="B84" s="48" t="str">
        <f>'2017 Determination - Revenue'!B$28</f>
        <v>Border</v>
      </c>
      <c r="C84" s="43" t="str">
        <f>'Updated Volumes'!$C$80</f>
        <v>%</v>
      </c>
      <c r="D84" s="43"/>
      <c r="E84" s="43"/>
      <c r="F84" s="106">
        <f>AVERAGE('Updated Volumes'!F102:Y102)</f>
        <v>0</v>
      </c>
      <c r="G84" s="106">
        <f>AVERAGE('Updated Volumes'!G102:Z102)</f>
        <v>0</v>
      </c>
      <c r="H84" s="49"/>
    </row>
    <row r="85" spans="2:8" x14ac:dyDescent="0.2">
      <c r="B85" s="48" t="str">
        <f>'2017 Determination - Revenue'!B$29</f>
        <v>Gwydir</v>
      </c>
      <c r="C85" s="43" t="str">
        <f>'Updated Volumes'!$C$80</f>
        <v>%</v>
      </c>
      <c r="D85" s="43"/>
      <c r="E85" s="43"/>
      <c r="F85" s="106">
        <f>AVERAGE('Updated Volumes'!F103:Y103)</f>
        <v>0</v>
      </c>
      <c r="G85" s="106">
        <f>AVERAGE('Updated Volumes'!G103:Z103)</f>
        <v>0</v>
      </c>
      <c r="H85" s="49"/>
    </row>
    <row r="86" spans="2:8" x14ac:dyDescent="0.2">
      <c r="B86" s="48" t="str">
        <f>'2017 Determination - Revenue'!B$30</f>
        <v>Namoi</v>
      </c>
      <c r="C86" s="43" t="str">
        <f>'Updated Volumes'!$C$80</f>
        <v>%</v>
      </c>
      <c r="D86" s="43"/>
      <c r="E86" s="43"/>
      <c r="F86" s="106">
        <f>AVERAGE('Updated Volumes'!F104:Y104)</f>
        <v>0</v>
      </c>
      <c r="G86" s="106">
        <f>AVERAGE('Updated Volumes'!G104:Z104)</f>
        <v>0</v>
      </c>
      <c r="H86" s="49"/>
    </row>
    <row r="87" spans="2:8" x14ac:dyDescent="0.2">
      <c r="B87" s="48" t="str">
        <f>'2017 Determination - Revenue'!B$31</f>
        <v>Peel</v>
      </c>
      <c r="C87" s="43" t="str">
        <f>'Updated Volumes'!$C$80</f>
        <v>%</v>
      </c>
      <c r="D87" s="43"/>
      <c r="E87" s="43"/>
      <c r="F87" s="106">
        <f>AVERAGE('Updated Volumes'!F105:Y105)</f>
        <v>0</v>
      </c>
      <c r="G87" s="106">
        <f>AVERAGE('Updated Volumes'!G105:Z105)</f>
        <v>0</v>
      </c>
      <c r="H87" s="49"/>
    </row>
    <row r="88" spans="2:8" x14ac:dyDescent="0.2">
      <c r="B88" s="48" t="str">
        <f>'2017 Determination - Revenue'!B$32</f>
        <v>Lachlan</v>
      </c>
      <c r="C88" s="43" t="str">
        <f>'Updated Volumes'!$C$80</f>
        <v>%</v>
      </c>
      <c r="D88" s="43"/>
      <c r="E88" s="43"/>
      <c r="F88" s="106">
        <f>AVERAGE('Updated Volumes'!F106:Y106)</f>
        <v>0</v>
      </c>
      <c r="G88" s="106">
        <f>AVERAGE('Updated Volumes'!G106:Z106)</f>
        <v>0</v>
      </c>
      <c r="H88" s="49"/>
    </row>
    <row r="89" spans="2:8" x14ac:dyDescent="0.2">
      <c r="B89" s="48" t="str">
        <f>'2017 Determination - Revenue'!B$33</f>
        <v>Macquarie</v>
      </c>
      <c r="C89" s="43" t="str">
        <f>'Updated Volumes'!$C$80</f>
        <v>%</v>
      </c>
      <c r="D89" s="43"/>
      <c r="E89" s="43"/>
      <c r="F89" s="106">
        <f>AVERAGE('Updated Volumes'!F107:Y107)</f>
        <v>0</v>
      </c>
      <c r="G89" s="106">
        <f>AVERAGE('Updated Volumes'!G107:Z107)</f>
        <v>0</v>
      </c>
      <c r="H89" s="49"/>
    </row>
    <row r="90" spans="2:8" x14ac:dyDescent="0.2">
      <c r="B90" s="48" t="str">
        <f>'2017 Determination - Revenue'!B$34</f>
        <v>Murray</v>
      </c>
      <c r="C90" s="43" t="str">
        <f>'Updated Volumes'!$C$80</f>
        <v>%</v>
      </c>
      <c r="D90" s="43"/>
      <c r="E90" s="43"/>
      <c r="F90" s="106">
        <f>AVERAGE('Updated Volumes'!F108:Y108)</f>
        <v>0</v>
      </c>
      <c r="G90" s="106">
        <f>AVERAGE('Updated Volumes'!G108:Z108)</f>
        <v>0</v>
      </c>
      <c r="H90" s="49"/>
    </row>
    <row r="91" spans="2:8" x14ac:dyDescent="0.2">
      <c r="B91" s="48" t="str">
        <f>'2017 Determination - Revenue'!B$35</f>
        <v>Murrumbidgee</v>
      </c>
      <c r="C91" s="43" t="str">
        <f>'Updated Volumes'!$C$80</f>
        <v>%</v>
      </c>
      <c r="D91" s="43"/>
      <c r="E91" s="43"/>
      <c r="F91" s="106">
        <f>AVERAGE('Updated Volumes'!F109:Y109)</f>
        <v>0</v>
      </c>
      <c r="G91" s="106">
        <f>AVERAGE('Updated Volumes'!G109:Z109)</f>
        <v>0</v>
      </c>
      <c r="H91" s="49"/>
    </row>
    <row r="92" spans="2:8" x14ac:dyDescent="0.2">
      <c r="B92" s="48" t="str">
        <f>'2017 Determination - Revenue'!B$36</f>
        <v>Lowbidgee</v>
      </c>
      <c r="C92" s="43" t="str">
        <f>'Updated Volumes'!$C$80</f>
        <v>%</v>
      </c>
      <c r="D92" s="43"/>
      <c r="E92" s="43"/>
      <c r="F92" s="106">
        <f>AVERAGE('Updated Volumes'!F110:Y110)</f>
        <v>1</v>
      </c>
      <c r="G92" s="106">
        <f>AVERAGE('Updated Volumes'!G110:Z110)</f>
        <v>1</v>
      </c>
      <c r="H92" s="49"/>
    </row>
    <row r="93" spans="2:8" x14ac:dyDescent="0.2">
      <c r="B93" s="88"/>
      <c r="C93" s="43"/>
      <c r="D93" s="43"/>
      <c r="E93" s="43"/>
      <c r="F93" s="104"/>
      <c r="G93" s="96"/>
      <c r="H93" s="49"/>
    </row>
    <row r="94" spans="2:8" x14ac:dyDescent="0.2">
      <c r="B94" s="50"/>
      <c r="C94" s="41"/>
      <c r="D94" s="41"/>
      <c r="E94" s="41"/>
      <c r="F94" s="107"/>
      <c r="G94" s="41"/>
      <c r="H94" s="51"/>
    </row>
    <row r="97" spans="2:12" x14ac:dyDescent="0.2">
      <c r="B97" s="38" t="s">
        <v>142</v>
      </c>
    </row>
    <row r="98" spans="2:12" x14ac:dyDescent="0.2">
      <c r="B98" s="45" t="str">
        <f>'2017 Determination - Revenue'!B$16</f>
        <v>Financial year</v>
      </c>
      <c r="C98" s="46" t="str">
        <f>'2017 Determination - Revenue'!C$23</f>
        <v>Units</v>
      </c>
      <c r="D98" s="46"/>
      <c r="E98" s="46"/>
      <c r="F98" s="62" t="str">
        <f>'2017 Determination - Revenue'!F$16</f>
        <v>2017-18</v>
      </c>
      <c r="G98" s="52" t="str">
        <f>'2017 Determination - Revenue'!G$16</f>
        <v>2018-19</v>
      </c>
      <c r="H98" s="47"/>
    </row>
    <row r="99" spans="2:12" x14ac:dyDescent="0.2">
      <c r="B99" s="48"/>
      <c r="C99" s="43"/>
      <c r="D99" s="43"/>
      <c r="E99" s="43"/>
      <c r="F99" s="64"/>
      <c r="G99" s="54"/>
      <c r="H99" s="49"/>
      <c r="J99" s="148"/>
    </row>
    <row r="100" spans="2:12" x14ac:dyDescent="0.2">
      <c r="B100" s="55" t="s">
        <v>152</v>
      </c>
      <c r="D100" s="43"/>
      <c r="E100" s="43"/>
      <c r="F100" s="104"/>
      <c r="G100" s="43"/>
      <c r="H100" s="49"/>
      <c r="J100" s="148"/>
    </row>
    <row r="101" spans="2:12" s="148" customFormat="1" x14ac:dyDescent="0.2">
      <c r="B101" s="102" t="s">
        <v>153</v>
      </c>
      <c r="C101" s="43"/>
      <c r="D101" s="43"/>
      <c r="E101" s="43"/>
      <c r="F101" s="104"/>
      <c r="G101" s="43"/>
      <c r="H101" s="49"/>
    </row>
    <row r="102" spans="2:12" x14ac:dyDescent="0.2">
      <c r="B102" s="48" t="str">
        <f>'2017 Determination - Revenue'!B$28</f>
        <v>Border</v>
      </c>
      <c r="C102" s="29" t="s">
        <v>16</v>
      </c>
      <c r="D102" s="43"/>
      <c r="E102" s="43"/>
      <c r="F102" s="104">
        <f>F73/F62</f>
        <v>2.1539948479507012</v>
      </c>
      <c r="G102" s="108">
        <f t="shared" ref="F102:G109" si="0">G73/G62</f>
        <v>2.0494175460887445</v>
      </c>
      <c r="H102" s="49"/>
      <c r="J102" s="148"/>
    </row>
    <row r="103" spans="2:12" x14ac:dyDescent="0.2">
      <c r="B103" s="48" t="str">
        <f>'2017 Determination - Revenue'!B$29</f>
        <v>Gwydir</v>
      </c>
      <c r="C103" s="43" t="str">
        <f t="shared" ref="C103:C110" si="1">C$102</f>
        <v>#</v>
      </c>
      <c r="D103" s="43"/>
      <c r="E103" s="43"/>
      <c r="F103" s="104">
        <f t="shared" si="0"/>
        <v>2.2789343231005694</v>
      </c>
      <c r="G103" s="108">
        <f t="shared" si="0"/>
        <v>2.2695452676772483</v>
      </c>
      <c r="H103" s="49"/>
      <c r="J103" s="148"/>
    </row>
    <row r="104" spans="2:12" x14ac:dyDescent="0.2">
      <c r="B104" s="48" t="str">
        <f>'2017 Determination - Revenue'!B$30</f>
        <v>Namoi</v>
      </c>
      <c r="C104" s="43" t="str">
        <f t="shared" si="1"/>
        <v>#</v>
      </c>
      <c r="D104" s="43"/>
      <c r="E104" s="43"/>
      <c r="F104" s="104">
        <f t="shared" si="0"/>
        <v>1.7170346624224049</v>
      </c>
      <c r="G104" s="108">
        <f t="shared" si="0"/>
        <v>1.6828167294849727</v>
      </c>
      <c r="H104" s="49"/>
      <c r="J104" s="148"/>
    </row>
    <row r="105" spans="2:12" x14ac:dyDescent="0.2">
      <c r="B105" s="48" t="str">
        <f>'2017 Determination - Revenue'!B$31</f>
        <v>Peel</v>
      </c>
      <c r="C105" s="43" t="str">
        <f t="shared" si="1"/>
        <v>#</v>
      </c>
      <c r="D105" s="43"/>
      <c r="E105" s="43"/>
      <c r="F105" s="104">
        <f t="shared" si="0"/>
        <v>1.5815255199486715</v>
      </c>
      <c r="G105" s="108">
        <f t="shared" si="0"/>
        <v>1.5382810920162873</v>
      </c>
      <c r="H105" s="49"/>
      <c r="J105" s="148"/>
    </row>
    <row r="106" spans="2:12" x14ac:dyDescent="0.2">
      <c r="B106" s="48" t="str">
        <f>'2017 Determination - Revenue'!B$32</f>
        <v>Lachlan</v>
      </c>
      <c r="C106" s="43" t="str">
        <f t="shared" si="1"/>
        <v>#</v>
      </c>
      <c r="D106" s="43"/>
      <c r="E106" s="43"/>
      <c r="F106" s="104">
        <f t="shared" si="0"/>
        <v>2.2581019569475251</v>
      </c>
      <c r="G106" s="108">
        <f t="shared" si="0"/>
        <v>2.1465105707698999</v>
      </c>
      <c r="H106" s="49"/>
      <c r="J106" s="148"/>
    </row>
    <row r="107" spans="2:12" x14ac:dyDescent="0.2">
      <c r="B107" s="48" t="str">
        <f>'2017 Determination - Revenue'!B$33</f>
        <v>Macquarie</v>
      </c>
      <c r="C107" s="43" t="str">
        <f t="shared" si="1"/>
        <v>#</v>
      </c>
      <c r="D107" s="43"/>
      <c r="E107" s="43"/>
      <c r="F107" s="104">
        <f t="shared" si="0"/>
        <v>2.5186149567251301</v>
      </c>
      <c r="G107" s="108">
        <f t="shared" si="0"/>
        <v>2.4719901301428409</v>
      </c>
      <c r="H107" s="49"/>
      <c r="J107" s="148"/>
    </row>
    <row r="108" spans="2:12" x14ac:dyDescent="0.2">
      <c r="B108" s="48" t="str">
        <f>'2017 Determination - Revenue'!B$34</f>
        <v>Murray</v>
      </c>
      <c r="C108" s="43" t="str">
        <f t="shared" si="1"/>
        <v>#</v>
      </c>
      <c r="D108" s="43"/>
      <c r="E108" s="43"/>
      <c r="F108" s="104">
        <f t="shared" si="0"/>
        <v>1.5590500297023795</v>
      </c>
      <c r="G108" s="108">
        <f t="shared" si="0"/>
        <v>1.559050029702379</v>
      </c>
      <c r="H108" s="49"/>
      <c r="J108" s="148"/>
    </row>
    <row r="109" spans="2:12" x14ac:dyDescent="0.2">
      <c r="B109" s="48" t="str">
        <f>'2017 Determination - Revenue'!B$35</f>
        <v>Murrumbidgee</v>
      </c>
      <c r="C109" s="43" t="str">
        <f t="shared" si="1"/>
        <v>#</v>
      </c>
      <c r="D109" s="43"/>
      <c r="E109" s="43"/>
      <c r="F109" s="104">
        <f t="shared" si="0"/>
        <v>1.5652249272083223</v>
      </c>
      <c r="G109" s="108">
        <f t="shared" si="0"/>
        <v>1.5652302081716964</v>
      </c>
      <c r="H109" s="49"/>
      <c r="J109" s="148"/>
    </row>
    <row r="110" spans="2:12" x14ac:dyDescent="0.2">
      <c r="B110" s="48" t="str">
        <f>'2017 Determination - Revenue'!B$36</f>
        <v>Lowbidgee</v>
      </c>
      <c r="C110" s="43" t="str">
        <f t="shared" si="1"/>
        <v>#</v>
      </c>
      <c r="D110" s="109"/>
      <c r="E110" s="43"/>
      <c r="F110" s="33">
        <v>0</v>
      </c>
      <c r="G110" s="34">
        <v>0</v>
      </c>
      <c r="H110" s="49"/>
      <c r="J110" s="148"/>
    </row>
    <row r="111" spans="2:12" x14ac:dyDescent="0.2">
      <c r="B111" s="88"/>
      <c r="C111" s="43"/>
      <c r="D111" s="43"/>
      <c r="E111" s="43"/>
      <c r="F111" s="104"/>
      <c r="G111" s="89"/>
      <c r="H111" s="49"/>
      <c r="J111" s="148"/>
      <c r="L111" s="148"/>
    </row>
    <row r="112" spans="2:12" x14ac:dyDescent="0.2">
      <c r="B112" s="55" t="s">
        <v>37</v>
      </c>
      <c r="D112" s="43"/>
      <c r="E112" s="43"/>
      <c r="F112" s="104"/>
      <c r="G112" s="43"/>
      <c r="H112" s="49"/>
      <c r="J112" s="148"/>
      <c r="L112" s="148"/>
    </row>
    <row r="113" spans="2:12" s="148" customFormat="1" x14ac:dyDescent="0.2">
      <c r="B113" s="102" t="s">
        <v>175</v>
      </c>
      <c r="C113" s="43"/>
      <c r="D113" s="43"/>
      <c r="E113" s="43"/>
      <c r="F113" s="104"/>
      <c r="G113" s="43"/>
      <c r="H113" s="49"/>
    </row>
    <row r="114" spans="2:12" x14ac:dyDescent="0.2">
      <c r="B114" s="48" t="str">
        <f>'2017 Determination - Revenue'!B$28</f>
        <v>Border</v>
      </c>
      <c r="C114" s="43" t="str">
        <f t="shared" ref="C114:C122" si="2">C$102</f>
        <v>#</v>
      </c>
      <c r="D114" s="43"/>
      <c r="E114" s="43"/>
      <c r="F114" s="104">
        <f>F102*'2017 Determination - Revenue'!F106</f>
        <v>2.6924935599383764</v>
      </c>
      <c r="G114" s="108">
        <f>G102*'2017 Determination - Revenue'!G106</f>
        <v>2.5617719326109305</v>
      </c>
      <c r="H114" s="49"/>
      <c r="J114" s="103"/>
      <c r="L114" s="97"/>
    </row>
    <row r="115" spans="2:12" x14ac:dyDescent="0.2">
      <c r="B115" s="48" t="str">
        <f>'2017 Determination - Revenue'!B$29</f>
        <v>Gwydir</v>
      </c>
      <c r="C115" s="43" t="str">
        <f t="shared" si="2"/>
        <v>#</v>
      </c>
      <c r="D115" s="43"/>
      <c r="E115" s="43"/>
      <c r="F115" s="104">
        <f>F103*'2017 Determination - Revenue'!F107</f>
        <v>3.1844054939026294</v>
      </c>
      <c r="G115" s="108">
        <f>G103*'2017 Determination - Revenue'!G107</f>
        <v>3.1712859584383946</v>
      </c>
      <c r="H115" s="49"/>
      <c r="J115" s="103"/>
    </row>
    <row r="116" spans="2:12" x14ac:dyDescent="0.2">
      <c r="B116" s="48" t="str">
        <f>'2017 Determination - Revenue'!B$30</f>
        <v>Namoi</v>
      </c>
      <c r="C116" s="43" t="str">
        <f t="shared" si="2"/>
        <v>#</v>
      </c>
      <c r="D116" s="43"/>
      <c r="E116" s="43"/>
      <c r="F116" s="104">
        <f>F104*'2017 Determination - Revenue'!F108</f>
        <v>2.1462933280280061</v>
      </c>
      <c r="G116" s="108">
        <f>G104*'2017 Determination - Revenue'!G108</f>
        <v>2.1035209118562159</v>
      </c>
      <c r="H116" s="49"/>
      <c r="J116" s="103"/>
    </row>
    <row r="117" spans="2:12" x14ac:dyDescent="0.2">
      <c r="B117" s="48" t="str">
        <f>'2017 Determination - Revenue'!B$31</f>
        <v>Peel</v>
      </c>
      <c r="C117" s="43" t="str">
        <f t="shared" si="2"/>
        <v>#</v>
      </c>
      <c r="D117" s="43"/>
      <c r="E117" s="43"/>
      <c r="F117" s="104">
        <f>F105*'2017 Determination - Revenue'!F109</f>
        <v>10.346253320604475</v>
      </c>
      <c r="G117" s="108">
        <f>G105*'2017 Determination - Revenue'!G109</f>
        <v>10.063350641861996</v>
      </c>
      <c r="H117" s="49"/>
      <c r="J117" s="103"/>
    </row>
    <row r="118" spans="2:12" x14ac:dyDescent="0.2">
      <c r="B118" s="48" t="str">
        <f>'2017 Determination - Revenue'!B$32</f>
        <v>Lachlan</v>
      </c>
      <c r="C118" s="43" t="str">
        <f t="shared" si="2"/>
        <v>#</v>
      </c>
      <c r="D118" s="43"/>
      <c r="E118" s="43"/>
      <c r="F118" s="104">
        <f>F106*'2017 Determination - Revenue'!F110</f>
        <v>5.634456108916158</v>
      </c>
      <c r="G118" s="108">
        <f>G106*'2017 Determination - Revenue'!G110</f>
        <v>5.3560113001614251</v>
      </c>
      <c r="H118" s="49"/>
      <c r="J118" s="103"/>
    </row>
    <row r="119" spans="2:12" x14ac:dyDescent="0.2">
      <c r="B119" s="48" t="str">
        <f>'2017 Determination - Revenue'!B$33</f>
        <v>Macquarie</v>
      </c>
      <c r="C119" s="43" t="str">
        <f t="shared" si="2"/>
        <v>#</v>
      </c>
      <c r="D119" s="43"/>
      <c r="E119" s="43"/>
      <c r="F119" s="104">
        <f>F107*'2017 Determination - Revenue'!F111</f>
        <v>4.7471727833214441</v>
      </c>
      <c r="G119" s="108">
        <f>G107*'2017 Determination - Revenue'!G111</f>
        <v>4.6592926938351491</v>
      </c>
      <c r="H119" s="49"/>
      <c r="J119" s="103"/>
    </row>
    <row r="120" spans="2:12" x14ac:dyDescent="0.2">
      <c r="B120" s="48" t="str">
        <f>'2017 Determination - Revenue'!B$34</f>
        <v>Murray</v>
      </c>
      <c r="C120" s="43" t="str">
        <f t="shared" si="2"/>
        <v>#</v>
      </c>
      <c r="D120" s="43"/>
      <c r="E120" s="43"/>
      <c r="F120" s="104">
        <f>F108*'2017 Determination - Revenue'!F112</f>
        <v>2.0400047126005267</v>
      </c>
      <c r="G120" s="108">
        <f>G108*'2017 Determination - Revenue'!G112</f>
        <v>2.0400047126005263</v>
      </c>
      <c r="H120" s="49"/>
      <c r="J120" s="103"/>
    </row>
    <row r="121" spans="2:12" x14ac:dyDescent="0.2">
      <c r="B121" s="48" t="str">
        <f>'2017 Determination - Revenue'!B$35</f>
        <v>Murrumbidgee</v>
      </c>
      <c r="C121" s="43" t="str">
        <f t="shared" si="2"/>
        <v>#</v>
      </c>
      <c r="D121" s="43"/>
      <c r="E121" s="43"/>
      <c r="F121" s="104">
        <f>F109*'2017 Determination - Revenue'!F113</f>
        <v>2.6498773911620734</v>
      </c>
      <c r="G121" s="108">
        <f>G109*'2017 Determination - Revenue'!G113</f>
        <v>2.6498863316697316</v>
      </c>
      <c r="H121" s="49"/>
      <c r="J121" s="103"/>
    </row>
    <row r="122" spans="2:12" x14ac:dyDescent="0.2">
      <c r="B122" s="48" t="str">
        <f>'2017 Determination - Revenue'!B$36</f>
        <v>Lowbidgee</v>
      </c>
      <c r="C122" s="43" t="str">
        <f t="shared" si="2"/>
        <v>#</v>
      </c>
      <c r="D122" s="43"/>
      <c r="E122" s="43"/>
      <c r="F122" s="33">
        <v>0</v>
      </c>
      <c r="G122" s="34">
        <v>0</v>
      </c>
      <c r="H122" s="49"/>
    </row>
    <row r="123" spans="2:12" x14ac:dyDescent="0.2">
      <c r="B123" s="88"/>
      <c r="C123" s="43"/>
      <c r="D123" s="43"/>
      <c r="E123" s="43"/>
      <c r="F123" s="104"/>
      <c r="G123" s="89"/>
      <c r="H123" s="49"/>
    </row>
    <row r="124" spans="2:12" x14ac:dyDescent="0.2">
      <c r="B124" s="50"/>
      <c r="C124" s="41"/>
      <c r="D124" s="41"/>
      <c r="E124" s="41"/>
      <c r="F124" s="107"/>
      <c r="G124" s="41"/>
      <c r="H124" s="51"/>
    </row>
    <row r="126" spans="2:12" x14ac:dyDescent="0.2">
      <c r="K126" s="148"/>
    </row>
    <row r="127" spans="2:12" x14ac:dyDescent="0.2">
      <c r="B127" s="70" t="s">
        <v>157</v>
      </c>
      <c r="D127" s="69"/>
      <c r="E127" s="69"/>
      <c r="G127" s="69"/>
      <c r="H127" s="69"/>
      <c r="I127" s="69"/>
      <c r="K127" s="148"/>
    </row>
    <row r="128" spans="2:12" x14ac:dyDescent="0.2">
      <c r="B128" s="110" t="str">
        <f>'2017 Determination - Revenue'!B$16</f>
        <v>Financial year</v>
      </c>
      <c r="C128" s="58" t="str">
        <f>'2017 Determination - Revenue'!C$23</f>
        <v>Units</v>
      </c>
      <c r="D128" s="58"/>
      <c r="E128" s="58"/>
      <c r="F128" s="62" t="str">
        <f>'2017 Determination - Revenue'!F$16</f>
        <v>2017-18</v>
      </c>
      <c r="G128" s="52" t="str">
        <f>'2017 Determination - Revenue'!G$16</f>
        <v>2018-19</v>
      </c>
      <c r="H128" s="73"/>
      <c r="I128" s="69"/>
      <c r="K128" s="148"/>
    </row>
    <row r="129" spans="2:11" x14ac:dyDescent="0.2">
      <c r="B129" s="84"/>
      <c r="C129" s="60"/>
      <c r="D129" s="60"/>
      <c r="E129" s="60"/>
      <c r="F129" s="64"/>
      <c r="G129" s="111"/>
      <c r="H129" s="76"/>
      <c r="I129" s="69"/>
      <c r="K129" s="148"/>
    </row>
    <row r="130" spans="2:11" x14ac:dyDescent="0.2">
      <c r="B130" s="194" t="s">
        <v>158</v>
      </c>
      <c r="C130" s="60"/>
      <c r="D130" s="60"/>
      <c r="E130" s="60"/>
      <c r="F130" s="57"/>
      <c r="G130" s="60"/>
      <c r="H130" s="76"/>
      <c r="K130" s="148"/>
    </row>
    <row r="131" spans="2:11" x14ac:dyDescent="0.2">
      <c r="B131" s="84" t="str">
        <f>'2017 Determination - Revenue'!B$28</f>
        <v>Border</v>
      </c>
      <c r="C131" s="60" t="str">
        <f t="shared" ref="C131:C139" si="3">C$102</f>
        <v>#</v>
      </c>
      <c r="D131" s="60"/>
      <c r="E131" s="60"/>
      <c r="F131" s="56">
        <f t="shared" ref="F131:G138" si="4">F33+(F45*F114)</f>
        <v>271641.27240056766</v>
      </c>
      <c r="G131" s="124">
        <f t="shared" si="4"/>
        <v>271264.52564033092</v>
      </c>
      <c r="H131" s="76"/>
      <c r="K131" s="148"/>
    </row>
    <row r="132" spans="2:11" x14ac:dyDescent="0.2">
      <c r="B132" s="84" t="str">
        <f>'2017 Determination - Revenue'!B$29</f>
        <v>Gwydir</v>
      </c>
      <c r="C132" s="60" t="str">
        <f t="shared" si="3"/>
        <v>#</v>
      </c>
      <c r="D132" s="60"/>
      <c r="E132" s="60"/>
      <c r="F132" s="56">
        <f t="shared" si="4"/>
        <v>595389.19589585881</v>
      </c>
      <c r="G132" s="124">
        <f t="shared" si="4"/>
        <v>595036.01800116163</v>
      </c>
      <c r="H132" s="76"/>
      <c r="K132" s="148"/>
    </row>
    <row r="133" spans="2:11" x14ac:dyDescent="0.2">
      <c r="B133" s="84" t="str">
        <f>'2017 Determination - Revenue'!B$30</f>
        <v>Namoi</v>
      </c>
      <c r="C133" s="60" t="str">
        <f t="shared" si="3"/>
        <v>#</v>
      </c>
      <c r="D133" s="60"/>
      <c r="E133" s="60"/>
      <c r="F133" s="56">
        <f t="shared" si="4"/>
        <v>275241.03664629633</v>
      </c>
      <c r="G133" s="124">
        <f t="shared" si="4"/>
        <v>274861.81640451722</v>
      </c>
      <c r="H133" s="76"/>
      <c r="K133" s="148"/>
    </row>
    <row r="134" spans="2:11" x14ac:dyDescent="0.2">
      <c r="B134" s="84" t="str">
        <f>'2017 Determination - Revenue'!B$31</f>
        <v>Peel</v>
      </c>
      <c r="C134" s="60" t="str">
        <f t="shared" si="3"/>
        <v>#</v>
      </c>
      <c r="D134" s="60"/>
      <c r="E134" s="60"/>
      <c r="F134" s="56">
        <f t="shared" si="4"/>
        <v>210111.38141893793</v>
      </c>
      <c r="G134" s="124">
        <f t="shared" si="4"/>
        <v>205198.21059721729</v>
      </c>
      <c r="H134" s="76"/>
      <c r="K134" s="148"/>
    </row>
    <row r="135" spans="2:11" x14ac:dyDescent="0.2">
      <c r="B135" s="84" t="str">
        <f>'2017 Determination - Revenue'!B$32</f>
        <v>Lachlan</v>
      </c>
      <c r="C135" s="60" t="str">
        <f t="shared" si="3"/>
        <v>#</v>
      </c>
      <c r="D135" s="60"/>
      <c r="E135" s="60"/>
      <c r="F135" s="56">
        <f t="shared" si="4"/>
        <v>956042.87286533159</v>
      </c>
      <c r="G135" s="124">
        <f t="shared" si="4"/>
        <v>940070.80351054983</v>
      </c>
      <c r="H135" s="76"/>
      <c r="I135" s="69"/>
      <c r="K135" s="148"/>
    </row>
    <row r="136" spans="2:11" x14ac:dyDescent="0.2">
      <c r="B136" s="84" t="str">
        <f>'2017 Determination - Revenue'!B$33</f>
        <v>Macquarie</v>
      </c>
      <c r="C136" s="60" t="str">
        <f t="shared" si="3"/>
        <v>#</v>
      </c>
      <c r="D136" s="60"/>
      <c r="E136" s="60"/>
      <c r="F136" s="56">
        <f t="shared" si="4"/>
        <v>835227.24392122554</v>
      </c>
      <c r="G136" s="124">
        <f t="shared" si="4"/>
        <v>831361.88651443482</v>
      </c>
      <c r="H136" s="76"/>
      <c r="I136" s="69"/>
      <c r="K136" s="148"/>
    </row>
    <row r="137" spans="2:11" x14ac:dyDescent="0.2">
      <c r="B137" s="84" t="str">
        <f>'2017 Determination - Revenue'!B$34</f>
        <v>Murray</v>
      </c>
      <c r="C137" s="60" t="str">
        <f t="shared" si="3"/>
        <v>#</v>
      </c>
      <c r="D137" s="60"/>
      <c r="E137" s="60"/>
      <c r="F137" s="56">
        <f t="shared" si="4"/>
        <v>2621022.3622556366</v>
      </c>
      <c r="G137" s="124">
        <f t="shared" si="4"/>
        <v>2620995.8421943728</v>
      </c>
      <c r="H137" s="76"/>
      <c r="I137" s="69"/>
    </row>
    <row r="138" spans="2:11" ht="12.75" thickBot="1" x14ac:dyDescent="0.25">
      <c r="B138" s="84" t="str">
        <f>'2017 Determination - Revenue'!B$35</f>
        <v>Murrumbidgee</v>
      </c>
      <c r="C138" s="60" t="str">
        <f t="shared" si="3"/>
        <v>#</v>
      </c>
      <c r="D138" s="60"/>
      <c r="E138" s="60"/>
      <c r="F138" s="112">
        <f t="shared" si="4"/>
        <v>3429478.4571132893</v>
      </c>
      <c r="G138" s="125">
        <f t="shared" si="4"/>
        <v>3429482.3759881305</v>
      </c>
      <c r="H138" s="76"/>
      <c r="I138" s="69"/>
    </row>
    <row r="139" spans="2:11" ht="12.75" thickTop="1" x14ac:dyDescent="0.2">
      <c r="B139" s="84" t="str">
        <f>'2017 Determination - Revenue'!B$36</f>
        <v>Lowbidgee</v>
      </c>
      <c r="C139" s="60" t="str">
        <f t="shared" si="3"/>
        <v>#</v>
      </c>
      <c r="D139" s="60"/>
      <c r="E139" s="60"/>
      <c r="F139" s="56">
        <f>F41+F53</f>
        <v>747000</v>
      </c>
      <c r="G139" s="124">
        <f>G41+G53</f>
        <v>747000</v>
      </c>
      <c r="H139" s="76"/>
      <c r="I139" s="69"/>
    </row>
    <row r="140" spans="2:11" x14ac:dyDescent="0.2">
      <c r="B140" s="113"/>
      <c r="C140" s="60"/>
      <c r="D140" s="60"/>
      <c r="E140" s="60"/>
      <c r="F140" s="89"/>
      <c r="G140" s="114"/>
      <c r="H140" s="76"/>
      <c r="I140" s="69"/>
    </row>
    <row r="141" spans="2:11" x14ac:dyDescent="0.2">
      <c r="B141" s="85"/>
      <c r="C141" s="82"/>
      <c r="D141" s="82"/>
      <c r="E141" s="82"/>
      <c r="F141" s="63"/>
      <c r="G141" s="82"/>
      <c r="H141" s="80"/>
      <c r="I141" s="69"/>
    </row>
    <row r="142" spans="2:11" x14ac:dyDescent="0.2">
      <c r="B142" s="69"/>
      <c r="C142" s="69"/>
      <c r="D142" s="69"/>
      <c r="E142" s="69"/>
      <c r="G142" s="69"/>
      <c r="H142" s="69"/>
      <c r="I142" s="69"/>
    </row>
    <row r="143" spans="2:11" x14ac:dyDescent="0.2">
      <c r="B143" s="69"/>
      <c r="C143" s="69"/>
      <c r="D143" s="69"/>
      <c r="E143" s="69"/>
      <c r="G143" s="69"/>
      <c r="H143" s="69"/>
      <c r="I143" s="69"/>
    </row>
    <row r="144" spans="2:11" x14ac:dyDescent="0.2">
      <c r="B144" s="38" t="s">
        <v>156</v>
      </c>
    </row>
    <row r="145" spans="2:8" x14ac:dyDescent="0.2">
      <c r="B145" s="45" t="str">
        <f>'2017 Determination - Revenue'!B$16</f>
        <v>Financial year</v>
      </c>
      <c r="C145" s="46" t="str">
        <f>'2017 Determination - Revenue'!C$23</f>
        <v>Units</v>
      </c>
      <c r="D145" s="46"/>
      <c r="E145" s="46"/>
      <c r="F145" s="62" t="str">
        <f>'2017 Determination - Revenue'!F$16</f>
        <v>2017-18</v>
      </c>
      <c r="G145" s="52" t="str">
        <f>'2017 Determination - Revenue'!G$16</f>
        <v>2018-19</v>
      </c>
      <c r="H145" s="47"/>
    </row>
    <row r="146" spans="2:8" x14ac:dyDescent="0.2">
      <c r="B146" s="48"/>
      <c r="C146" s="43"/>
      <c r="D146" s="43"/>
      <c r="E146" s="43"/>
      <c r="F146" s="64"/>
      <c r="G146" s="54"/>
      <c r="H146" s="49"/>
    </row>
    <row r="147" spans="2:8" x14ac:dyDescent="0.2">
      <c r="B147" s="55" t="s">
        <v>188</v>
      </c>
      <c r="C147" s="43"/>
      <c r="D147" s="43"/>
      <c r="E147" s="43"/>
      <c r="F147" s="57"/>
      <c r="G147" s="43"/>
      <c r="H147" s="49"/>
    </row>
    <row r="148" spans="2:8" x14ac:dyDescent="0.2">
      <c r="B148" s="48" t="str">
        <f>'2017 Determination - Revenue'!B$28</f>
        <v>Border</v>
      </c>
      <c r="C148" s="43" t="str">
        <f>'2017 Determination - Revenue'!C$28</f>
        <v>$'000</v>
      </c>
      <c r="D148" s="43"/>
      <c r="E148" s="43"/>
      <c r="F148" s="36">
        <f>'2017 Determination - Revenue'!F28-'2017 Determination - Revenue'!F40</f>
        <v>1344.3467612694878</v>
      </c>
      <c r="G148" s="36">
        <f>'2017 Determination - Revenue'!G28-'2017 Determination - Revenue'!G40</f>
        <v>1344.3469329256268</v>
      </c>
      <c r="H148" s="49"/>
    </row>
    <row r="149" spans="2:8" x14ac:dyDescent="0.2">
      <c r="B149" s="48" t="str">
        <f>'2017 Determination - Revenue'!B$29</f>
        <v>Gwydir</v>
      </c>
      <c r="C149" s="43" t="str">
        <f>'2017 Determination - Revenue'!C$28</f>
        <v>$'000</v>
      </c>
      <c r="D149" s="43"/>
      <c r="E149" s="43"/>
      <c r="F149" s="36">
        <f>'2017 Determination - Revenue'!F29-'2017 Determination - Revenue'!F41</f>
        <v>5184.4255985381451</v>
      </c>
      <c r="G149" s="36">
        <f>'2017 Determination - Revenue'!G29-'2017 Determination - Revenue'!G41</f>
        <v>5184.2641110126524</v>
      </c>
      <c r="H149" s="49"/>
    </row>
    <row r="150" spans="2:8" x14ac:dyDescent="0.2">
      <c r="B150" s="48" t="str">
        <f>'2017 Determination - Revenue'!B$30</f>
        <v>Namoi</v>
      </c>
      <c r="C150" s="43" t="str">
        <f>'2017 Determination - Revenue'!C$28</f>
        <v>$'000</v>
      </c>
      <c r="D150" s="43"/>
      <c r="E150" s="43"/>
      <c r="F150" s="36">
        <f>'2017 Determination - Revenue'!F30-'2017 Determination - Revenue'!F42</f>
        <v>5483.6824843548675</v>
      </c>
      <c r="G150" s="36">
        <f>'2017 Determination - Revenue'!G30-'2017 Determination - Revenue'!G42</f>
        <v>5483.4770138866979</v>
      </c>
      <c r="H150" s="49"/>
    </row>
    <row r="151" spans="2:8" x14ac:dyDescent="0.2">
      <c r="B151" s="48" t="str">
        <f>'2017 Determination - Revenue'!B$31</f>
        <v>Peel</v>
      </c>
      <c r="C151" s="43" t="str">
        <f>'2017 Determination - Revenue'!C$28</f>
        <v>$'000</v>
      </c>
      <c r="D151" s="43"/>
      <c r="E151" s="43"/>
      <c r="F151" s="36">
        <f>'2017 Determination - Revenue'!F31-'2017 Determination - Revenue'!F43</f>
        <v>1055.3602151328339</v>
      </c>
      <c r="G151" s="36">
        <f>'2017 Determination - Revenue'!G31-'2017 Determination - Revenue'!G43</f>
        <v>1055.3110956572582</v>
      </c>
      <c r="H151" s="49"/>
    </row>
    <row r="152" spans="2:8" x14ac:dyDescent="0.2">
      <c r="B152" s="48" t="str">
        <f>'2017 Determination - Revenue'!B$32</f>
        <v>Lachlan</v>
      </c>
      <c r="C152" s="43" t="str">
        <f>'2017 Determination - Revenue'!C$28</f>
        <v>$'000</v>
      </c>
      <c r="D152" s="43"/>
      <c r="E152" s="43"/>
      <c r="F152" s="36">
        <f>'2017 Determination - Revenue'!F32-'2017 Determination - Revenue'!F44</f>
        <v>6531.7388709002353</v>
      </c>
      <c r="G152" s="36">
        <f>'2017 Determination - Revenue'!G32-'2017 Determination - Revenue'!G44</f>
        <v>6531.4856830712679</v>
      </c>
      <c r="H152" s="49"/>
    </row>
    <row r="153" spans="2:8" x14ac:dyDescent="0.2">
      <c r="B153" s="48" t="str">
        <f>'2017 Determination - Revenue'!B$33</f>
        <v>Macquarie</v>
      </c>
      <c r="C153" s="43" t="str">
        <f>'2017 Determination - Revenue'!C$28</f>
        <v>$'000</v>
      </c>
      <c r="D153" s="43"/>
      <c r="E153" s="43"/>
      <c r="F153" s="36">
        <f>'2017 Determination - Revenue'!F33-'2017 Determination - Revenue'!F45</f>
        <v>5949.422948107378</v>
      </c>
      <c r="G153" s="36">
        <f>'2017 Determination - Revenue'!G33-'2017 Determination - Revenue'!G45</f>
        <v>5949.2576777750628</v>
      </c>
      <c r="H153" s="49"/>
    </row>
    <row r="154" spans="2:8" x14ac:dyDescent="0.2">
      <c r="B154" s="48" t="str">
        <f>'2017 Determination - Revenue'!B$34</f>
        <v>Murray</v>
      </c>
      <c r="C154" s="43" t="str">
        <f>'2017 Determination - Revenue'!C$28</f>
        <v>$'000</v>
      </c>
      <c r="D154" s="43"/>
      <c r="E154" s="43"/>
      <c r="F154" s="36">
        <f>'2017 Determination - Revenue'!F34-'2017 Determination - Revenue'!F46</f>
        <v>4943.9466843093187</v>
      </c>
      <c r="G154" s="36">
        <f>'2017 Determination - Revenue'!G34-'2017 Determination - Revenue'!G46</f>
        <v>4943.9660416938113</v>
      </c>
      <c r="H154" s="49"/>
    </row>
    <row r="155" spans="2:8" x14ac:dyDescent="0.2">
      <c r="B155" s="48" t="str">
        <f>'2017 Determination - Revenue'!B$35</f>
        <v>Murrumbidgee</v>
      </c>
      <c r="C155" s="43" t="str">
        <f>'2017 Determination - Revenue'!C$28</f>
        <v>$'000</v>
      </c>
      <c r="D155" s="43"/>
      <c r="E155" s="43"/>
      <c r="F155" s="36">
        <f>'2017 Determination - Revenue'!F35-'2017 Determination - Revenue'!F47</f>
        <v>9563.8151755077615</v>
      </c>
      <c r="G155" s="36">
        <f>'2017 Determination - Revenue'!G35-'2017 Determination - Revenue'!G47</f>
        <v>9563.1681778822767</v>
      </c>
      <c r="H155" s="49"/>
    </row>
    <row r="156" spans="2:8" x14ac:dyDescent="0.2">
      <c r="B156" s="48" t="str">
        <f>'2017 Determination - Revenue'!B$36</f>
        <v>Lowbidgee</v>
      </c>
      <c r="C156" s="43" t="str">
        <f>'2017 Determination - Revenue'!C$28</f>
        <v>$'000</v>
      </c>
      <c r="D156" s="43"/>
      <c r="E156" s="43"/>
      <c r="F156" s="36">
        <f>'2017 Determination - Revenue'!F36-'2017 Determination - Revenue'!F48</f>
        <v>585.34287856328444</v>
      </c>
      <c r="G156" s="36">
        <f>'2017 Determination - Revenue'!G36-'2017 Determination - Revenue'!G48</f>
        <v>585.11330731714213</v>
      </c>
      <c r="H156" s="49"/>
    </row>
    <row r="157" spans="2:8" x14ac:dyDescent="0.2">
      <c r="B157" s="88" t="s">
        <v>34</v>
      </c>
      <c r="C157" s="95"/>
      <c r="D157" s="95"/>
      <c r="E157" s="95"/>
      <c r="F157" s="115">
        <f>SUM(F148:F156)+SUM('2017 Determination - Revenue'!F40:F48)-SUM('2017 Determination - Revenue'!F28:F36)</f>
        <v>0</v>
      </c>
      <c r="G157" s="95">
        <f>SUM(G148:G156)+SUM('2017 Determination - Revenue'!G40:G48)-SUM('2017 Determination - Revenue'!G28:G36)</f>
        <v>0</v>
      </c>
      <c r="H157" s="49"/>
    </row>
    <row r="158" spans="2:8" x14ac:dyDescent="0.2">
      <c r="B158" s="48"/>
      <c r="C158" s="43"/>
      <c r="D158" s="43"/>
      <c r="E158" s="43"/>
      <c r="F158" s="57"/>
      <c r="G158" s="43"/>
      <c r="H158" s="49"/>
    </row>
    <row r="159" spans="2:8" x14ac:dyDescent="0.2">
      <c r="B159" s="55" t="s">
        <v>33</v>
      </c>
      <c r="C159" s="43"/>
      <c r="D159" s="43"/>
      <c r="E159" s="43"/>
      <c r="F159" s="57"/>
      <c r="G159" s="43"/>
      <c r="H159" s="49"/>
    </row>
    <row r="160" spans="2:8" x14ac:dyDescent="0.2">
      <c r="B160" s="48" t="str">
        <f>'2017 Determination - Revenue'!B$28</f>
        <v>Border</v>
      </c>
      <c r="C160" s="43" t="str">
        <f>'2017 Determination - Revenue'!C$28</f>
        <v>$'000</v>
      </c>
      <c r="D160" s="43"/>
      <c r="E160" s="43"/>
      <c r="F160" s="36">
        <f>F148*'2017 Determination - Revenue'!F52</f>
        <v>537.54240713856984</v>
      </c>
      <c r="G160" s="36">
        <f>G148*'2017 Determination - Revenue'!G52</f>
        <v>537.54247577596072</v>
      </c>
      <c r="H160" s="49"/>
    </row>
    <row r="161" spans="2:9" x14ac:dyDescent="0.2">
      <c r="B161" s="48" t="str">
        <f>'2017 Determination - Revenue'!B$29</f>
        <v>Gwydir</v>
      </c>
      <c r="C161" s="43" t="str">
        <f>'2017 Determination - Revenue'!C$28</f>
        <v>$'000</v>
      </c>
      <c r="D161" s="43"/>
      <c r="E161" s="43"/>
      <c r="F161" s="36">
        <f>F149*'2017 Determination - Revenue'!F53</f>
        <v>2071.9412061380795</v>
      </c>
      <c r="G161" s="36">
        <f>G149*'2017 Determination - Revenue'!G53</f>
        <v>2071.8766680996823</v>
      </c>
      <c r="H161" s="49"/>
    </row>
    <row r="162" spans="2:9" x14ac:dyDescent="0.2">
      <c r="B162" s="48" t="str">
        <f>'2017 Determination - Revenue'!B$30</f>
        <v>Namoi</v>
      </c>
      <c r="C162" s="43" t="str">
        <f>'2017 Determination - Revenue'!C$28</f>
        <v>$'000</v>
      </c>
      <c r="D162" s="43"/>
      <c r="E162" s="43"/>
      <c r="F162" s="36">
        <f>F150*'2017 Determination - Revenue'!F54</f>
        <v>2190.2777369830105</v>
      </c>
      <c r="G162" s="36">
        <f>G150*'2017 Determination - Revenue'!G54</f>
        <v>2190.1956685201985</v>
      </c>
      <c r="H162" s="49"/>
    </row>
    <row r="163" spans="2:9" x14ac:dyDescent="0.2">
      <c r="B163" s="48" t="str">
        <f>'2017 Determination - Revenue'!B$31</f>
        <v>Peel</v>
      </c>
      <c r="C163" s="43" t="str">
        <f>'2017 Determination - Revenue'!C$28</f>
        <v>$'000</v>
      </c>
      <c r="D163" s="43"/>
      <c r="E163" s="43"/>
      <c r="F163" s="36">
        <f>F151*'2017 Determination - Revenue'!F55</f>
        <v>422.0642499323414</v>
      </c>
      <c r="G163" s="36">
        <f>G151*'2017 Determination - Revenue'!G55</f>
        <v>844.19564821143376</v>
      </c>
      <c r="H163" s="49"/>
      <c r="I163" s="36"/>
    </row>
    <row r="164" spans="2:9" x14ac:dyDescent="0.2">
      <c r="B164" s="48" t="str">
        <f>'2017 Determination - Revenue'!B$32</f>
        <v>Lachlan</v>
      </c>
      <c r="C164" s="43" t="str">
        <f>'2017 Determination - Revenue'!C$28</f>
        <v>$'000</v>
      </c>
      <c r="D164" s="43"/>
      <c r="E164" s="43"/>
      <c r="F164" s="36">
        <f>F152*'2017 Determination - Revenue'!F56</f>
        <v>2609.628567628743</v>
      </c>
      <c r="G164" s="36">
        <f>G152*'2017 Determination - Revenue'!G56</f>
        <v>2609.5274113816076</v>
      </c>
      <c r="H164" s="49"/>
    </row>
    <row r="165" spans="2:9" x14ac:dyDescent="0.2">
      <c r="B165" s="48" t="str">
        <f>'2017 Determination - Revenue'!B$33</f>
        <v>Macquarie</v>
      </c>
      <c r="C165" s="43" t="str">
        <f>'2017 Determination - Revenue'!C$28</f>
        <v>$'000</v>
      </c>
      <c r="D165" s="43"/>
      <c r="E165" s="43"/>
      <c r="F165" s="36">
        <f>F153*'2017 Determination - Revenue'!F57</f>
        <v>2377.7934570518369</v>
      </c>
      <c r="G165" s="36">
        <f>G153*'2017 Determination - Revenue'!G57</f>
        <v>2377.7274038029332</v>
      </c>
      <c r="H165" s="49"/>
    </row>
    <row r="166" spans="2:9" x14ac:dyDescent="0.2">
      <c r="B166" s="48" t="str">
        <f>'2017 Determination - Revenue'!B$34</f>
        <v>Murray</v>
      </c>
      <c r="C166" s="43" t="str">
        <f>'2017 Determination - Revenue'!C$28</f>
        <v>$'000</v>
      </c>
      <c r="D166" s="43"/>
      <c r="E166" s="43"/>
      <c r="F166" s="36">
        <f>F154*'2017 Determination - Revenue'!F58</f>
        <v>1975.6989913084071</v>
      </c>
      <c r="G166" s="36">
        <f>G154*'2017 Determination - Revenue'!G58</f>
        <v>1975.7067269025504</v>
      </c>
      <c r="H166" s="49"/>
    </row>
    <row r="167" spans="2:9" x14ac:dyDescent="0.2">
      <c r="B167" s="48" t="str">
        <f>'2017 Determination - Revenue'!B$35</f>
        <v>Murrumbidgee</v>
      </c>
      <c r="C167" s="43" t="str">
        <f>'2017 Determination - Revenue'!C$28</f>
        <v>$'000</v>
      </c>
      <c r="D167" s="43"/>
      <c r="E167" s="43"/>
      <c r="F167" s="36">
        <f>F155*'2017 Determination - Revenue'!F59</f>
        <v>3822.4812671489012</v>
      </c>
      <c r="G167" s="36">
        <f>G155*'2017 Determination - Revenue'!G59</f>
        <v>3822.222674081394</v>
      </c>
      <c r="H167" s="49"/>
    </row>
    <row r="168" spans="2:9" x14ac:dyDescent="0.2">
      <c r="B168" s="48" t="str">
        <f>'2017 Determination - Revenue'!B$36</f>
        <v>Lowbidgee</v>
      </c>
      <c r="C168" s="43" t="str">
        <f>'2017 Determination - Revenue'!C$28</f>
        <v>$'000</v>
      </c>
      <c r="D168" s="43"/>
      <c r="E168" s="43"/>
      <c r="F168" s="36">
        <f>F156*'2017 Determination - Revenue'!F60</f>
        <v>585.34287856328444</v>
      </c>
      <c r="G168" s="36">
        <f>G156*'2017 Determination - Revenue'!G60</f>
        <v>585.11330731714213</v>
      </c>
      <c r="H168" s="49"/>
    </row>
    <row r="169" spans="2:9" x14ac:dyDescent="0.2">
      <c r="B169" s="48"/>
      <c r="C169" s="43"/>
      <c r="D169" s="43"/>
      <c r="E169" s="43"/>
      <c r="F169" s="57"/>
      <c r="G169" s="43"/>
      <c r="H169" s="49"/>
    </row>
    <row r="170" spans="2:9" x14ac:dyDescent="0.2">
      <c r="B170" s="48"/>
      <c r="C170" s="43"/>
      <c r="D170" s="43"/>
      <c r="E170" s="43"/>
      <c r="F170" s="57"/>
      <c r="G170" s="43"/>
      <c r="H170" s="49"/>
    </row>
    <row r="171" spans="2:9" x14ac:dyDescent="0.2">
      <c r="B171" s="55" t="s">
        <v>189</v>
      </c>
      <c r="C171" s="43"/>
      <c r="D171" s="43"/>
      <c r="E171" s="43"/>
      <c r="F171" s="57"/>
      <c r="G171" s="43"/>
      <c r="H171" s="49"/>
    </row>
    <row r="172" spans="2:9" x14ac:dyDescent="0.2">
      <c r="B172" s="48" t="str">
        <f>'2017 Determination - Revenue'!B$28</f>
        <v>Border</v>
      </c>
      <c r="C172" s="43" t="str">
        <f>'2017 Determination - Revenue'!C$28</f>
        <v>$'000</v>
      </c>
      <c r="D172" s="43"/>
      <c r="E172" s="43"/>
      <c r="F172" s="36">
        <f>F148*(1-'2017 Determination - Revenue'!F52)</f>
        <v>806.804354130918</v>
      </c>
      <c r="G172" s="36">
        <f>G148*(1-'2017 Determination - Revenue'!G52)</f>
        <v>806.80445714966606</v>
      </c>
      <c r="H172" s="49"/>
    </row>
    <row r="173" spans="2:9" x14ac:dyDescent="0.2">
      <c r="B173" s="48" t="str">
        <f>'2017 Determination - Revenue'!B$29</f>
        <v>Gwydir</v>
      </c>
      <c r="C173" s="43" t="str">
        <f>'2017 Determination - Revenue'!C$28</f>
        <v>$'000</v>
      </c>
      <c r="D173" s="43"/>
      <c r="E173" s="43"/>
      <c r="F173" s="36">
        <f>F149*(1-'2017 Determination - Revenue'!F53)</f>
        <v>3112.4843924000656</v>
      </c>
      <c r="G173" s="36">
        <f>G149*(1-'2017 Determination - Revenue'!G53)</f>
        <v>3112.3874429129701</v>
      </c>
      <c r="H173" s="49"/>
    </row>
    <row r="174" spans="2:9" x14ac:dyDescent="0.2">
      <c r="B174" s="48" t="str">
        <f>'2017 Determination - Revenue'!B$30</f>
        <v>Namoi</v>
      </c>
      <c r="C174" s="43" t="str">
        <f>'2017 Determination - Revenue'!C$28</f>
        <v>$'000</v>
      </c>
      <c r="D174" s="43"/>
      <c r="E174" s="43"/>
      <c r="F174" s="36">
        <f>F150*(1-'2017 Determination - Revenue'!F54)</f>
        <v>3293.4047473718574</v>
      </c>
      <c r="G174" s="36">
        <f>G150*(1-'2017 Determination - Revenue'!G54)</f>
        <v>3293.2813453664994</v>
      </c>
      <c r="H174" s="49"/>
    </row>
    <row r="175" spans="2:9" x14ac:dyDescent="0.2">
      <c r="B175" s="48" t="str">
        <f>'2017 Determination - Revenue'!B$31</f>
        <v>Peel</v>
      </c>
      <c r="C175" s="43" t="str">
        <f>'2017 Determination - Revenue'!C$28</f>
        <v>$'000</v>
      </c>
      <c r="D175" s="43"/>
      <c r="E175" s="43"/>
      <c r="F175" s="36">
        <f>F151*(1-'2017 Determination - Revenue'!F55)</f>
        <v>633.29596520049245</v>
      </c>
      <c r="G175" s="36">
        <f>G151*(1-'2017 Determination - Revenue'!G55)</f>
        <v>211.11544744582443</v>
      </c>
      <c r="H175" s="49"/>
    </row>
    <row r="176" spans="2:9" x14ac:dyDescent="0.2">
      <c r="B176" s="48" t="str">
        <f>'2017 Determination - Revenue'!B$32</f>
        <v>Lachlan</v>
      </c>
      <c r="C176" s="43" t="str">
        <f>'2017 Determination - Revenue'!C$28</f>
        <v>$'000</v>
      </c>
      <c r="D176" s="43"/>
      <c r="E176" s="43"/>
      <c r="F176" s="36">
        <f>F152*(1-'2017 Determination - Revenue'!F56)</f>
        <v>3922.1103032714923</v>
      </c>
      <c r="G176" s="36">
        <f>G152*(1-'2017 Determination - Revenue'!G56)</f>
        <v>3921.9582716896603</v>
      </c>
      <c r="H176" s="49"/>
    </row>
    <row r="177" spans="2:9" x14ac:dyDescent="0.2">
      <c r="B177" s="48" t="str">
        <f>'2017 Determination - Revenue'!B$33</f>
        <v>Macquarie</v>
      </c>
      <c r="C177" s="43" t="str">
        <f>'2017 Determination - Revenue'!C$28</f>
        <v>$'000</v>
      </c>
      <c r="D177" s="43"/>
      <c r="E177" s="43"/>
      <c r="F177" s="36">
        <f>F153*(1-'2017 Determination - Revenue'!F57)</f>
        <v>3571.6294910555416</v>
      </c>
      <c r="G177" s="36">
        <f>G153*(1-'2017 Determination - Revenue'!G57)</f>
        <v>3571.5302739721301</v>
      </c>
      <c r="H177" s="49"/>
    </row>
    <row r="178" spans="2:9" x14ac:dyDescent="0.2">
      <c r="B178" s="48" t="str">
        <f>'2017 Determination - Revenue'!B$34</f>
        <v>Murray</v>
      </c>
      <c r="C178" s="43" t="str">
        <f>'2017 Determination - Revenue'!C$28</f>
        <v>$'000</v>
      </c>
      <c r="D178" s="43"/>
      <c r="E178" s="43"/>
      <c r="F178" s="36">
        <f>F154*(1-'2017 Determination - Revenue'!F58)</f>
        <v>2968.2476930009116</v>
      </c>
      <c r="G178" s="36">
        <f>G154*(1-'2017 Determination - Revenue'!G58)</f>
        <v>2968.2593147912607</v>
      </c>
      <c r="H178" s="49"/>
    </row>
    <row r="179" spans="2:9" x14ac:dyDescent="0.2">
      <c r="B179" s="48" t="str">
        <f>'2017 Determination - Revenue'!B$35</f>
        <v>Murrumbidgee</v>
      </c>
      <c r="C179" s="43" t="str">
        <f>'2017 Determination - Revenue'!C$28</f>
        <v>$'000</v>
      </c>
      <c r="D179" s="43"/>
      <c r="E179" s="43"/>
      <c r="F179" s="36">
        <f>F155*(1-'2017 Determination - Revenue'!F59)</f>
        <v>5741.3339083588608</v>
      </c>
      <c r="G179" s="36">
        <f>G155*(1-'2017 Determination - Revenue'!G59)</f>
        <v>5740.9455038008837</v>
      </c>
      <c r="H179" s="49"/>
    </row>
    <row r="180" spans="2:9" x14ac:dyDescent="0.2">
      <c r="B180" s="48" t="str">
        <f>'2017 Determination - Revenue'!B$36</f>
        <v>Lowbidgee</v>
      </c>
      <c r="C180" s="43" t="str">
        <f>'2017 Determination - Revenue'!C$28</f>
        <v>$'000</v>
      </c>
      <c r="D180" s="43"/>
      <c r="E180" s="43"/>
      <c r="F180" s="36">
        <f>F156*(1-'2017 Determination - Revenue'!F60)</f>
        <v>0</v>
      </c>
      <c r="G180" s="36">
        <f>G156*(1-'2017 Determination - Revenue'!G60)</f>
        <v>0</v>
      </c>
      <c r="H180" s="49"/>
    </row>
    <row r="181" spans="2:9" x14ac:dyDescent="0.2">
      <c r="B181" s="88" t="s">
        <v>34</v>
      </c>
      <c r="C181" s="43"/>
      <c r="D181" s="43"/>
      <c r="E181" s="43"/>
      <c r="F181" s="115">
        <f t="shared" ref="F181:G181" si="5">SUM(F148:F156)-SUM(F160:F168)-SUM(F172:F180)</f>
        <v>0</v>
      </c>
      <c r="G181" s="95">
        <f t="shared" si="5"/>
        <v>0</v>
      </c>
      <c r="H181" s="49"/>
    </row>
    <row r="182" spans="2:9" x14ac:dyDescent="0.2">
      <c r="B182" s="48"/>
      <c r="C182" s="43"/>
      <c r="D182" s="43"/>
      <c r="E182" s="43"/>
      <c r="F182" s="57"/>
      <c r="G182" s="43"/>
      <c r="H182" s="49"/>
    </row>
    <row r="183" spans="2:9" x14ac:dyDescent="0.2">
      <c r="B183" s="50"/>
      <c r="C183" s="41"/>
      <c r="D183" s="41"/>
      <c r="E183" s="41"/>
      <c r="F183" s="63"/>
      <c r="G183" s="41"/>
      <c r="H183" s="51"/>
    </row>
    <row r="186" spans="2:9" x14ac:dyDescent="0.2">
      <c r="B186" s="38" t="s">
        <v>155</v>
      </c>
    </row>
    <row r="187" spans="2:9" x14ac:dyDescent="0.2">
      <c r="B187" s="45" t="str">
        <f>'2017 Determination - Revenue'!B$16</f>
        <v>Financial year</v>
      </c>
      <c r="C187" s="46" t="str">
        <f>'2017 Determination - Revenue'!C$23</f>
        <v>Units</v>
      </c>
      <c r="D187" s="46"/>
      <c r="E187" s="46"/>
      <c r="F187" s="62" t="str">
        <f>'2017 Determination - Revenue'!F$16</f>
        <v>2017-18</v>
      </c>
      <c r="G187" s="52" t="str">
        <f>'2017 Determination - Revenue'!G$16</f>
        <v>2018-19</v>
      </c>
      <c r="H187" s="47"/>
    </row>
    <row r="188" spans="2:9" x14ac:dyDescent="0.2">
      <c r="B188" s="48"/>
      <c r="C188" s="43"/>
      <c r="D188" s="43"/>
      <c r="E188" s="43"/>
      <c r="F188" s="64"/>
      <c r="G188" s="54"/>
      <c r="H188" s="49"/>
    </row>
    <row r="189" spans="2:9" x14ac:dyDescent="0.2">
      <c r="B189" s="55" t="s">
        <v>168</v>
      </c>
      <c r="C189" s="43"/>
      <c r="D189" s="43"/>
      <c r="E189" s="43"/>
      <c r="F189" s="57"/>
      <c r="G189" s="43"/>
      <c r="H189" s="49"/>
    </row>
    <row r="190" spans="2:9" x14ac:dyDescent="0.2">
      <c r="B190" s="48" t="str">
        <f>'2017 Determination - Revenue'!B$28</f>
        <v>Border</v>
      </c>
      <c r="C190" s="43" t="str">
        <f>'2017 Determination - Revenue'!C$28</f>
        <v>$'000</v>
      </c>
      <c r="D190" s="43"/>
      <c r="E190" s="43"/>
      <c r="F190" s="36">
        <f>'2017 Determination - Revenue'!F75*'2017 Determination - Revenue'!F87</f>
        <v>464.59752566631823</v>
      </c>
      <c r="G190" s="36">
        <f>'2017 Determination - Revenue'!G75*'2017 Determination - Revenue'!G87</f>
        <v>464.59752566631823</v>
      </c>
      <c r="H190" s="49"/>
      <c r="I190" s="36"/>
    </row>
    <row r="191" spans="2:9" x14ac:dyDescent="0.2">
      <c r="B191" s="48" t="str">
        <f>'2017 Determination - Revenue'!B$29</f>
        <v>Gwydir</v>
      </c>
      <c r="C191" s="43" t="str">
        <f>'2017 Determination - Revenue'!C$28</f>
        <v>$'000</v>
      </c>
      <c r="D191" s="43"/>
      <c r="E191" s="43"/>
      <c r="F191" s="36">
        <f>'2017 Determination - Revenue'!F76*'2017 Determination - Revenue'!F88</f>
        <v>0</v>
      </c>
      <c r="G191" s="36">
        <f>'2017 Determination - Revenue'!G76*'2017 Determination - Revenue'!G88</f>
        <v>0</v>
      </c>
      <c r="H191" s="49"/>
      <c r="I191" s="36"/>
    </row>
    <row r="192" spans="2:9" x14ac:dyDescent="0.2">
      <c r="B192" s="48" t="str">
        <f>'2017 Determination - Revenue'!B$30</f>
        <v>Namoi</v>
      </c>
      <c r="C192" s="43" t="str">
        <f>'2017 Determination - Revenue'!C$28</f>
        <v>$'000</v>
      </c>
      <c r="D192" s="43"/>
      <c r="E192" s="43"/>
      <c r="F192" s="36">
        <f>'2017 Determination - Revenue'!F77*'2017 Determination - Revenue'!F89</f>
        <v>0</v>
      </c>
      <c r="G192" s="36">
        <f>'2017 Determination - Revenue'!G77*'2017 Determination - Revenue'!G89</f>
        <v>0</v>
      </c>
      <c r="H192" s="49"/>
      <c r="I192" s="36"/>
    </row>
    <row r="193" spans="2:9" x14ac:dyDescent="0.2">
      <c r="B193" s="48" t="str">
        <f>'2017 Determination - Revenue'!B$31</f>
        <v>Peel</v>
      </c>
      <c r="C193" s="43" t="str">
        <f>'2017 Determination - Revenue'!C$28</f>
        <v>$'000</v>
      </c>
      <c r="D193" s="43"/>
      <c r="E193" s="43"/>
      <c r="F193" s="36">
        <f>'2017 Determination - Revenue'!F78*'2017 Determination - Revenue'!F90</f>
        <v>0</v>
      </c>
      <c r="G193" s="36">
        <f>'2017 Determination - Revenue'!G78*'2017 Determination - Revenue'!G90</f>
        <v>0</v>
      </c>
      <c r="H193" s="49"/>
      <c r="I193" s="36"/>
    </row>
    <row r="194" spans="2:9" x14ac:dyDescent="0.2">
      <c r="B194" s="48" t="str">
        <f>'2017 Determination - Revenue'!B$32</f>
        <v>Lachlan</v>
      </c>
      <c r="C194" s="43" t="str">
        <f>'2017 Determination - Revenue'!C$28</f>
        <v>$'000</v>
      </c>
      <c r="D194" s="43"/>
      <c r="E194" s="43"/>
      <c r="F194" s="36">
        <f>'2017 Determination - Revenue'!F79*'2017 Determination - Revenue'!F91</f>
        <v>0</v>
      </c>
      <c r="G194" s="36">
        <f>'2017 Determination - Revenue'!G79*'2017 Determination - Revenue'!G91</f>
        <v>0</v>
      </c>
      <c r="H194" s="49"/>
      <c r="I194" s="36"/>
    </row>
    <row r="195" spans="2:9" x14ac:dyDescent="0.2">
      <c r="B195" s="48" t="str">
        <f>'2017 Determination - Revenue'!B$33</f>
        <v>Macquarie</v>
      </c>
      <c r="C195" s="43" t="str">
        <f>'2017 Determination - Revenue'!C$28</f>
        <v>$'000</v>
      </c>
      <c r="D195" s="43"/>
      <c r="E195" s="43"/>
      <c r="F195" s="36">
        <f>'2017 Determination - Revenue'!F80*'2017 Determination - Revenue'!F92</f>
        <v>0</v>
      </c>
      <c r="G195" s="36">
        <f>'2017 Determination - Revenue'!G80*'2017 Determination - Revenue'!G92</f>
        <v>0</v>
      </c>
      <c r="H195" s="49"/>
      <c r="I195" s="36"/>
    </row>
    <row r="196" spans="2:9" x14ac:dyDescent="0.2">
      <c r="B196" s="48" t="str">
        <f>'2017 Determination - Revenue'!B$34</f>
        <v>Murray</v>
      </c>
      <c r="C196" s="43" t="str">
        <f>'2017 Determination - Revenue'!C$28</f>
        <v>$'000</v>
      </c>
      <c r="D196" s="43"/>
      <c r="E196" s="43"/>
      <c r="F196" s="36">
        <f>'2017 Determination - Revenue'!F81*'2017 Determination - Revenue'!F93</f>
        <v>9335.214002069024</v>
      </c>
      <c r="G196" s="36">
        <f>'2017 Determination - Revenue'!G81*'2017 Determination - Revenue'!G93</f>
        <v>9335.214002069024</v>
      </c>
      <c r="H196" s="49"/>
    </row>
    <row r="197" spans="2:9" x14ac:dyDescent="0.2">
      <c r="B197" s="48" t="str">
        <f>'2017 Determination - Revenue'!B$35</f>
        <v>Murrumbidgee</v>
      </c>
      <c r="C197" s="43" t="str">
        <f>'2017 Determination - Revenue'!C$28</f>
        <v>$'000</v>
      </c>
      <c r="D197" s="43"/>
      <c r="E197" s="43"/>
      <c r="F197" s="36">
        <f>'2017 Determination - Revenue'!F82*'2017 Determination - Revenue'!F94</f>
        <v>2087.2332479145184</v>
      </c>
      <c r="G197" s="36">
        <f>'2017 Determination - Revenue'!G82*'2017 Determination - Revenue'!G94</f>
        <v>2087.2332479145184</v>
      </c>
      <c r="H197" s="49"/>
    </row>
    <row r="198" spans="2:9" x14ac:dyDescent="0.2">
      <c r="B198" s="48" t="str">
        <f>'2017 Determination - Revenue'!B$36</f>
        <v>Lowbidgee</v>
      </c>
      <c r="C198" s="43" t="str">
        <f>'2017 Determination - Revenue'!C$28</f>
        <v>$'000</v>
      </c>
      <c r="D198" s="43"/>
      <c r="E198" s="43"/>
      <c r="F198" s="36">
        <f>'2017 Determination - Revenue'!F83*'2017 Determination - Revenue'!F95</f>
        <v>0</v>
      </c>
      <c r="G198" s="36">
        <f>'2017 Determination - Revenue'!G83*'2017 Determination - Revenue'!G95</f>
        <v>0</v>
      </c>
      <c r="H198" s="49"/>
    </row>
    <row r="199" spans="2:9" x14ac:dyDescent="0.2">
      <c r="B199" s="88" t="s">
        <v>34</v>
      </c>
      <c r="C199" s="95"/>
      <c r="D199" s="95"/>
      <c r="E199" s="95"/>
      <c r="F199" s="89">
        <f>SUMPRODUCT('2017 Determination - Revenue'!F75:F83,'2017 Determination - Revenue'!F87:F95)-SUM(F190:F198)</f>
        <v>0</v>
      </c>
      <c r="G199" s="89">
        <f>SUMPRODUCT('2017 Determination - Revenue'!G75:G83,'2017 Determination - Revenue'!G87:G95)-SUM(G190:G198)</f>
        <v>0</v>
      </c>
      <c r="H199" s="49"/>
    </row>
    <row r="200" spans="2:9" x14ac:dyDescent="0.2">
      <c r="B200" s="48"/>
      <c r="C200" s="43"/>
      <c r="D200" s="43"/>
      <c r="E200" s="43"/>
      <c r="F200" s="57"/>
      <c r="G200" s="43"/>
      <c r="H200" s="49"/>
    </row>
    <row r="201" spans="2:9" x14ac:dyDescent="0.2">
      <c r="B201" s="55" t="s">
        <v>190</v>
      </c>
      <c r="C201" s="43"/>
      <c r="D201" s="43"/>
      <c r="E201" s="43"/>
      <c r="F201" s="57"/>
      <c r="G201" s="43"/>
      <c r="H201" s="49"/>
    </row>
    <row r="202" spans="2:9" x14ac:dyDescent="0.2">
      <c r="B202" s="48" t="str">
        <f>'2017 Determination - Revenue'!B$28</f>
        <v>Border</v>
      </c>
      <c r="C202" s="43" t="str">
        <f>'2017 Determination - Revenue'!C$28</f>
        <v>$'000</v>
      </c>
      <c r="D202" s="43"/>
      <c r="E202" s="43"/>
      <c r="F202" s="36">
        <f>'2017 Determination - Revenue'!F75*(1-'2017 Determination - Revenue'!F87)</f>
        <v>116.14938141657953</v>
      </c>
      <c r="G202" s="36">
        <f>'2017 Determination - Revenue'!G75*(1-'2017 Determination - Revenue'!G87)</f>
        <v>116.14938141657953</v>
      </c>
      <c r="H202" s="49"/>
    </row>
    <row r="203" spans="2:9" x14ac:dyDescent="0.2">
      <c r="B203" s="48" t="str">
        <f>'2017 Determination - Revenue'!B$29</f>
        <v>Gwydir</v>
      </c>
      <c r="C203" s="43" t="str">
        <f>'2017 Determination - Revenue'!C$28</f>
        <v>$'000</v>
      </c>
      <c r="D203" s="43"/>
      <c r="E203" s="43"/>
      <c r="F203" s="36">
        <f>'2017 Determination - Revenue'!F76*(1-'2017 Determination - Revenue'!F88)</f>
        <v>0</v>
      </c>
      <c r="G203" s="36">
        <f>'2017 Determination - Revenue'!G76*(1-'2017 Determination - Revenue'!G88)</f>
        <v>0</v>
      </c>
      <c r="H203" s="49"/>
    </row>
    <row r="204" spans="2:9" x14ac:dyDescent="0.2">
      <c r="B204" s="48" t="str">
        <f>'2017 Determination - Revenue'!B$30</f>
        <v>Namoi</v>
      </c>
      <c r="C204" s="43" t="str">
        <f>'2017 Determination - Revenue'!C$28</f>
        <v>$'000</v>
      </c>
      <c r="D204" s="43"/>
      <c r="E204" s="43"/>
      <c r="F204" s="36">
        <f>'2017 Determination - Revenue'!F77*(1-'2017 Determination - Revenue'!F89)</f>
        <v>0</v>
      </c>
      <c r="G204" s="36">
        <f>'2017 Determination - Revenue'!G77*(1-'2017 Determination - Revenue'!G89)</f>
        <v>0</v>
      </c>
      <c r="H204" s="49"/>
    </row>
    <row r="205" spans="2:9" x14ac:dyDescent="0.2">
      <c r="B205" s="48" t="str">
        <f>'2017 Determination - Revenue'!B$31</f>
        <v>Peel</v>
      </c>
      <c r="C205" s="43" t="str">
        <f>'2017 Determination - Revenue'!C$28</f>
        <v>$'000</v>
      </c>
      <c r="D205" s="43"/>
      <c r="E205" s="43"/>
      <c r="F205" s="36">
        <f>'2017 Determination - Revenue'!F78*(1-'2017 Determination - Revenue'!F90)</f>
        <v>0</v>
      </c>
      <c r="G205" s="36">
        <f>'2017 Determination - Revenue'!G78*(1-'2017 Determination - Revenue'!G90)</f>
        <v>0</v>
      </c>
      <c r="H205" s="49"/>
    </row>
    <row r="206" spans="2:9" x14ac:dyDescent="0.2">
      <c r="B206" s="48" t="str">
        <f>'2017 Determination - Revenue'!B$32</f>
        <v>Lachlan</v>
      </c>
      <c r="C206" s="43" t="str">
        <f>'2017 Determination - Revenue'!C$28</f>
        <v>$'000</v>
      </c>
      <c r="D206" s="43"/>
      <c r="E206" s="43"/>
      <c r="F206" s="36">
        <f>'2017 Determination - Revenue'!F79*(1-'2017 Determination - Revenue'!F91)</f>
        <v>0</v>
      </c>
      <c r="G206" s="36">
        <f>'2017 Determination - Revenue'!G79*(1-'2017 Determination - Revenue'!G91)</f>
        <v>0</v>
      </c>
      <c r="H206" s="49"/>
    </row>
    <row r="207" spans="2:9" x14ac:dyDescent="0.2">
      <c r="B207" s="48" t="str">
        <f>'2017 Determination - Revenue'!B$33</f>
        <v>Macquarie</v>
      </c>
      <c r="C207" s="43" t="str">
        <f>'2017 Determination - Revenue'!C$28</f>
        <v>$'000</v>
      </c>
      <c r="D207" s="43"/>
      <c r="E207" s="43"/>
      <c r="F207" s="36">
        <f>'2017 Determination - Revenue'!F80*(1-'2017 Determination - Revenue'!F92)</f>
        <v>0</v>
      </c>
      <c r="G207" s="36">
        <f>'2017 Determination - Revenue'!G80*(1-'2017 Determination - Revenue'!G92)</f>
        <v>0</v>
      </c>
      <c r="H207" s="49"/>
    </row>
    <row r="208" spans="2:9" x14ac:dyDescent="0.2">
      <c r="B208" s="48" t="str">
        <f>'2017 Determination - Revenue'!B$34</f>
        <v>Murray</v>
      </c>
      <c r="C208" s="43" t="str">
        <f>'2017 Determination - Revenue'!C$28</f>
        <v>$'000</v>
      </c>
      <c r="D208" s="43"/>
      <c r="E208" s="43"/>
      <c r="F208" s="36">
        <f>'2017 Determination - Revenue'!F81*(1-'2017 Determination - Revenue'!F93)</f>
        <v>2333.8035005172551</v>
      </c>
      <c r="G208" s="36">
        <f>'2017 Determination - Revenue'!G81*(1-'2017 Determination - Revenue'!G93)</f>
        <v>2333.8035005172551</v>
      </c>
      <c r="H208" s="49"/>
    </row>
    <row r="209" spans="2:8" x14ac:dyDescent="0.2">
      <c r="B209" s="48" t="str">
        <f>'2017 Determination - Revenue'!B$35</f>
        <v>Murrumbidgee</v>
      </c>
      <c r="C209" s="43" t="str">
        <f>'2017 Determination - Revenue'!C$28</f>
        <v>$'000</v>
      </c>
      <c r="D209" s="43"/>
      <c r="E209" s="43"/>
      <c r="F209" s="36">
        <f>'2017 Determination - Revenue'!F82*(1-'2017 Determination - Revenue'!F94)</f>
        <v>521.80831197862949</v>
      </c>
      <c r="G209" s="36">
        <f>'2017 Determination - Revenue'!G82*(1-'2017 Determination - Revenue'!G94)</f>
        <v>521.80831197862949</v>
      </c>
      <c r="H209" s="49"/>
    </row>
    <row r="210" spans="2:8" x14ac:dyDescent="0.2">
      <c r="B210" s="48" t="str">
        <f>'2017 Determination - Revenue'!B$36</f>
        <v>Lowbidgee</v>
      </c>
      <c r="C210" s="43" t="str">
        <f>'2017 Determination - Revenue'!C$28</f>
        <v>$'000</v>
      </c>
      <c r="D210" s="43"/>
      <c r="E210" s="43"/>
      <c r="F210" s="36">
        <f>'2017 Determination - Revenue'!F83*(1-'2017 Determination - Revenue'!F95)</f>
        <v>0</v>
      </c>
      <c r="G210" s="36">
        <f>'2017 Determination - Revenue'!G83*(1-'2017 Determination - Revenue'!G95)</f>
        <v>0</v>
      </c>
      <c r="H210" s="49"/>
    </row>
    <row r="211" spans="2:8" x14ac:dyDescent="0.2">
      <c r="B211" s="88" t="s">
        <v>34</v>
      </c>
      <c r="C211" s="43"/>
      <c r="D211" s="43"/>
      <c r="E211" s="43"/>
      <c r="F211" s="89">
        <f>SUMPRODUCT('2017 Determination - Revenue'!F75:F83,(1-'2017 Determination - Revenue'!F87:F95))-SUM(F202:F210)</f>
        <v>0</v>
      </c>
      <c r="G211" s="89">
        <f>SUMPRODUCT('2017 Determination - Revenue'!G75:G83,(1-'2017 Determination - Revenue'!G87:G95))-SUM(G202:G210)</f>
        <v>0</v>
      </c>
      <c r="H211" s="49"/>
    </row>
    <row r="212" spans="2:8" x14ac:dyDescent="0.2">
      <c r="B212" s="48"/>
      <c r="C212" s="43"/>
      <c r="D212" s="43"/>
      <c r="E212" s="43"/>
      <c r="F212" s="57"/>
      <c r="G212" s="43"/>
      <c r="H212" s="49"/>
    </row>
    <row r="213" spans="2:8" x14ac:dyDescent="0.2">
      <c r="B213" s="50"/>
      <c r="C213" s="41"/>
      <c r="D213" s="41"/>
      <c r="E213" s="41"/>
      <c r="F213" s="63"/>
      <c r="G213" s="41"/>
      <c r="H213" s="5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8"/>
  <sheetViews>
    <sheetView showGridLines="0" zoomScaleNormal="100" workbookViewId="0"/>
  </sheetViews>
  <sheetFormatPr defaultRowHeight="12" x14ac:dyDescent="0.2"/>
  <cols>
    <col min="1" max="1" width="5.7109375" style="37" customWidth="1"/>
    <col min="2" max="2" width="40.7109375" style="37" customWidth="1"/>
    <col min="3" max="3" width="9" style="37" customWidth="1"/>
    <col min="4" max="5" width="5.7109375" style="37" customWidth="1"/>
    <col min="6" max="7" width="22.85546875" style="37" customWidth="1"/>
    <col min="8" max="8" width="5.7109375" style="37" customWidth="1"/>
    <col min="9" max="9" width="11.85546875" style="37" bestFit="1" customWidth="1"/>
    <col min="10" max="16384" width="9.140625" style="37"/>
  </cols>
  <sheetData>
    <row r="2" spans="2:10" ht="18" x14ac:dyDescent="0.25">
      <c r="B2" s="40" t="s">
        <v>134</v>
      </c>
    </row>
    <row r="3" spans="2:10" x14ac:dyDescent="0.2">
      <c r="B3" s="93" t="s">
        <v>135</v>
      </c>
    </row>
    <row r="5" spans="2:10" x14ac:dyDescent="0.2">
      <c r="B5" s="41" t="s">
        <v>28</v>
      </c>
      <c r="C5" s="41"/>
      <c r="D5" s="41"/>
      <c r="E5" s="42" t="s">
        <v>29</v>
      </c>
    </row>
    <row r="6" spans="2:10" x14ac:dyDescent="0.2">
      <c r="B6" s="37" t="str">
        <f>B10</f>
        <v>TABLE 6.1 - FISH RIVER USAGE AND MAQ VALUES</v>
      </c>
      <c r="E6" s="37">
        <f>ROW(B10)</f>
        <v>10</v>
      </c>
    </row>
    <row r="7" spans="2:10" x14ac:dyDescent="0.2">
      <c r="B7" s="41" t="str">
        <f>B39</f>
        <v>TABLE 6.2 - FISH RIVER REQUIRED REVENUE CALCULATIONS</v>
      </c>
      <c r="C7" s="41"/>
      <c r="D7" s="41"/>
      <c r="E7" s="41">
        <f>ROW(B39)</f>
        <v>39</v>
      </c>
    </row>
    <row r="10" spans="2:10" x14ac:dyDescent="0.2">
      <c r="B10" s="38" t="s">
        <v>133</v>
      </c>
      <c r="C10" s="43"/>
      <c r="D10" s="43"/>
      <c r="E10" s="60"/>
      <c r="F10" s="60"/>
      <c r="G10" s="60"/>
      <c r="H10" s="43"/>
    </row>
    <row r="11" spans="2:10" x14ac:dyDescent="0.2">
      <c r="B11" s="45" t="str">
        <f>'2017 Determination - Revenue'!B$15</f>
        <v>Financial year ending 30 June</v>
      </c>
      <c r="C11" s="46" t="str">
        <f>'2017 Determination - Revenue'!C$15</f>
        <v>Units</v>
      </c>
      <c r="D11" s="46"/>
      <c r="E11" s="46"/>
      <c r="F11" s="86" t="str">
        <f>'2017 Determination - Revenue'!F$16</f>
        <v>2017-18</v>
      </c>
      <c r="G11" s="86" t="str">
        <f>'2017 Determination - Revenue'!G$16</f>
        <v>2018-19</v>
      </c>
      <c r="H11" s="47"/>
    </row>
    <row r="12" spans="2:10" x14ac:dyDescent="0.2">
      <c r="B12" s="48"/>
      <c r="C12" s="43"/>
      <c r="D12" s="43"/>
      <c r="E12" s="43"/>
      <c r="F12" s="54"/>
      <c r="G12" s="54"/>
      <c r="H12" s="49"/>
    </row>
    <row r="13" spans="2:10" x14ac:dyDescent="0.2">
      <c r="B13" s="55" t="s">
        <v>56</v>
      </c>
      <c r="C13" s="43"/>
      <c r="D13" s="43"/>
      <c r="E13" s="43"/>
      <c r="F13" s="60"/>
      <c r="G13" s="60"/>
      <c r="H13" s="49"/>
    </row>
    <row r="14" spans="2:10" x14ac:dyDescent="0.2">
      <c r="B14" s="87" t="str">
        <f>'Updated Volumes'!B$31</f>
        <v xml:space="preserve">Energy Australia </v>
      </c>
      <c r="C14" s="43" t="str">
        <f>'Updated Volumes'!$C$20</f>
        <v>ML</v>
      </c>
      <c r="D14" s="43"/>
      <c r="E14" s="43"/>
      <c r="F14" s="149">
        <f>'Updated Volumes'!AA124</f>
        <v>8184</v>
      </c>
      <c r="G14" s="149">
        <f>'Updated Volumes'!AB124</f>
        <v>8184</v>
      </c>
      <c r="H14" s="49"/>
    </row>
    <row r="15" spans="2:10" s="148" customFormat="1" x14ac:dyDescent="0.2">
      <c r="B15" s="87" t="str">
        <f>'Updated Volumes'!B$32</f>
        <v xml:space="preserve">Minor customers (raw) </v>
      </c>
      <c r="C15" s="43" t="str">
        <f>'Updated Volumes'!$C$20</f>
        <v>ML</v>
      </c>
      <c r="D15" s="43"/>
      <c r="E15" s="43"/>
      <c r="F15" s="149">
        <f>'Updated Volumes'!AA125</f>
        <v>16.600000000000001</v>
      </c>
      <c r="G15" s="149">
        <f>'Updated Volumes'!AB125</f>
        <v>16.600000000000001</v>
      </c>
      <c r="H15" s="49"/>
    </row>
    <row r="16" spans="2:10" x14ac:dyDescent="0.2">
      <c r="B16" s="87" t="str">
        <f>'Updated Volumes'!B$33</f>
        <v xml:space="preserve">Minor customers (filtered) </v>
      </c>
      <c r="C16" s="43" t="str">
        <f>'Updated Volumes'!$C$20</f>
        <v>ML</v>
      </c>
      <c r="D16" s="43"/>
      <c r="E16" s="43"/>
      <c r="F16" s="149">
        <f>'Updated Volumes'!AA126</f>
        <v>43.2</v>
      </c>
      <c r="G16" s="149">
        <f>'Updated Volumes'!AB126</f>
        <v>44.8</v>
      </c>
      <c r="H16" s="49"/>
      <c r="J16" s="148"/>
    </row>
    <row r="17" spans="2:10" x14ac:dyDescent="0.2">
      <c r="B17" s="55"/>
      <c r="C17" s="43"/>
      <c r="D17" s="43"/>
      <c r="E17" s="43"/>
      <c r="F17" s="149"/>
      <c r="G17" s="149"/>
      <c r="H17" s="49"/>
      <c r="J17" s="148"/>
    </row>
    <row r="18" spans="2:10" x14ac:dyDescent="0.2">
      <c r="B18" s="55" t="s">
        <v>52</v>
      </c>
      <c r="C18" s="43"/>
      <c r="D18" s="43"/>
      <c r="E18" s="43"/>
      <c r="F18" s="149"/>
      <c r="G18" s="149"/>
      <c r="H18" s="49"/>
      <c r="J18" s="148"/>
    </row>
    <row r="19" spans="2:10" s="148" customFormat="1" x14ac:dyDescent="0.2">
      <c r="B19" s="102" t="s">
        <v>159</v>
      </c>
      <c r="C19" s="43"/>
      <c r="D19" s="43"/>
      <c r="E19" s="43"/>
      <c r="F19" s="149"/>
      <c r="G19" s="149"/>
      <c r="H19" s="49"/>
    </row>
    <row r="20" spans="2:10" ht="12" customHeight="1" x14ac:dyDescent="0.2">
      <c r="B20" s="87" t="str">
        <f>'Updated Volumes'!B$31</f>
        <v xml:space="preserve">Energy Australia </v>
      </c>
      <c r="C20" s="43" t="str">
        <f>'Updated Volumes'!$C$20</f>
        <v>ML</v>
      </c>
      <c r="D20" s="43"/>
      <c r="E20" s="43"/>
      <c r="F20" s="149">
        <f>AVERAGE('Updated Volumes'!F31:Y31)/1000</f>
        <v>1540.5643749999999</v>
      </c>
      <c r="G20" s="149">
        <f>AVERAGE('Updated Volumes'!G31:Z31)/1000</f>
        <v>1540.5064705882353</v>
      </c>
      <c r="H20" s="49"/>
      <c r="J20" s="148"/>
    </row>
    <row r="21" spans="2:10" s="148" customFormat="1" ht="12" customHeight="1" x14ac:dyDescent="0.2">
      <c r="B21" s="87" t="str">
        <f>'Updated Volumes'!B$32</f>
        <v xml:space="preserve">Minor customers (raw) </v>
      </c>
      <c r="C21" s="43" t="str">
        <f>'Updated Volumes'!$C$20</f>
        <v>ML</v>
      </c>
      <c r="D21" s="43"/>
      <c r="E21" s="43"/>
      <c r="F21" s="149">
        <f>AVERAGE('Updated Volumes'!F32:Y32)</f>
        <v>50.254849999999998</v>
      </c>
      <c r="G21" s="149">
        <f>AVERAGE('Updated Volumes'!G32:Z32)</f>
        <v>50.194849999999995</v>
      </c>
      <c r="H21" s="49"/>
    </row>
    <row r="22" spans="2:10" x14ac:dyDescent="0.2">
      <c r="B22" s="87" t="str">
        <f>'Updated Volumes'!B$33</f>
        <v xml:space="preserve">Minor customers (filtered) </v>
      </c>
      <c r="C22" s="43" t="str">
        <f>'Updated Volumes'!$C$20</f>
        <v>ML</v>
      </c>
      <c r="D22" s="43"/>
      <c r="E22" s="43"/>
      <c r="F22" s="149">
        <f>AVERAGE('Updated Volumes'!F33:Y33)</f>
        <v>116.3412</v>
      </c>
      <c r="G22" s="149">
        <f>AVERAGE('Updated Volumes'!G33:Z33)</f>
        <v>110.32415</v>
      </c>
      <c r="H22" s="49"/>
    </row>
    <row r="23" spans="2:10" x14ac:dyDescent="0.2">
      <c r="B23" s="55"/>
      <c r="C23" s="43"/>
      <c r="D23" s="43"/>
      <c r="E23" s="43"/>
      <c r="F23" s="149"/>
      <c r="G23" s="149"/>
      <c r="H23" s="49"/>
    </row>
    <row r="24" spans="2:10" s="148" customFormat="1" x14ac:dyDescent="0.2">
      <c r="B24" s="55" t="s">
        <v>79</v>
      </c>
      <c r="C24" s="43"/>
      <c r="D24" s="43"/>
      <c r="E24" s="43"/>
      <c r="F24" s="149"/>
      <c r="G24" s="149"/>
      <c r="H24" s="49"/>
    </row>
    <row r="25" spans="2:10" s="148" customFormat="1" x14ac:dyDescent="0.2">
      <c r="B25" s="87" t="str">
        <f>'Updated Volumes'!B$31</f>
        <v xml:space="preserve">Energy Australia </v>
      </c>
      <c r="C25" s="43" t="str">
        <f>'Updated Volumes'!$C$20</f>
        <v>ML</v>
      </c>
      <c r="D25" s="43"/>
      <c r="E25" s="43"/>
      <c r="F25" s="149">
        <f t="shared" ref="F25:G27" si="0">IF(F20&gt;F14,F14,F20)</f>
        <v>1540.5643749999999</v>
      </c>
      <c r="G25" s="149">
        <f t="shared" si="0"/>
        <v>1540.5064705882353</v>
      </c>
      <c r="H25" s="49"/>
    </row>
    <row r="26" spans="2:10" s="148" customFormat="1" x14ac:dyDescent="0.2">
      <c r="B26" s="87" t="str">
        <f>'Updated Volumes'!B$32</f>
        <v xml:space="preserve">Minor customers (raw) </v>
      </c>
      <c r="C26" s="43" t="str">
        <f>'Updated Volumes'!$C$20</f>
        <v>ML</v>
      </c>
      <c r="D26" s="43"/>
      <c r="E26" s="43"/>
      <c r="F26" s="149">
        <f t="shared" si="0"/>
        <v>16.600000000000001</v>
      </c>
      <c r="G26" s="149">
        <f t="shared" si="0"/>
        <v>16.600000000000001</v>
      </c>
      <c r="H26" s="49"/>
    </row>
    <row r="27" spans="2:10" s="148" customFormat="1" x14ac:dyDescent="0.2">
      <c r="B27" s="87" t="str">
        <f>'Updated Volumes'!B$33</f>
        <v xml:space="preserve">Minor customers (filtered) </v>
      </c>
      <c r="C27" s="43" t="str">
        <f>'Updated Volumes'!$C$20</f>
        <v>ML</v>
      </c>
      <c r="D27" s="43"/>
      <c r="E27" s="43"/>
      <c r="F27" s="149">
        <f t="shared" si="0"/>
        <v>43.2</v>
      </c>
      <c r="G27" s="149">
        <f t="shared" si="0"/>
        <v>44.8</v>
      </c>
      <c r="H27" s="49"/>
    </row>
    <row r="28" spans="2:10" s="148" customFormat="1" x14ac:dyDescent="0.2">
      <c r="B28" s="55"/>
      <c r="C28" s="43"/>
      <c r="D28" s="43"/>
      <c r="E28" s="43"/>
      <c r="F28" s="149"/>
      <c r="G28" s="149"/>
      <c r="H28" s="49"/>
    </row>
    <row r="29" spans="2:10" s="148" customFormat="1" x14ac:dyDescent="0.2">
      <c r="B29" s="55" t="s">
        <v>80</v>
      </c>
      <c r="C29" s="43"/>
      <c r="D29" s="43"/>
      <c r="E29" s="43"/>
      <c r="F29" s="149"/>
      <c r="G29" s="149"/>
      <c r="H29" s="49"/>
    </row>
    <row r="30" spans="2:10" s="148" customFormat="1" x14ac:dyDescent="0.2">
      <c r="B30" s="87" t="str">
        <f>'Updated Volumes'!B$31</f>
        <v xml:space="preserve">Energy Australia </v>
      </c>
      <c r="C30" s="43" t="str">
        <f>'Updated Volumes'!$C$20</f>
        <v>ML</v>
      </c>
      <c r="D30" s="43"/>
      <c r="E30" s="43"/>
      <c r="F30" s="149">
        <f t="shared" ref="F30:G32" si="1">IF(F20&lt;F14,0,F20-F14)</f>
        <v>0</v>
      </c>
      <c r="G30" s="149">
        <f t="shared" si="1"/>
        <v>0</v>
      </c>
      <c r="H30" s="49"/>
    </row>
    <row r="31" spans="2:10" s="148" customFormat="1" x14ac:dyDescent="0.2">
      <c r="B31" s="87" t="str">
        <f>'Updated Volumes'!B$32</f>
        <v xml:space="preserve">Minor customers (raw) </v>
      </c>
      <c r="C31" s="43" t="str">
        <f>'Updated Volumes'!$C$20</f>
        <v>ML</v>
      </c>
      <c r="D31" s="43"/>
      <c r="E31" s="43"/>
      <c r="F31" s="149">
        <f t="shared" si="1"/>
        <v>33.654849999999996</v>
      </c>
      <c r="G31" s="149">
        <f t="shared" si="1"/>
        <v>33.594849999999994</v>
      </c>
      <c r="H31" s="49"/>
    </row>
    <row r="32" spans="2:10" s="148" customFormat="1" x14ac:dyDescent="0.2">
      <c r="B32" s="87" t="str">
        <f>'Updated Volumes'!B$33</f>
        <v xml:space="preserve">Minor customers (filtered) </v>
      </c>
      <c r="C32" s="43" t="str">
        <f>'Updated Volumes'!$C$20</f>
        <v>ML</v>
      </c>
      <c r="D32" s="43"/>
      <c r="E32" s="43"/>
      <c r="F32" s="149">
        <f t="shared" si="1"/>
        <v>73.141199999999998</v>
      </c>
      <c r="G32" s="149">
        <f t="shared" si="1"/>
        <v>65.524150000000006</v>
      </c>
      <c r="H32" s="49"/>
    </row>
    <row r="33" spans="2:9" s="148" customFormat="1" x14ac:dyDescent="0.2">
      <c r="B33" s="88" t="s">
        <v>34</v>
      </c>
      <c r="C33" s="43"/>
      <c r="D33" s="43"/>
      <c r="E33" s="43"/>
      <c r="F33" s="154">
        <f>F25+F30-F20</f>
        <v>0</v>
      </c>
      <c r="G33" s="154">
        <f>G25+G30-G20</f>
        <v>0</v>
      </c>
      <c r="H33" s="49"/>
    </row>
    <row r="34" spans="2:9" s="148" customFormat="1" x14ac:dyDescent="0.2">
      <c r="B34" s="88" t="s">
        <v>34</v>
      </c>
      <c r="C34" s="43"/>
      <c r="D34" s="43"/>
      <c r="E34" s="43"/>
      <c r="F34" s="154">
        <f>F27+F32-F22</f>
        <v>0</v>
      </c>
      <c r="G34" s="154">
        <f>G27+G32-G22</f>
        <v>0</v>
      </c>
      <c r="H34" s="49"/>
    </row>
    <row r="35" spans="2:9" s="148" customFormat="1" x14ac:dyDescent="0.2">
      <c r="B35" s="88" t="s">
        <v>34</v>
      </c>
      <c r="C35" s="43"/>
      <c r="D35" s="43"/>
      <c r="E35" s="43"/>
      <c r="F35" s="154">
        <f>F26+F31-F21</f>
        <v>0</v>
      </c>
      <c r="G35" s="154">
        <f>G26+G31-G21</f>
        <v>0</v>
      </c>
      <c r="H35" s="49"/>
    </row>
    <row r="36" spans="2:9" x14ac:dyDescent="0.2">
      <c r="B36" s="50"/>
      <c r="C36" s="41"/>
      <c r="D36" s="41"/>
      <c r="E36" s="41"/>
      <c r="F36" s="41"/>
      <c r="G36" s="41"/>
      <c r="H36" s="51"/>
    </row>
    <row r="39" spans="2:9" x14ac:dyDescent="0.2">
      <c r="B39" s="38" t="s">
        <v>176</v>
      </c>
    </row>
    <row r="40" spans="2:9" x14ac:dyDescent="0.2">
      <c r="B40" s="45" t="str">
        <f>'2017 Determination - Revenue'!B$15</f>
        <v>Financial year ending 30 June</v>
      </c>
      <c r="C40" s="46" t="str">
        <f>'2017 Determination - Revenue'!C$15</f>
        <v>Units</v>
      </c>
      <c r="D40" s="46"/>
      <c r="E40" s="46"/>
      <c r="F40" s="86" t="str">
        <f>'2017 Determination - Revenue'!F$16</f>
        <v>2017-18</v>
      </c>
      <c r="G40" s="86" t="str">
        <f>'2017 Determination - Revenue'!G$16</f>
        <v>2018-19</v>
      </c>
      <c r="H40" s="47"/>
    </row>
    <row r="41" spans="2:9" x14ac:dyDescent="0.2">
      <c r="B41" s="48"/>
      <c r="C41" s="43"/>
      <c r="D41" s="43"/>
      <c r="E41" s="43"/>
      <c r="F41" s="54"/>
      <c r="G41" s="54"/>
      <c r="H41" s="49"/>
    </row>
    <row r="42" spans="2:9" x14ac:dyDescent="0.2">
      <c r="B42" s="55" t="s">
        <v>49</v>
      </c>
      <c r="C42" s="43"/>
      <c r="D42" s="43"/>
      <c r="E42" s="43"/>
      <c r="F42" s="43"/>
      <c r="G42" s="43"/>
      <c r="H42" s="49"/>
    </row>
    <row r="43" spans="2:9" ht="12" customHeight="1" x14ac:dyDescent="0.2">
      <c r="B43" s="87" t="str">
        <f>'Updated Volumes'!B$31</f>
        <v xml:space="preserve">Energy Australia </v>
      </c>
      <c r="C43" s="43" t="str">
        <f>'2017 Determination - Revenue'!$C$28</f>
        <v>$'000</v>
      </c>
      <c r="D43" s="43"/>
      <c r="E43" s="43"/>
      <c r="F43" s="141">
        <f>F14*Outputs!F148</f>
        <v>3205.1166405710242</v>
      </c>
      <c r="G43" s="141">
        <f>F43</f>
        <v>3205.1166405710242</v>
      </c>
      <c r="H43" s="49"/>
      <c r="I43" s="67"/>
    </row>
    <row r="44" spans="2:9" s="148" customFormat="1" ht="12" customHeight="1" x14ac:dyDescent="0.2">
      <c r="B44" s="87" t="str">
        <f>'Updated Volumes'!B$32</f>
        <v xml:space="preserve">Minor customers (raw) </v>
      </c>
      <c r="C44" s="43" t="str">
        <f>'2017 Determination - Revenue'!$C$28</f>
        <v>$'000</v>
      </c>
      <c r="D44" s="43"/>
      <c r="E44" s="43"/>
      <c r="F44" s="141">
        <f>F15*Outputs!F149</f>
        <v>6.5010919151367306</v>
      </c>
      <c r="G44" s="141">
        <f>F44</f>
        <v>6.5010919151367306</v>
      </c>
      <c r="H44" s="49"/>
      <c r="I44" s="142"/>
    </row>
    <row r="45" spans="2:9" x14ac:dyDescent="0.2">
      <c r="B45" s="87" t="str">
        <f>'Updated Volumes'!B$33</f>
        <v xml:space="preserve">Minor customers (filtered) </v>
      </c>
      <c r="C45" s="43" t="str">
        <f>'2017 Determination - Revenue'!$C$28</f>
        <v>$'000</v>
      </c>
      <c r="D45" s="43"/>
      <c r="E45" s="43"/>
      <c r="F45" s="141">
        <f>F16*Outputs!F150</f>
        <v>32.747340999770906</v>
      </c>
      <c r="G45" s="141">
        <f t="shared" ref="G45" si="2">F45</f>
        <v>32.747340999770906</v>
      </c>
      <c r="H45" s="49"/>
      <c r="I45" s="141"/>
    </row>
    <row r="46" spans="2:9" x14ac:dyDescent="0.2">
      <c r="B46" s="48"/>
      <c r="C46" s="43"/>
      <c r="D46" s="43"/>
      <c r="E46" s="43"/>
      <c r="F46" s="141"/>
      <c r="G46" s="141"/>
      <c r="H46" s="49"/>
    </row>
    <row r="47" spans="2:9" x14ac:dyDescent="0.2">
      <c r="B47" s="55" t="s">
        <v>50</v>
      </c>
      <c r="C47" s="43"/>
      <c r="D47" s="43"/>
      <c r="E47" s="43"/>
      <c r="F47" s="141"/>
      <c r="G47" s="141"/>
      <c r="H47" s="49"/>
    </row>
    <row r="48" spans="2:9" x14ac:dyDescent="0.2">
      <c r="B48" s="87" t="str">
        <f>'Updated Volumes'!B$31</f>
        <v xml:space="preserve">Energy Australia </v>
      </c>
      <c r="C48" s="43" t="str">
        <f>'2017 Determination - Revenue'!$C$28</f>
        <v>$'000</v>
      </c>
      <c r="D48" s="43"/>
      <c r="E48" s="43"/>
      <c r="F48" s="141">
        <f>IF(F20&lt;F14,F20*Outputs!F153,F14*Outputs!F153)</f>
        <v>377.08316717166326</v>
      </c>
      <c r="G48" s="141">
        <f>F48</f>
        <v>377.08316717166326</v>
      </c>
      <c r="H48" s="49"/>
    </row>
    <row r="49" spans="2:8" s="148" customFormat="1" x14ac:dyDescent="0.2">
      <c r="B49" s="87" t="str">
        <f>'Updated Volumes'!B$32</f>
        <v xml:space="preserve">Minor customers (raw) </v>
      </c>
      <c r="C49" s="43" t="str">
        <f>'2017 Determination - Revenue'!$C$28</f>
        <v>$'000</v>
      </c>
      <c r="D49" s="43"/>
      <c r="E49" s="43"/>
      <c r="F49" s="141">
        <f>IF(F21&lt;F15,F21*Outputs!F154,F15*Outputs!F154)</f>
        <v>4.0631736502732068</v>
      </c>
      <c r="G49" s="141">
        <f>F49</f>
        <v>4.0631736502732068</v>
      </c>
      <c r="H49" s="49"/>
    </row>
    <row r="50" spans="2:8" x14ac:dyDescent="0.2">
      <c r="B50" s="87" t="str">
        <f>'Updated Volumes'!B$33</f>
        <v xml:space="preserve">Minor customers (filtered) </v>
      </c>
      <c r="C50" s="43" t="str">
        <f>'2017 Determination - Revenue'!$C$28</f>
        <v>$'000</v>
      </c>
      <c r="D50" s="43"/>
      <c r="E50" s="43"/>
      <c r="F50" s="141">
        <f>IF(F22&lt;F16,F22*Outputs!F155,F16*Outputs!F155)</f>
        <v>19.723023508711158</v>
      </c>
      <c r="G50" s="141">
        <f t="shared" ref="G50" si="3">F50</f>
        <v>19.723023508711158</v>
      </c>
      <c r="H50" s="49"/>
    </row>
    <row r="51" spans="2:8" x14ac:dyDescent="0.2">
      <c r="B51" s="88"/>
      <c r="C51" s="43"/>
      <c r="D51" s="43"/>
      <c r="E51" s="43"/>
      <c r="F51" s="141"/>
      <c r="G51" s="141"/>
      <c r="H51" s="49"/>
    </row>
    <row r="52" spans="2:8" x14ac:dyDescent="0.2">
      <c r="B52" s="55" t="s">
        <v>51</v>
      </c>
      <c r="C52" s="43"/>
      <c r="D52" s="43"/>
      <c r="E52" s="43"/>
      <c r="F52" s="141"/>
      <c r="G52" s="141"/>
      <c r="H52" s="49"/>
    </row>
    <row r="53" spans="2:8" x14ac:dyDescent="0.2">
      <c r="B53" s="87" t="str">
        <f>'Updated Volumes'!B$31</f>
        <v xml:space="preserve">Energy Australia </v>
      </c>
      <c r="C53" s="43" t="str">
        <f>'2017 Determination - Revenue'!$C$28</f>
        <v>$'000</v>
      </c>
      <c r="D53" s="43"/>
      <c r="E53" s="43"/>
      <c r="F53" s="141">
        <f>IF(F20&lt;F14,0,((F20-F14)*Outputs!F158))</f>
        <v>0</v>
      </c>
      <c r="G53" s="141">
        <f>F53</f>
        <v>0</v>
      </c>
      <c r="H53" s="49"/>
    </row>
    <row r="54" spans="2:8" s="148" customFormat="1" x14ac:dyDescent="0.2">
      <c r="B54" s="87" t="str">
        <f>'Updated Volumes'!B$32</f>
        <v xml:space="preserve">Minor customers (raw) </v>
      </c>
      <c r="C54" s="43" t="str">
        <f>'2017 Determination - Revenue'!$C$28</f>
        <v>$'000</v>
      </c>
      <c r="D54" s="43"/>
      <c r="E54" s="43"/>
      <c r="F54" s="141">
        <f>IF(F21&lt;F15,0,((F21-F15)*Outputs!F159))</f>
        <v>21.202555499999999</v>
      </c>
      <c r="G54" s="141">
        <f>F54</f>
        <v>21.202555499999999</v>
      </c>
      <c r="H54" s="49"/>
    </row>
    <row r="55" spans="2:8" x14ac:dyDescent="0.2">
      <c r="B55" s="87" t="str">
        <f>'Updated Volumes'!B$33</f>
        <v xml:space="preserve">Minor customers (filtered) </v>
      </c>
      <c r="C55" s="43" t="str">
        <f>'2017 Determination - Revenue'!$C$28</f>
        <v>$'000</v>
      </c>
      <c r="D55" s="43"/>
      <c r="E55" s="43"/>
      <c r="F55" s="141">
        <f>IF(F22&lt;F16,0,((F22-F16)*Outputs!F160))</f>
        <v>89.232264000000001</v>
      </c>
      <c r="G55" s="141">
        <f t="shared" ref="G55" si="4">F55</f>
        <v>89.232264000000001</v>
      </c>
      <c r="H55" s="49"/>
    </row>
    <row r="56" spans="2:8" x14ac:dyDescent="0.2">
      <c r="B56" s="48"/>
      <c r="C56" s="43"/>
      <c r="D56" s="43"/>
      <c r="E56" s="43"/>
      <c r="F56" s="141"/>
      <c r="G56" s="141"/>
      <c r="H56" s="49"/>
    </row>
    <row r="57" spans="2:8" x14ac:dyDescent="0.2">
      <c r="B57" s="55" t="s">
        <v>57</v>
      </c>
      <c r="C57" s="43"/>
      <c r="D57" s="43"/>
      <c r="E57" s="43"/>
      <c r="F57" s="141"/>
      <c r="G57" s="141"/>
      <c r="H57" s="49"/>
    </row>
    <row r="58" spans="2:8" x14ac:dyDescent="0.2">
      <c r="B58" s="87" t="str">
        <f>'Updated Volumes'!B$31</f>
        <v xml:space="preserve">Energy Australia </v>
      </c>
      <c r="C58" s="43" t="str">
        <f>'2017 Determination - Revenue'!$C$28</f>
        <v>$'000</v>
      </c>
      <c r="D58" s="43"/>
      <c r="E58" s="43"/>
      <c r="F58" s="141">
        <f>F43+F48+F53</f>
        <v>3582.1998077426874</v>
      </c>
      <c r="G58" s="141">
        <f>F58</f>
        <v>3582.1998077426874</v>
      </c>
      <c r="H58" s="49"/>
    </row>
    <row r="59" spans="2:8" s="148" customFormat="1" x14ac:dyDescent="0.2">
      <c r="B59" s="87" t="str">
        <f>'Updated Volumes'!B$32</f>
        <v xml:space="preserve">Minor customers (raw) </v>
      </c>
      <c r="C59" s="43" t="str">
        <f>'2017 Determination - Revenue'!$C$28</f>
        <v>$'000</v>
      </c>
      <c r="D59" s="43"/>
      <c r="E59" s="43"/>
      <c r="F59" s="141">
        <f>F44+F49+F54</f>
        <v>31.766821065409935</v>
      </c>
      <c r="G59" s="141">
        <f>F59</f>
        <v>31.766821065409935</v>
      </c>
      <c r="H59" s="49"/>
    </row>
    <row r="60" spans="2:8" x14ac:dyDescent="0.2">
      <c r="B60" s="87" t="str">
        <f>'Updated Volumes'!B$33</f>
        <v xml:space="preserve">Minor customers (filtered) </v>
      </c>
      <c r="C60" s="43" t="str">
        <f>'2017 Determination - Revenue'!$C$28</f>
        <v>$'000</v>
      </c>
      <c r="D60" s="43"/>
      <c r="E60" s="43"/>
      <c r="F60" s="141">
        <f>F45+F50+F55</f>
        <v>141.70262850848206</v>
      </c>
      <c r="G60" s="141">
        <f t="shared" ref="G60" si="5">F60</f>
        <v>141.70262850848206</v>
      </c>
      <c r="H60" s="49"/>
    </row>
    <row r="61" spans="2:8" x14ac:dyDescent="0.2">
      <c r="B61" s="88" t="s">
        <v>34</v>
      </c>
      <c r="C61" s="43"/>
      <c r="D61" s="43"/>
      <c r="E61" s="43"/>
      <c r="F61" s="90">
        <f>F43+F48+F53-F58</f>
        <v>0</v>
      </c>
      <c r="G61" s="90">
        <f>G43+G48+G53-G58</f>
        <v>0</v>
      </c>
      <c r="H61" s="49"/>
    </row>
    <row r="62" spans="2:8" x14ac:dyDescent="0.2">
      <c r="B62" s="88" t="s">
        <v>34</v>
      </c>
      <c r="C62" s="43"/>
      <c r="D62" s="43"/>
      <c r="E62" s="43"/>
      <c r="F62" s="90">
        <f>F45+F50+F55-F60</f>
        <v>0</v>
      </c>
      <c r="G62" s="90">
        <f>G45+G50+G55-G60</f>
        <v>0</v>
      </c>
      <c r="H62" s="49"/>
    </row>
    <row r="63" spans="2:8" x14ac:dyDescent="0.2">
      <c r="B63" s="88" t="s">
        <v>34</v>
      </c>
      <c r="C63" s="43"/>
      <c r="D63" s="43"/>
      <c r="E63" s="43"/>
      <c r="F63" s="90">
        <f>F44+F49+F54-F59</f>
        <v>0</v>
      </c>
      <c r="G63" s="90">
        <f>G44+G49+G54-G59</f>
        <v>0</v>
      </c>
      <c r="H63" s="49"/>
    </row>
    <row r="64" spans="2:8" x14ac:dyDescent="0.2">
      <c r="B64" s="48"/>
      <c r="C64" s="43"/>
      <c r="D64" s="43"/>
      <c r="E64" s="43"/>
      <c r="F64" s="65"/>
      <c r="G64" s="43"/>
      <c r="H64" s="49"/>
    </row>
    <row r="65" spans="2:15" x14ac:dyDescent="0.2">
      <c r="B65" s="50"/>
      <c r="C65" s="41"/>
      <c r="D65" s="41"/>
      <c r="E65" s="41"/>
      <c r="F65" s="41"/>
      <c r="G65" s="41"/>
      <c r="H65" s="51"/>
    </row>
    <row r="74" spans="2:15" ht="12" customHeight="1" x14ac:dyDescent="0.2"/>
    <row r="75" spans="2:15" x14ac:dyDescent="0.2">
      <c r="J75" s="138"/>
    </row>
    <row r="76" spans="2:15" x14ac:dyDescent="0.2">
      <c r="J76" s="138"/>
    </row>
    <row r="78" spans="2:15" x14ac:dyDescent="0.2">
      <c r="L78" s="142"/>
    </row>
    <row r="80" spans="2:15" x14ac:dyDescent="0.2">
      <c r="J80" s="148"/>
      <c r="L80" s="149"/>
      <c r="M80" s="142"/>
      <c r="O80" s="149"/>
    </row>
    <row r="81" spans="7:10" x14ac:dyDescent="0.2">
      <c r="J81" s="148"/>
    </row>
    <row r="89" spans="7:10" x14ac:dyDescent="0.2">
      <c r="I89" s="142"/>
    </row>
    <row r="94" spans="7:10" x14ac:dyDescent="0.2">
      <c r="G94" s="142"/>
    </row>
    <row r="95" spans="7:10" x14ac:dyDescent="0.2">
      <c r="G95" s="142"/>
    </row>
    <row r="96" spans="7:10" x14ac:dyDescent="0.2">
      <c r="G96" s="142"/>
    </row>
    <row r="97" spans="7:7" x14ac:dyDescent="0.2">
      <c r="G97" s="142"/>
    </row>
    <row r="98" spans="7:7" x14ac:dyDescent="0.2">
      <c r="G98" s="14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Inputs&gt;&gt;</vt:lpstr>
      <vt:lpstr>Updated Volumes</vt:lpstr>
      <vt:lpstr>2017 Determination - Revenue</vt:lpstr>
      <vt:lpstr>2017 Determination - charges</vt:lpstr>
      <vt:lpstr>Outputs</vt:lpstr>
      <vt:lpstr> Calculations&gt;&gt;</vt:lpstr>
      <vt:lpstr>MDB calcs</vt:lpstr>
      <vt:lpstr>FRWS calcs</vt:lpstr>
    </vt:vector>
  </TitlesOfParts>
  <Company>IPART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Jenkins</dc:creator>
  <cp:lastModifiedBy>Maria Tortura</cp:lastModifiedBy>
  <cp:lastPrinted>2018-02-09T02:45:55Z</cp:lastPrinted>
  <dcterms:created xsi:type="dcterms:W3CDTF">2014-05-19T07:21:06Z</dcterms:created>
  <dcterms:modified xsi:type="dcterms:W3CDTF">2018-06-04T05:09:04Z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