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80"/>
  </bookViews>
  <sheets>
    <sheet name="Gas Res " sheetId="1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5" i="18" l="1"/>
  <c r="C126" i="18"/>
  <c r="C127" i="18"/>
  <c r="C128" i="18"/>
  <c r="C129" i="18"/>
  <c r="C130" i="18"/>
  <c r="C132" i="18"/>
  <c r="C124" i="18"/>
  <c r="C87" i="18"/>
  <c r="C88" i="18"/>
  <c r="C89" i="18"/>
  <c r="C90" i="18"/>
  <c r="C91" i="18"/>
  <c r="C93" i="18"/>
  <c r="C94" i="18"/>
  <c r="C86" i="18"/>
  <c r="AG12" i="18" l="1"/>
  <c r="AG11" i="18"/>
  <c r="B12" i="18"/>
  <c r="B11" i="18"/>
  <c r="AG9" i="18"/>
  <c r="B9" i="18"/>
  <c r="B8" i="18"/>
  <c r="AG8" i="18"/>
  <c r="AF63" i="18" l="1"/>
  <c r="AE63" i="18" s="1"/>
  <c r="AD63" i="18" s="1"/>
  <c r="AC63" i="18" s="1"/>
  <c r="AB63" i="18" s="1"/>
  <c r="AA63" i="18" s="1"/>
  <c r="Z63" i="18" s="1"/>
  <c r="Y63" i="18" s="1"/>
  <c r="X63" i="18" s="1"/>
  <c r="W63" i="18" s="1"/>
  <c r="V63" i="18" s="1"/>
  <c r="U63" i="18" s="1"/>
  <c r="T63" i="18" s="1"/>
  <c r="S63" i="18" s="1"/>
  <c r="R63" i="18" s="1"/>
  <c r="Q63" i="18" s="1"/>
  <c r="P63" i="18" s="1"/>
  <c r="O63" i="18" s="1"/>
  <c r="N63" i="18" s="1"/>
  <c r="M63" i="18" s="1"/>
  <c r="L63" i="18" s="1"/>
  <c r="K63" i="18" s="1"/>
  <c r="J63" i="18" s="1"/>
  <c r="I63" i="18" s="1"/>
  <c r="H63" i="18" s="1"/>
  <c r="G63" i="18" s="1"/>
  <c r="F63" i="18" s="1"/>
  <c r="E63" i="18" s="1"/>
  <c r="C138" i="18"/>
  <c r="C137" i="18"/>
  <c r="C136" i="18"/>
  <c r="W127" i="18"/>
  <c r="V127" i="18"/>
  <c r="U127" i="18"/>
  <c r="T127" i="18"/>
  <c r="S127" i="18"/>
  <c r="R127" i="18"/>
  <c r="Q127" i="18"/>
  <c r="P127" i="18"/>
  <c r="O127" i="18"/>
  <c r="N127" i="18"/>
  <c r="M127" i="18"/>
  <c r="L127" i="18"/>
  <c r="K127" i="18"/>
  <c r="J127" i="18"/>
  <c r="I127" i="18"/>
  <c r="P126" i="18"/>
  <c r="O126" i="18"/>
  <c r="N126" i="18"/>
  <c r="M126" i="18"/>
  <c r="L126" i="18"/>
  <c r="K126" i="18"/>
  <c r="J126" i="18"/>
  <c r="I126" i="18"/>
  <c r="W124" i="18"/>
  <c r="V124" i="18"/>
  <c r="U124" i="18"/>
  <c r="T124" i="18"/>
  <c r="S124" i="18"/>
  <c r="R124" i="18"/>
  <c r="Q124" i="18"/>
  <c r="P124" i="18"/>
  <c r="O124" i="18"/>
  <c r="N124" i="18"/>
  <c r="M124" i="18"/>
  <c r="L124" i="18"/>
  <c r="K124" i="18"/>
  <c r="J124" i="18"/>
  <c r="I124" i="18"/>
  <c r="H124" i="18"/>
  <c r="G124" i="18"/>
  <c r="F124" i="18"/>
  <c r="E124" i="18"/>
  <c r="C120" i="18"/>
  <c r="C119" i="18"/>
  <c r="C118" i="18"/>
  <c r="C117" i="18"/>
  <c r="C116" i="18"/>
  <c r="C115" i="18"/>
  <c r="C113" i="18"/>
  <c r="D112" i="18"/>
  <c r="D113" i="18" s="1"/>
  <c r="J115" i="18" s="1"/>
  <c r="C112" i="18"/>
  <c r="N109" i="18"/>
  <c r="O109" i="18" s="1"/>
  <c r="P109" i="18" s="1"/>
  <c r="Q109" i="18" s="1"/>
  <c r="R109" i="18" s="1"/>
  <c r="S109" i="18" s="1"/>
  <c r="T109" i="18" s="1"/>
  <c r="U109" i="18" s="1"/>
  <c r="V109" i="18" s="1"/>
  <c r="W109" i="18" s="1"/>
  <c r="X109" i="18" s="1"/>
  <c r="Y109" i="18" s="1"/>
  <c r="Z109" i="18" s="1"/>
  <c r="AA109" i="18" s="1"/>
  <c r="AB109" i="18" s="1"/>
  <c r="AC109" i="18" s="1"/>
  <c r="AD109" i="18" s="1"/>
  <c r="AE109" i="18" s="1"/>
  <c r="AF109" i="18" s="1"/>
  <c r="AG109" i="18" s="1"/>
  <c r="F109" i="18"/>
  <c r="G109" i="18" s="1"/>
  <c r="H109" i="18" s="1"/>
  <c r="I109" i="18" s="1"/>
  <c r="J109" i="18" s="1"/>
  <c r="K109" i="18" s="1"/>
  <c r="L109" i="18" s="1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B108" i="18"/>
  <c r="C100" i="18"/>
  <c r="G96" i="18"/>
  <c r="W88" i="18"/>
  <c r="V88" i="18"/>
  <c r="U88" i="18"/>
  <c r="T88" i="18"/>
  <c r="S88" i="18"/>
  <c r="R88" i="18"/>
  <c r="Q88" i="18"/>
  <c r="P88" i="18"/>
  <c r="O88" i="18"/>
  <c r="N88" i="18"/>
  <c r="M88" i="18"/>
  <c r="L88" i="18"/>
  <c r="K88" i="18"/>
  <c r="J88" i="18"/>
  <c r="I88" i="18"/>
  <c r="P87" i="18"/>
  <c r="O87" i="18"/>
  <c r="N87" i="18"/>
  <c r="M87" i="18"/>
  <c r="L87" i="18"/>
  <c r="K87" i="18"/>
  <c r="J87" i="18"/>
  <c r="I87" i="18"/>
  <c r="W85" i="18"/>
  <c r="V85" i="18"/>
  <c r="U85" i="18"/>
  <c r="T85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C81" i="18"/>
  <c r="C80" i="18"/>
  <c r="C79" i="18"/>
  <c r="C78" i="18"/>
  <c r="C77" i="18"/>
  <c r="C76" i="18"/>
  <c r="C74" i="18"/>
  <c r="D73" i="18"/>
  <c r="D74" i="18" s="1"/>
  <c r="B73" i="18"/>
  <c r="N71" i="18"/>
  <c r="O71" i="18" s="1"/>
  <c r="P71" i="18" s="1"/>
  <c r="Q71" i="18" s="1"/>
  <c r="R71" i="18" s="1"/>
  <c r="S71" i="18" s="1"/>
  <c r="T71" i="18" s="1"/>
  <c r="U71" i="18" s="1"/>
  <c r="V71" i="18" s="1"/>
  <c r="W71" i="18" s="1"/>
  <c r="X71" i="18" s="1"/>
  <c r="Y71" i="18" s="1"/>
  <c r="Z71" i="18" s="1"/>
  <c r="AA71" i="18" s="1"/>
  <c r="AB71" i="18" s="1"/>
  <c r="AC71" i="18" s="1"/>
  <c r="AD71" i="18" s="1"/>
  <c r="AE71" i="18" s="1"/>
  <c r="AF71" i="18" s="1"/>
  <c r="AG71" i="18" s="1"/>
  <c r="F71" i="18"/>
  <c r="G71" i="18" s="1"/>
  <c r="H71" i="18" s="1"/>
  <c r="I71" i="18" s="1"/>
  <c r="J71" i="18" s="1"/>
  <c r="K71" i="18" s="1"/>
  <c r="L71" i="18" s="1"/>
  <c r="AG70" i="18"/>
  <c r="AF70" i="18"/>
  <c r="AE70" i="18"/>
  <c r="AD70" i="18"/>
  <c r="AC70" i="18"/>
  <c r="AB70" i="18"/>
  <c r="AA70" i="18"/>
  <c r="Z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B7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B60" i="18"/>
  <c r="C46" i="18"/>
  <c r="C45" i="18"/>
  <c r="C44" i="18"/>
  <c r="E43" i="18"/>
  <c r="C43" i="18"/>
  <c r="AG42" i="18"/>
  <c r="AG43" i="18" s="1"/>
  <c r="AG44" i="18" s="1"/>
  <c r="AG45" i="18" s="1"/>
  <c r="AG46" i="18" s="1"/>
  <c r="AF42" i="18"/>
  <c r="AF43" i="18" s="1"/>
  <c r="AF44" i="18" s="1"/>
  <c r="AF45" i="18" s="1"/>
  <c r="AF46" i="18" s="1"/>
  <c r="AE42" i="18"/>
  <c r="AE43" i="18" s="1"/>
  <c r="AE44" i="18" s="1"/>
  <c r="AE45" i="18" s="1"/>
  <c r="AE46" i="18" s="1"/>
  <c r="AD42" i="18"/>
  <c r="AD43" i="18" s="1"/>
  <c r="AD44" i="18" s="1"/>
  <c r="AD45" i="18" s="1"/>
  <c r="AD46" i="18" s="1"/>
  <c r="AC42" i="18"/>
  <c r="AC43" i="18" s="1"/>
  <c r="AC44" i="18" s="1"/>
  <c r="AC45" i="18" s="1"/>
  <c r="AC46" i="18" s="1"/>
  <c r="AB42" i="18"/>
  <c r="AB43" i="18" s="1"/>
  <c r="AB44" i="18" s="1"/>
  <c r="AB45" i="18" s="1"/>
  <c r="AB46" i="18" s="1"/>
  <c r="AA42" i="18"/>
  <c r="AA43" i="18" s="1"/>
  <c r="Z42" i="18"/>
  <c r="F42" i="18"/>
  <c r="F43" i="18" s="1"/>
  <c r="C40" i="18"/>
  <c r="C39" i="18"/>
  <c r="C38" i="18"/>
  <c r="C37" i="18"/>
  <c r="Z33" i="18"/>
  <c r="H33" i="18"/>
  <c r="F33" i="18"/>
  <c r="C33" i="18"/>
  <c r="C32" i="18"/>
  <c r="C31" i="18"/>
  <c r="C30" i="18"/>
  <c r="Z29" i="18"/>
  <c r="H29" i="18"/>
  <c r="F29" i="18"/>
  <c r="C29" i="18"/>
  <c r="Z28" i="18"/>
  <c r="O28" i="18"/>
  <c r="M28" i="18"/>
  <c r="J28" i="18"/>
  <c r="I28" i="18"/>
  <c r="H28" i="18"/>
  <c r="G28" i="18"/>
  <c r="G29" i="18" s="1"/>
  <c r="C25" i="18"/>
  <c r="AG24" i="18"/>
  <c r="AG124" i="18" s="1"/>
  <c r="AF24" i="18"/>
  <c r="AE24" i="18"/>
  <c r="AE124" i="18" s="1"/>
  <c r="AD24" i="18"/>
  <c r="AD124" i="18" s="1"/>
  <c r="AC24" i="18"/>
  <c r="AC85" i="18" s="1"/>
  <c r="AB24" i="18"/>
  <c r="AA24" i="18"/>
  <c r="Y24" i="18"/>
  <c r="Y124" i="18" s="1"/>
  <c r="X24" i="18"/>
  <c r="Z23" i="18"/>
  <c r="Z24" i="18" s="1"/>
  <c r="Z124" i="18" s="1"/>
  <c r="N19" i="18"/>
  <c r="O19" i="18" s="1"/>
  <c r="P19" i="18" s="1"/>
  <c r="Q19" i="18" s="1"/>
  <c r="R19" i="18" s="1"/>
  <c r="S19" i="18" s="1"/>
  <c r="T19" i="18" s="1"/>
  <c r="U19" i="18" s="1"/>
  <c r="V19" i="18" s="1"/>
  <c r="W19" i="18" s="1"/>
  <c r="X19" i="18" s="1"/>
  <c r="Y19" i="18" s="1"/>
  <c r="Z19" i="18" s="1"/>
  <c r="AA19" i="18" s="1"/>
  <c r="AB19" i="18" s="1"/>
  <c r="AC19" i="18" s="1"/>
  <c r="AD19" i="18" s="1"/>
  <c r="AE19" i="18" s="1"/>
  <c r="AF19" i="18" s="1"/>
  <c r="AG19" i="18" s="1"/>
  <c r="F19" i="18"/>
  <c r="G19" i="18" s="1"/>
  <c r="H19" i="18" s="1"/>
  <c r="I19" i="18" s="1"/>
  <c r="J19" i="18" s="1"/>
  <c r="K19" i="18" s="1"/>
  <c r="L19" i="18" s="1"/>
  <c r="J125" i="18" l="1"/>
  <c r="J132" i="18" s="1"/>
  <c r="Z115" i="18"/>
  <c r="R115" i="18"/>
  <c r="R125" i="18" s="1"/>
  <c r="AE85" i="18"/>
  <c r="Z125" i="18"/>
  <c r="G42" i="18"/>
  <c r="G43" i="18" s="1"/>
  <c r="Z43" i="18"/>
  <c r="Z116" i="18" s="1"/>
  <c r="AC124" i="18"/>
  <c r="AB124" i="18"/>
  <c r="AB85" i="18"/>
  <c r="M76" i="18"/>
  <c r="M86" i="18" s="1"/>
  <c r="M93" i="18" s="1"/>
  <c r="AA76" i="18"/>
  <c r="AA86" i="18" s="1"/>
  <c r="AB76" i="18"/>
  <c r="AB86" i="18" s="1"/>
  <c r="Q76" i="18"/>
  <c r="Q86" i="18" s="1"/>
  <c r="AC76" i="18"/>
  <c r="AC86" i="18" s="1"/>
  <c r="E76" i="18"/>
  <c r="E86" i="18" s="1"/>
  <c r="S76" i="18"/>
  <c r="S86" i="18" s="1"/>
  <c r="AE76" i="18"/>
  <c r="AE86" i="18" s="1"/>
  <c r="Z76" i="18"/>
  <c r="Z86" i="18" s="1"/>
  <c r="R76" i="18"/>
  <c r="R86" i="18" s="1"/>
  <c r="J76" i="18"/>
  <c r="J86" i="18" s="1"/>
  <c r="J93" i="18" s="1"/>
  <c r="AF76" i="18"/>
  <c r="AF86" i="18" s="1"/>
  <c r="X76" i="18"/>
  <c r="X86" i="18" s="1"/>
  <c r="P76" i="18"/>
  <c r="P86" i="18" s="1"/>
  <c r="P93" i="18" s="1"/>
  <c r="AD76" i="18"/>
  <c r="AD86" i="18" s="1"/>
  <c r="V76" i="18"/>
  <c r="V86" i="18" s="1"/>
  <c r="N76" i="18"/>
  <c r="N86" i="18" s="1"/>
  <c r="N93" i="18" s="1"/>
  <c r="F76" i="18"/>
  <c r="F86" i="18" s="1"/>
  <c r="AF124" i="18"/>
  <c r="AF85" i="18"/>
  <c r="AG76" i="18"/>
  <c r="AG86" i="18" s="1"/>
  <c r="O76" i="18"/>
  <c r="O86" i="18" s="1"/>
  <c r="O93" i="18" s="1"/>
  <c r="X124" i="18"/>
  <c r="X85" i="18"/>
  <c r="T76" i="18"/>
  <c r="T86" i="18" s="1"/>
  <c r="I76" i="18"/>
  <c r="I86" i="18" s="1"/>
  <c r="I93" i="18" s="1"/>
  <c r="U76" i="18"/>
  <c r="U86" i="18" s="1"/>
  <c r="AE77" i="18"/>
  <c r="AE87" i="18" s="1"/>
  <c r="K76" i="18"/>
  <c r="K86" i="18" s="1"/>
  <c r="K93" i="18" s="1"/>
  <c r="W76" i="18"/>
  <c r="W86" i="18" s="1"/>
  <c r="Z85" i="18"/>
  <c r="AA124" i="18"/>
  <c r="AA85" i="18"/>
  <c r="L76" i="18"/>
  <c r="L86" i="18" s="1"/>
  <c r="L93" i="18" s="1"/>
  <c r="Y76" i="18"/>
  <c r="Y86" i="18" s="1"/>
  <c r="AD85" i="18"/>
  <c r="Y85" i="18"/>
  <c r="AG85" i="18"/>
  <c r="J121" i="18"/>
  <c r="AG115" i="18"/>
  <c r="AG125" i="18" s="1"/>
  <c r="Y115" i="18"/>
  <c r="Y125" i="18" s="1"/>
  <c r="Q115" i="18"/>
  <c r="Q125" i="18" s="1"/>
  <c r="I115" i="18"/>
  <c r="I125" i="18" s="1"/>
  <c r="I132" i="18" s="1"/>
  <c r="R116" i="18"/>
  <c r="R126" i="18" s="1"/>
  <c r="R132" i="18" s="1"/>
  <c r="AF115" i="18"/>
  <c r="AF125" i="18" s="1"/>
  <c r="X115" i="18"/>
  <c r="X125" i="18" s="1"/>
  <c r="P115" i="18"/>
  <c r="P125" i="18" s="1"/>
  <c r="P132" i="18" s="1"/>
  <c r="AE115" i="18"/>
  <c r="AE125" i="18" s="1"/>
  <c r="W115" i="18"/>
  <c r="W125" i="18" s="1"/>
  <c r="O115" i="18"/>
  <c r="O125" i="18" s="1"/>
  <c r="O132" i="18" s="1"/>
  <c r="AD115" i="18"/>
  <c r="AD125" i="18" s="1"/>
  <c r="V115" i="18"/>
  <c r="V125" i="18" s="1"/>
  <c r="N115" i="18"/>
  <c r="N125" i="18" s="1"/>
  <c r="N132" i="18" s="1"/>
  <c r="F115" i="18"/>
  <c r="F125" i="18" s="1"/>
  <c r="AC115" i="18"/>
  <c r="AC125" i="18" s="1"/>
  <c r="U115" i="18"/>
  <c r="U125" i="18" s="1"/>
  <c r="M115" i="18"/>
  <c r="M125" i="18" s="1"/>
  <c r="M132" i="18" s="1"/>
  <c r="E115" i="18"/>
  <c r="E125" i="18" s="1"/>
  <c r="AB115" i="18"/>
  <c r="AB125" i="18" s="1"/>
  <c r="T115" i="18"/>
  <c r="L115" i="18"/>
  <c r="L125" i="18" s="1"/>
  <c r="L132" i="18" s="1"/>
  <c r="AA115" i="18"/>
  <c r="AA116" i="18" s="1"/>
  <c r="S115" i="18"/>
  <c r="K115" i="18"/>
  <c r="K125" i="18" s="1"/>
  <c r="K132" i="18" s="1"/>
  <c r="Y116" i="18" l="1"/>
  <c r="Y126" i="18" s="1"/>
  <c r="E77" i="18"/>
  <c r="E87" i="18" s="1"/>
  <c r="AB116" i="18"/>
  <c r="AB126" i="18" s="1"/>
  <c r="AC116" i="18"/>
  <c r="AC117" i="18" s="1"/>
  <c r="AC118" i="18" s="1"/>
  <c r="AC128" i="18" s="1"/>
  <c r="AB77" i="18"/>
  <c r="AB87" i="18" s="1"/>
  <c r="Q116" i="18"/>
  <c r="Q126" i="18" s="1"/>
  <c r="Q132" i="18" s="1"/>
  <c r="R77" i="18"/>
  <c r="R87" i="18" s="1"/>
  <c r="R93" i="18" s="1"/>
  <c r="L121" i="18"/>
  <c r="J82" i="18"/>
  <c r="R121" i="18"/>
  <c r="Z126" i="18"/>
  <c r="Z117" i="18"/>
  <c r="Z127" i="18" s="1"/>
  <c r="G76" i="18"/>
  <c r="G86" i="18" s="1"/>
  <c r="AE116" i="18"/>
  <c r="AE117" i="18" s="1"/>
  <c r="AE127" i="18" s="1"/>
  <c r="AF116" i="18"/>
  <c r="Y77" i="18"/>
  <c r="Z77" i="18"/>
  <c r="Z87" i="18" s="1"/>
  <c r="V77" i="18"/>
  <c r="V87" i="18" s="1"/>
  <c r="V93" i="18" s="1"/>
  <c r="V99" i="18" s="1"/>
  <c r="I82" i="18"/>
  <c r="W116" i="18"/>
  <c r="W126" i="18" s="1"/>
  <c r="W132" i="18" s="1"/>
  <c r="X116" i="18"/>
  <c r="X126" i="18" s="1"/>
  <c r="M121" i="18"/>
  <c r="Q77" i="18"/>
  <c r="Q87" i="18" s="1"/>
  <c r="Q93" i="18" s="1"/>
  <c r="R95" i="18" s="1"/>
  <c r="V116" i="18"/>
  <c r="V126" i="18" s="1"/>
  <c r="V132" i="18" s="1"/>
  <c r="O121" i="18"/>
  <c r="AG116" i="18"/>
  <c r="AG126" i="18" s="1"/>
  <c r="H42" i="18"/>
  <c r="U116" i="18"/>
  <c r="U126" i="18" s="1"/>
  <c r="U132" i="18" s="1"/>
  <c r="G115" i="18"/>
  <c r="G125" i="18" s="1"/>
  <c r="P121" i="18"/>
  <c r="M82" i="18"/>
  <c r="I136" i="18"/>
  <c r="M136" i="18"/>
  <c r="L94" i="18"/>
  <c r="L95" i="18"/>
  <c r="L99" i="18"/>
  <c r="O95" i="18"/>
  <c r="O99" i="18"/>
  <c r="O94" i="18"/>
  <c r="AA126" i="18"/>
  <c r="AA117" i="18"/>
  <c r="AA127" i="18" s="1"/>
  <c r="P95" i="18"/>
  <c r="P99" i="18"/>
  <c r="P94" i="18"/>
  <c r="J95" i="18"/>
  <c r="J99" i="18"/>
  <c r="J94" i="18"/>
  <c r="N136" i="18"/>
  <c r="N95" i="18"/>
  <c r="N99" i="18"/>
  <c r="N94" i="18"/>
  <c r="L136" i="18"/>
  <c r="R136" i="18"/>
  <c r="I99" i="18"/>
  <c r="J136" i="18"/>
  <c r="AA77" i="18"/>
  <c r="AA87" i="18" s="1"/>
  <c r="S125" i="18"/>
  <c r="AD116" i="18"/>
  <c r="E116" i="18"/>
  <c r="E126" i="18" s="1"/>
  <c r="AD77" i="18"/>
  <c r="P136" i="18"/>
  <c r="I121" i="18"/>
  <c r="S116" i="18"/>
  <c r="S126" i="18" s="1"/>
  <c r="O82" i="18"/>
  <c r="L82" i="18"/>
  <c r="M95" i="18"/>
  <c r="M99" i="18"/>
  <c r="M94" i="18"/>
  <c r="AA125" i="18"/>
  <c r="AA121" i="18"/>
  <c r="N121" i="18"/>
  <c r="AC77" i="18"/>
  <c r="K94" i="18"/>
  <c r="K95" i="18"/>
  <c r="K99" i="18"/>
  <c r="K82" i="18"/>
  <c r="AE78" i="18"/>
  <c r="AE88" i="18" s="1"/>
  <c r="P82" i="18"/>
  <c r="K136" i="18"/>
  <c r="U77" i="18"/>
  <c r="U87" i="18" s="1"/>
  <c r="U93" i="18" s="1"/>
  <c r="K121" i="18"/>
  <c r="O136" i="18"/>
  <c r="F77" i="18"/>
  <c r="F116" i="18"/>
  <c r="F126" i="18" s="1"/>
  <c r="X77" i="18"/>
  <c r="T77" i="18"/>
  <c r="T87" i="18" s="1"/>
  <c r="T93" i="18" s="1"/>
  <c r="AG77" i="18"/>
  <c r="T125" i="18"/>
  <c r="T116" i="18"/>
  <c r="T126" i="18" s="1"/>
  <c r="W77" i="18"/>
  <c r="W87" i="18" s="1"/>
  <c r="W93" i="18" s="1"/>
  <c r="N82" i="18"/>
  <c r="AF77" i="18"/>
  <c r="S77" i="18"/>
  <c r="E78" i="18" l="1"/>
  <c r="E88" i="18" s="1"/>
  <c r="E93" i="18" s="1"/>
  <c r="E99" i="18" s="1"/>
  <c r="AG117" i="18"/>
  <c r="AG121" i="18" s="1"/>
  <c r="Y117" i="18"/>
  <c r="Y127" i="18" s="1"/>
  <c r="Y132" i="18" s="1"/>
  <c r="Z78" i="18"/>
  <c r="Z88" i="18" s="1"/>
  <c r="Z93" i="18" s="1"/>
  <c r="Z99" i="18" s="1"/>
  <c r="W136" i="18"/>
  <c r="AB78" i="18"/>
  <c r="AB88" i="18" s="1"/>
  <c r="AC126" i="18"/>
  <c r="AB117" i="18"/>
  <c r="AB127" i="18" s="1"/>
  <c r="V94" i="18"/>
  <c r="V82" i="18"/>
  <c r="V121" i="18"/>
  <c r="AA78" i="18"/>
  <c r="AA88" i="18" s="1"/>
  <c r="AA93" i="18" s="1"/>
  <c r="AE126" i="18"/>
  <c r="R94" i="18"/>
  <c r="R99" i="18"/>
  <c r="G77" i="18"/>
  <c r="G87" i="18" s="1"/>
  <c r="S121" i="18"/>
  <c r="R82" i="18"/>
  <c r="F117" i="18"/>
  <c r="F127" i="18" s="1"/>
  <c r="F132" i="18" s="1"/>
  <c r="S132" i="18"/>
  <c r="S136" i="18" s="1"/>
  <c r="S138" i="18" s="1"/>
  <c r="Z132" i="18"/>
  <c r="Z136" i="18" s="1"/>
  <c r="E117" i="18"/>
  <c r="E127" i="18" s="1"/>
  <c r="E132" i="18" s="1"/>
  <c r="Q136" i="18"/>
  <c r="R137" i="18" s="1"/>
  <c r="Q121" i="18"/>
  <c r="W121" i="18"/>
  <c r="U136" i="18"/>
  <c r="V136" i="18"/>
  <c r="U121" i="18"/>
  <c r="H43" i="18"/>
  <c r="H115" i="18"/>
  <c r="H125" i="18" s="1"/>
  <c r="H76" i="18"/>
  <c r="H86" i="18" s="1"/>
  <c r="Y87" i="18"/>
  <c r="Y78" i="18"/>
  <c r="Y88" i="18" s="1"/>
  <c r="G116" i="18"/>
  <c r="G117" i="18" s="1"/>
  <c r="G127" i="18" s="1"/>
  <c r="Z121" i="18"/>
  <c r="AF126" i="18"/>
  <c r="AF117" i="18"/>
  <c r="X117" i="18"/>
  <c r="Q82" i="18"/>
  <c r="AA132" i="18"/>
  <c r="AA136" i="18" s="1"/>
  <c r="AE121" i="18"/>
  <c r="AE118" i="18"/>
  <c r="AE128" i="18" s="1"/>
  <c r="W95" i="18"/>
  <c r="W99" i="18"/>
  <c r="W101" i="18" s="1"/>
  <c r="W94" i="18"/>
  <c r="T99" i="18"/>
  <c r="P138" i="18"/>
  <c r="O137" i="18"/>
  <c r="AD87" i="18"/>
  <c r="AD78" i="18"/>
  <c r="AD88" i="18" s="1"/>
  <c r="T132" i="18"/>
  <c r="F87" i="18"/>
  <c r="F78" i="18"/>
  <c r="F88" i="18" s="1"/>
  <c r="P137" i="18"/>
  <c r="K101" i="18"/>
  <c r="J100" i="18"/>
  <c r="T121" i="18"/>
  <c r="AC87" i="18"/>
  <c r="AC78" i="18"/>
  <c r="L137" i="18"/>
  <c r="M138" i="18"/>
  <c r="S87" i="18"/>
  <c r="S93" i="18" s="1"/>
  <c r="T95" i="18" s="1"/>
  <c r="S82" i="18"/>
  <c r="U82" i="18"/>
  <c r="J101" i="18"/>
  <c r="P100" i="18"/>
  <c r="AD126" i="18"/>
  <c r="AD117" i="18"/>
  <c r="AD127" i="18" s="1"/>
  <c r="AC127" i="18"/>
  <c r="AC121" i="18"/>
  <c r="W82" i="18"/>
  <c r="F121" i="18"/>
  <c r="AA82" i="18"/>
  <c r="AG127" i="18"/>
  <c r="AG118" i="18"/>
  <c r="T82" i="18"/>
  <c r="N101" i="18"/>
  <c r="M100" i="18"/>
  <c r="AC119" i="18"/>
  <c r="J137" i="18"/>
  <c r="K138" i="18"/>
  <c r="L100" i="18"/>
  <c r="M101" i="18"/>
  <c r="X87" i="18"/>
  <c r="X78" i="18"/>
  <c r="Y136" i="18"/>
  <c r="AE79" i="18"/>
  <c r="E82" i="18"/>
  <c r="Q99" i="18"/>
  <c r="Q94" i="18"/>
  <c r="Q95" i="18"/>
  <c r="N137" i="18"/>
  <c r="O138" i="18"/>
  <c r="P101" i="18"/>
  <c r="O100" i="18"/>
  <c r="J138" i="18"/>
  <c r="U95" i="18"/>
  <c r="U99" i="18"/>
  <c r="V100" i="18" s="1"/>
  <c r="U94" i="18"/>
  <c r="K137" i="18"/>
  <c r="L138" i="18"/>
  <c r="M137" i="18"/>
  <c r="N138" i="18"/>
  <c r="AF87" i="18"/>
  <c r="AF78" i="18"/>
  <c r="AF79" i="18" s="1"/>
  <c r="AF89" i="18" s="1"/>
  <c r="AG87" i="18"/>
  <c r="AG78" i="18"/>
  <c r="AG88" i="18" s="1"/>
  <c r="K100" i="18"/>
  <c r="L101" i="18"/>
  <c r="V95" i="18"/>
  <c r="O101" i="18"/>
  <c r="N100" i="18"/>
  <c r="AB79" i="18" l="1"/>
  <c r="AB89" i="18" s="1"/>
  <c r="W137" i="18"/>
  <c r="G78" i="18"/>
  <c r="G88" i="18" s="1"/>
  <c r="AB118" i="18"/>
  <c r="AB128" i="18" s="1"/>
  <c r="G126" i="18"/>
  <c r="AA94" i="18"/>
  <c r="W138" i="18"/>
  <c r="R138" i="18"/>
  <c r="Z82" i="18"/>
  <c r="Y82" i="18"/>
  <c r="Y121" i="18"/>
  <c r="AB80" i="18"/>
  <c r="AB90" i="18" s="1"/>
  <c r="V138" i="18"/>
  <c r="Q138" i="18"/>
  <c r="AB121" i="18"/>
  <c r="Q137" i="18"/>
  <c r="Y93" i="18"/>
  <c r="F136" i="18"/>
  <c r="E136" i="18"/>
  <c r="R100" i="18"/>
  <c r="E121" i="18"/>
  <c r="AA99" i="18"/>
  <c r="AA101" i="18" s="1"/>
  <c r="AA138" i="18"/>
  <c r="AA95" i="18"/>
  <c r="V137" i="18"/>
  <c r="X127" i="18"/>
  <c r="X132" i="18" s="1"/>
  <c r="X121" i="18"/>
  <c r="F82" i="18"/>
  <c r="F93" i="18"/>
  <c r="F95" i="18" s="1"/>
  <c r="AF127" i="18"/>
  <c r="AF121" i="18"/>
  <c r="AF118" i="18"/>
  <c r="AC79" i="18"/>
  <c r="AC89" i="18" s="1"/>
  <c r="H116" i="18"/>
  <c r="H126" i="18" s="1"/>
  <c r="H77" i="18"/>
  <c r="AB119" i="18"/>
  <c r="AB129" i="18" s="1"/>
  <c r="AD121" i="18"/>
  <c r="AE119" i="18"/>
  <c r="AE120" i="18" s="1"/>
  <c r="AE130" i="18" s="1"/>
  <c r="Q101" i="18"/>
  <c r="AE89" i="18"/>
  <c r="AE80" i="18"/>
  <c r="Z138" i="18"/>
  <c r="AC129" i="18"/>
  <c r="AC120" i="18"/>
  <c r="AC130" i="18" s="1"/>
  <c r="Z137" i="18"/>
  <c r="U101" i="18"/>
  <c r="AD79" i="18"/>
  <c r="AD89" i="18" s="1"/>
  <c r="AF88" i="18"/>
  <c r="AD118" i="18"/>
  <c r="S94" i="18"/>
  <c r="S95" i="18"/>
  <c r="S99" i="18"/>
  <c r="T100" i="18" s="1"/>
  <c r="AF80" i="18"/>
  <c r="AG128" i="18"/>
  <c r="AG119" i="18"/>
  <c r="AG79" i="18"/>
  <c r="AG89" i="18" s="1"/>
  <c r="R101" i="18"/>
  <c r="Q100" i="18"/>
  <c r="X88" i="18"/>
  <c r="X93" i="18" s="1"/>
  <c r="X82" i="18"/>
  <c r="S137" i="18"/>
  <c r="AA137" i="18"/>
  <c r="T94" i="18"/>
  <c r="G82" i="18"/>
  <c r="V101" i="18"/>
  <c r="U100" i="18"/>
  <c r="G121" i="18"/>
  <c r="G132" i="18"/>
  <c r="T136" i="18"/>
  <c r="T138" i="18" s="1"/>
  <c r="W100" i="18"/>
  <c r="G93" i="18"/>
  <c r="AC88" i="18"/>
  <c r="F138" i="18" l="1"/>
  <c r="AB81" i="18"/>
  <c r="AB91" i="18" s="1"/>
  <c r="AB93" i="18" s="1"/>
  <c r="AB95" i="18" s="1"/>
  <c r="F137" i="18"/>
  <c r="F94" i="18"/>
  <c r="F99" i="18"/>
  <c r="F100" i="18" s="1"/>
  <c r="AA100" i="18"/>
  <c r="AE129" i="18"/>
  <c r="AE132" i="18" s="1"/>
  <c r="Z94" i="18"/>
  <c r="Y99" i="18"/>
  <c r="Z95" i="18"/>
  <c r="AD80" i="18"/>
  <c r="AD90" i="18" s="1"/>
  <c r="X136" i="18"/>
  <c r="H78" i="18"/>
  <c r="H88" i="18" s="1"/>
  <c r="H87" i="18"/>
  <c r="AF119" i="18"/>
  <c r="AF128" i="18"/>
  <c r="AB94" i="18"/>
  <c r="AC80" i="18"/>
  <c r="H117" i="18"/>
  <c r="H127" i="18" s="1"/>
  <c r="H132" i="18" s="1"/>
  <c r="H136" i="18" s="1"/>
  <c r="AB120" i="18"/>
  <c r="AB130" i="18" s="1"/>
  <c r="AB132" i="18" s="1"/>
  <c r="X95" i="18"/>
  <c r="X99" i="18"/>
  <c r="X94" i="18"/>
  <c r="Y94" i="18"/>
  <c r="Y95" i="18"/>
  <c r="AD128" i="18"/>
  <c r="AD119" i="18"/>
  <c r="AG80" i="18"/>
  <c r="T137" i="18"/>
  <c r="U138" i="18"/>
  <c r="U137" i="18"/>
  <c r="G95" i="18"/>
  <c r="G99" i="18"/>
  <c r="G94" i="18"/>
  <c r="AE90" i="18"/>
  <c r="AE81" i="18"/>
  <c r="AE91" i="18" s="1"/>
  <c r="AG129" i="18"/>
  <c r="AG120" i="18"/>
  <c r="AG130" i="18" s="1"/>
  <c r="AC132" i="18"/>
  <c r="AF90" i="18"/>
  <c r="AF81" i="18"/>
  <c r="G136" i="18"/>
  <c r="S100" i="18"/>
  <c r="T101" i="18"/>
  <c r="S101" i="18"/>
  <c r="G100" i="18" l="1"/>
  <c r="AB99" i="18"/>
  <c r="AB100" i="18" s="1"/>
  <c r="AB82" i="18"/>
  <c r="AD81" i="18"/>
  <c r="AD91" i="18" s="1"/>
  <c r="AD93" i="18" s="1"/>
  <c r="AE93" i="18"/>
  <c r="AE99" i="18" s="1"/>
  <c r="AE136" i="18"/>
  <c r="Z100" i="18"/>
  <c r="Z101" i="18"/>
  <c r="AF129" i="18"/>
  <c r="AF120" i="18"/>
  <c r="AF130" i="18" s="1"/>
  <c r="H121" i="18"/>
  <c r="AC90" i="18"/>
  <c r="AC81" i="18"/>
  <c r="AC91" i="18" s="1"/>
  <c r="H82" i="18"/>
  <c r="H93" i="18"/>
  <c r="AB101" i="18"/>
  <c r="X138" i="18"/>
  <c r="Y137" i="18"/>
  <c r="Y138" i="18"/>
  <c r="X137" i="18"/>
  <c r="AB136" i="18"/>
  <c r="AB138" i="18" s="1"/>
  <c r="AG132" i="18"/>
  <c r="AG136" i="18" s="1"/>
  <c r="AD129" i="18"/>
  <c r="AD120" i="18"/>
  <c r="AD130" i="18" s="1"/>
  <c r="H138" i="18"/>
  <c r="G137" i="18"/>
  <c r="G138" i="18"/>
  <c r="Y101" i="18"/>
  <c r="X100" i="18"/>
  <c r="X101" i="18"/>
  <c r="Y100" i="18"/>
  <c r="I138" i="18"/>
  <c r="H137" i="18"/>
  <c r="I137" i="18"/>
  <c r="AC136" i="18"/>
  <c r="AE82" i="18"/>
  <c r="AF91" i="18"/>
  <c r="AF93" i="18" s="1"/>
  <c r="AF82" i="18"/>
  <c r="AG90" i="18"/>
  <c r="AG81" i="18"/>
  <c r="AE95" i="18" l="1"/>
  <c r="AD82" i="18"/>
  <c r="AD99" i="18"/>
  <c r="AE100" i="18" s="1"/>
  <c r="AE94" i="18"/>
  <c r="AC82" i="18"/>
  <c r="AB137" i="18"/>
  <c r="AC93" i="18"/>
  <c r="AC138" i="18"/>
  <c r="I94" i="18"/>
  <c r="I95" i="18"/>
  <c r="I96" i="18" s="1"/>
  <c r="J96" i="18" s="1"/>
  <c r="K96" i="18" s="1"/>
  <c r="L96" i="18" s="1"/>
  <c r="M96" i="18" s="1"/>
  <c r="N96" i="18" s="1"/>
  <c r="O96" i="18" s="1"/>
  <c r="P96" i="18" s="1"/>
  <c r="Q96" i="18" s="1"/>
  <c r="R96" i="18" s="1"/>
  <c r="S96" i="18" s="1"/>
  <c r="T96" i="18" s="1"/>
  <c r="U96" i="18" s="1"/>
  <c r="V96" i="18" s="1"/>
  <c r="W96" i="18" s="1"/>
  <c r="X96" i="18" s="1"/>
  <c r="Y96" i="18" s="1"/>
  <c r="Z96" i="18" s="1"/>
  <c r="AA96" i="18" s="1"/>
  <c r="AB96" i="18" s="1"/>
  <c r="H99" i="18"/>
  <c r="H95" i="18"/>
  <c r="H94" i="18"/>
  <c r="AF132" i="18"/>
  <c r="AD132" i="18"/>
  <c r="AD136" i="18" s="1"/>
  <c r="AF95" i="18"/>
  <c r="AF99" i="18"/>
  <c r="AF101" i="18" s="1"/>
  <c r="AF94" i="18"/>
  <c r="AC137" i="18"/>
  <c r="AE101" i="18"/>
  <c r="AG91" i="18"/>
  <c r="AG93" i="18" s="1"/>
  <c r="AG82" i="18"/>
  <c r="AC95" i="18" l="1"/>
  <c r="AC96" i="18" s="1"/>
  <c r="AC99" i="18"/>
  <c r="AC94" i="18"/>
  <c r="AD94" i="18"/>
  <c r="AD95" i="18"/>
  <c r="AF136" i="18"/>
  <c r="I103" i="18"/>
  <c r="J103" i="18" s="1"/>
  <c r="K103" i="18" s="1"/>
  <c r="L103" i="18" s="1"/>
  <c r="M103" i="18" s="1"/>
  <c r="N103" i="18" s="1"/>
  <c r="O103" i="18" s="1"/>
  <c r="P103" i="18" s="1"/>
  <c r="Q103" i="18" s="1"/>
  <c r="R103" i="18" s="1"/>
  <c r="S103" i="18" s="1"/>
  <c r="T103" i="18" s="1"/>
  <c r="U103" i="18" s="1"/>
  <c r="V103" i="18" s="1"/>
  <c r="W103" i="18" s="1"/>
  <c r="X103" i="18" s="1"/>
  <c r="Y103" i="18" s="1"/>
  <c r="Z103" i="18" s="1"/>
  <c r="AA103" i="18" s="1"/>
  <c r="I100" i="18"/>
  <c r="I101" i="18"/>
  <c r="H100" i="18"/>
  <c r="AD137" i="18"/>
  <c r="AE138" i="18"/>
  <c r="AE137" i="18"/>
  <c r="AD138" i="18"/>
  <c r="AF100" i="18"/>
  <c r="AG99" i="18"/>
  <c r="AG100" i="18" s="1"/>
  <c r="AG94" i="18"/>
  <c r="AG95" i="18"/>
  <c r="AD96" i="18" l="1"/>
  <c r="AE96" i="18" s="1"/>
  <c r="AF96" i="18" s="1"/>
  <c r="AG96" i="18" s="1"/>
  <c r="AC100" i="18"/>
  <c r="AC101" i="18"/>
  <c r="AD100" i="18"/>
  <c r="AD101" i="18"/>
  <c r="AB103" i="18"/>
  <c r="AF138" i="18"/>
  <c r="AF137" i="18"/>
  <c r="AG137" i="18"/>
  <c r="AG138" i="18"/>
  <c r="AG101" i="18"/>
  <c r="AC103" i="18" l="1"/>
  <c r="AC104" i="18" s="1"/>
  <c r="AB104" i="18"/>
  <c r="AD103" i="18" l="1"/>
  <c r="AD104" i="18" s="1"/>
  <c r="AE103" i="18" l="1"/>
  <c r="AE104" i="18" s="1"/>
  <c r="AF103" i="18" l="1"/>
  <c r="AG103" i="18" s="1"/>
  <c r="AG104" i="18" s="1"/>
  <c r="AF104" i="18" l="1"/>
</calcChain>
</file>

<file path=xl/comments1.xml><?xml version="1.0" encoding="utf-8"?>
<comments xmlns="http://schemas.openxmlformats.org/spreadsheetml/2006/main">
  <authors>
    <author>Author</author>
  </authors>
  <commentList>
    <comment ref="AE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Gas prices were deregulated in NSW in July 2017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Initally residential economy tariff, then Everytime Plus. Everytime value was used for the 2003/04 to 2006/07 reports, because AGL advised it was  cheapest consumption &gt; 15 400 MJ pa.
Single regualted tariff from 1 July 2007.
Single regulated tariff from 1 July 2007</t>
        </r>
      </text>
    </comment>
    <comment ref="Q28" authorId="0" shapeId="0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tariffs from AGL website</t>
        </r>
      </text>
    </comment>
    <comment ref="AB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These prices are the carbon exclusive prices</t>
        </r>
      </text>
    </comment>
    <comment ref="Q29" authorId="0" shapeId="0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tariffs from AGL website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3rd block, up to 102GJ pa</t>
        </r>
      </text>
    </comment>
    <comment ref="Z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There are still 2 more blocks. This is up to 25,500 MJ/qtr
</t>
        </r>
      </text>
    </comment>
    <comment ref="AA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There are still 2 more blocks. This is up to 25,500 MJ/qtr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Sydney CPI, Jun to Jun, CPI database as @ 23 April 2020.</t>
        </r>
      </text>
    </comment>
    <comment ref="B112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AGL Annual Report page 9 1999 states av residential consumption is 25.1 GJ/per customer
  </t>
        </r>
      </text>
    </comment>
  </commentList>
</comments>
</file>

<file path=xl/sharedStrings.xml><?xml version="1.0" encoding="utf-8"?>
<sst xmlns="http://schemas.openxmlformats.org/spreadsheetml/2006/main" count="119" uniqueCount="89">
  <si>
    <t>%</t>
  </si>
  <si>
    <t>% change (real)</t>
  </si>
  <si>
    <t>$ change</t>
  </si>
  <si>
    <t xml:space="preserve">Small customer annual bill </t>
  </si>
  <si>
    <t>Annual bill including GST (real)</t>
  </si>
  <si>
    <t xml:space="preserve">Small customer annual bill  </t>
  </si>
  <si>
    <t>Block 3 charge</t>
  </si>
  <si>
    <t>Block 2 charge</t>
  </si>
  <si>
    <t>Block 1 charge</t>
  </si>
  <si>
    <t>Annual service charge</t>
  </si>
  <si>
    <t>Annual bill including GST (nominal)</t>
  </si>
  <si>
    <t>check = 0</t>
  </si>
  <si>
    <t>Consumption at block 3 prices</t>
  </si>
  <si>
    <t>Consumption at block 2 prices</t>
  </si>
  <si>
    <t>Consumption at block 1 prices</t>
  </si>
  <si>
    <t xml:space="preserve">Average quarterly consumption </t>
  </si>
  <si>
    <t>MJ pa</t>
  </si>
  <si>
    <t xml:space="preserve">Average annual consumption </t>
  </si>
  <si>
    <t>Consumption</t>
  </si>
  <si>
    <t>incl GST</t>
  </si>
  <si>
    <t>pre-GST</t>
  </si>
  <si>
    <t>Index (real, including GST)</t>
  </si>
  <si>
    <t>IPART regulation commenced in 1996</t>
  </si>
  <si>
    <t>Average annual bill (real)</t>
  </si>
  <si>
    <t>Index (nominal, including GST)</t>
  </si>
  <si>
    <t>nominal % changes (incl GST)</t>
  </si>
  <si>
    <t>$ nominal</t>
  </si>
  <si>
    <t>Total av annual bill</t>
  </si>
  <si>
    <t>GST</t>
  </si>
  <si>
    <t>SECTION 2: CALCULATIONS</t>
  </si>
  <si>
    <t>AGL Annual Report 1999 page 9 states av residential consumption is 25.1 GJ/per customer</t>
  </si>
  <si>
    <t>AGL - NSW residential economy tariffs</t>
  </si>
  <si>
    <t>Pensioner and small user</t>
  </si>
  <si>
    <t>MJ</t>
  </si>
  <si>
    <t>MJ/quarter</t>
  </si>
  <si>
    <t>Block 2 up to</t>
  </si>
  <si>
    <t>Block 1 up to</t>
  </si>
  <si>
    <t>c/MJ</t>
  </si>
  <si>
    <t>Consumption rest</t>
  </si>
  <si>
    <t>Consumption block 2</t>
  </si>
  <si>
    <t>Consumption block 1</t>
  </si>
  <si>
    <t>$/qr</t>
  </si>
  <si>
    <t>Minimum bill</t>
  </si>
  <si>
    <t xml:space="preserve">Supply fee </t>
  </si>
  <si>
    <t>c/day</t>
  </si>
  <si>
    <t>NSW residential tariff (excluding GST)</t>
  </si>
  <si>
    <t>excl GST</t>
  </si>
  <si>
    <t>SECTION 1: INPUTS</t>
  </si>
  <si>
    <t>row no.</t>
  </si>
  <si>
    <t>Index of tables</t>
  </si>
  <si>
    <t>GAS</t>
  </si>
  <si>
    <t>Financial year ending 30 June</t>
  </si>
  <si>
    <t xml:space="preserve">Sources: </t>
  </si>
  <si>
    <t>MJ/day</t>
  </si>
  <si>
    <t>Block 2 next</t>
  </si>
  <si>
    <t>Consumption block 3</t>
  </si>
  <si>
    <t>Consumption block 4</t>
  </si>
  <si>
    <t>Consumption block 5</t>
  </si>
  <si>
    <t>Block 3 next</t>
  </si>
  <si>
    <t>Block 4 next</t>
  </si>
  <si>
    <t>Block 5 next</t>
  </si>
  <si>
    <t>Block 3 up to</t>
  </si>
  <si>
    <t>Block 4 up to</t>
  </si>
  <si>
    <t>Block 5 up to</t>
  </si>
  <si>
    <t>Consumption at block 4 prices</t>
  </si>
  <si>
    <t>Consumption at block 5 prices</t>
  </si>
  <si>
    <t>Consumption at remainder prices</t>
  </si>
  <si>
    <t>Block 4 charge</t>
  </si>
  <si>
    <t>Block 5 charge</t>
  </si>
  <si>
    <t>Remainder block charge</t>
  </si>
  <si>
    <t>Check=0</t>
  </si>
  <si>
    <t>Comsumption prices</t>
  </si>
  <si>
    <t>Consumption bands</t>
  </si>
  <si>
    <t>CPI</t>
  </si>
  <si>
    <t>Inflator</t>
  </si>
  <si>
    <t>Pricing and consumption data source</t>
  </si>
  <si>
    <t>D20/9301</t>
  </si>
  <si>
    <t>D20/3902</t>
  </si>
  <si>
    <t>D20/9304</t>
  </si>
  <si>
    <t>D20/9303</t>
  </si>
  <si>
    <t>D20/9305</t>
  </si>
  <si>
    <t>D20/9300</t>
  </si>
  <si>
    <t>Input Table 1.2 - CPI inflators and GST</t>
  </si>
  <si>
    <t>Input Table 1.1 - Residential tariffs and consumption  - Jemena distribution zone</t>
  </si>
  <si>
    <t>AGL standard retail contract rates</t>
  </si>
  <si>
    <t>AGL regulated retail prices</t>
  </si>
  <si>
    <t>$2019-20 real</t>
  </si>
  <si>
    <t>Table 2.1 - AGL Gas bills for a 'typical'  residential customer (20,000 MJ), and index of charges (including GST)</t>
  </si>
  <si>
    <t>Table 2.2  - AGL Gas bills for a small residential customer (15,500 MJ) (including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</si>
</sst>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%"/>
    <numFmt numFmtId="166" formatCode="#,##0.0"/>
    <numFmt numFmtId="167" formatCode="_-* #,##0_-;\-* #,##0_-;_-* &quot;-&quot;??_-;_-@_-"/>
    <numFmt numFmtId="168" formatCode="_-* #,##0.0_-;\-* #,##0.0_-;_-* &quot;-&quot;??_-;_-@_-"/>
    <numFmt numFmtId="169" formatCode="#,##0.000_ ;\-#,##0.000\ "/>
    <numFmt numFmtId="170" formatCode="0.000"/>
    <numFmt numFmtId="171" formatCode="_-* #,##0.00_-;\-* #,##0.00_-;_-* &quot;-&quot;_-;_-@_-"/>
    <numFmt numFmtId="172" formatCode="#,##0_ ;\-#,##0\ "/>
    <numFmt numFmtId="173" formatCode="_-* #,##0.0000_-;\-* #,##0.0000_-;_-* &quot;-&quot;??_-;_-@_-"/>
  </numFmts>
  <fonts count="28" x14ac:knownFonts="1">
    <font>
      <sz val="9"/>
      <name val="Arial"/>
      <family val="2"/>
    </font>
    <font>
      <sz val="9"/>
      <name val="Arial"/>
      <family val="2"/>
    </font>
    <font>
      <sz val="9"/>
      <color indexed="14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color indexed="5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14"/>
      <name val="Arial"/>
      <family val="2"/>
    </font>
    <font>
      <b/>
      <sz val="9"/>
      <color indexed="41"/>
      <name val="Arial"/>
      <family val="2"/>
    </font>
    <font>
      <b/>
      <sz val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15"/>
      </patternFill>
    </fill>
    <fill>
      <patternFill patternType="solid">
        <fgColor rgb="FFCCFFCC"/>
        <bgColor indexed="15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8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rgb="FFFF000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 style="double">
        <color rgb="FFFF0000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13" applyNumberFormat="0" applyFont="0" applyFill="0" applyAlignment="0" applyProtection="0"/>
    <xf numFmtId="164" fontId="15" fillId="0" borderId="0" applyNumberFormat="0" applyFill="0" applyBorder="0" applyAlignment="0">
      <alignment horizontal="left"/>
    </xf>
    <xf numFmtId="0" fontId="3" fillId="0" borderId="0" applyNumberFormat="0" applyFill="0" applyBorder="0" applyAlignment="0"/>
    <xf numFmtId="4" fontId="1" fillId="4" borderId="0" applyBorder="0" applyAlignment="0">
      <alignment horizontal="right"/>
      <protection locked="0"/>
    </xf>
    <xf numFmtId="165" fontId="1" fillId="4" borderId="0" applyBorder="0" applyAlignment="0">
      <alignment horizontal="right"/>
      <protection locked="0"/>
    </xf>
    <xf numFmtId="3" fontId="5" fillId="0" borderId="0" applyNumberFormat="0" applyFill="0" applyBorder="0" applyAlignment="0" applyProtection="0">
      <protection locked="0"/>
    </xf>
    <xf numFmtId="41" fontId="6" fillId="5" borderId="0" applyNumberFormat="0" applyBorder="0" applyAlignment="0"/>
    <xf numFmtId="0" fontId="7" fillId="0" borderId="0" applyNumberFormat="0" applyFill="0" applyBorder="0" applyAlignment="0" applyProtection="0"/>
    <xf numFmtId="166" fontId="1" fillId="2" borderId="0" applyBorder="0" applyAlignment="0">
      <alignment horizontal="right"/>
      <protection locked="0"/>
    </xf>
    <xf numFmtId="165" fontId="1" fillId="3" borderId="0" applyBorder="0" applyAlignment="0">
      <protection locked="0"/>
    </xf>
    <xf numFmtId="0" fontId="12" fillId="6" borderId="0" applyNumberFormat="0" applyBorder="0" applyAlignment="0" applyProtection="0"/>
    <xf numFmtId="165" fontId="1" fillId="2" borderId="0" applyBorder="0" applyAlignment="0">
      <alignment horizontal="left"/>
      <protection locked="0"/>
    </xf>
    <xf numFmtId="166" fontId="1" fillId="3" borderId="1" applyBorder="0" applyAlignment="0">
      <alignment horizontal="right"/>
      <protection locked="0"/>
    </xf>
    <xf numFmtId="9" fontId="13" fillId="0" borderId="0" applyFont="0" applyBorder="0" applyAlignment="0" applyProtection="0"/>
    <xf numFmtId="9" fontId="13" fillId="0" borderId="0" applyFont="0" applyBorder="0" applyAlignment="0" applyProtection="0"/>
    <xf numFmtId="9" fontId="1" fillId="0" borderId="0" applyFont="0" applyFill="0" applyBorder="0" applyAlignment="0" applyProtection="0"/>
    <xf numFmtId="41" fontId="1" fillId="4" borderId="0" applyBorder="0" applyAlignment="0">
      <alignment horizontal="right"/>
      <protection locked="0"/>
    </xf>
  </cellStyleXfs>
  <cellXfs count="196">
    <xf numFmtId="0" fontId="0" fillId="0" borderId="0" xfId="0"/>
    <xf numFmtId="0" fontId="9" fillId="0" borderId="0" xfId="0" applyFont="1"/>
    <xf numFmtId="0" fontId="4" fillId="0" borderId="0" xfId="0" applyFont="1"/>
    <xf numFmtId="0" fontId="0" fillId="0" borderId="0" xfId="0" applyFont="1"/>
    <xf numFmtId="0" fontId="10" fillId="0" borderId="0" xfId="0" applyFont="1"/>
    <xf numFmtId="0" fontId="1" fillId="0" borderId="0" xfId="0" applyFont="1"/>
    <xf numFmtId="0" fontId="4" fillId="0" borderId="0" xfId="0" applyFont="1" applyAlignment="1"/>
    <xf numFmtId="0" fontId="0" fillId="0" borderId="0" xfId="0" applyFont="1" applyBorder="1"/>
    <xf numFmtId="0" fontId="14" fillId="0" borderId="0" xfId="0" applyFont="1" applyAlignment="1"/>
    <xf numFmtId="0" fontId="4" fillId="0" borderId="0" xfId="0" applyFont="1" applyBorder="1"/>
    <xf numFmtId="167" fontId="4" fillId="0" borderId="0" xfId="0" applyNumberFormat="1" applyFont="1"/>
    <xf numFmtId="0" fontId="4" fillId="0" borderId="0" xfId="0" applyFont="1" applyFill="1" applyBorder="1"/>
    <xf numFmtId="167" fontId="9" fillId="0" borderId="0" xfId="0" applyNumberFormat="1" applyFont="1" applyFill="1"/>
    <xf numFmtId="0" fontId="9" fillId="0" borderId="0" xfId="0" applyFont="1" applyFill="1"/>
    <xf numFmtId="0" fontId="8" fillId="0" borderId="0" xfId="0" applyFont="1" applyBorder="1"/>
    <xf numFmtId="0" fontId="14" fillId="0" borderId="0" xfId="0" applyFont="1" applyFill="1" applyAlignment="1"/>
    <xf numFmtId="0" fontId="0" fillId="0" borderId="1" xfId="0" applyFont="1" applyFill="1" applyBorder="1"/>
    <xf numFmtId="0" fontId="0" fillId="0" borderId="11" xfId="0" applyFont="1" applyFill="1" applyBorder="1"/>
    <xf numFmtId="0" fontId="14" fillId="0" borderId="0" xfId="0" applyFont="1" applyFill="1" applyBorder="1" applyAlignment="1"/>
    <xf numFmtId="165" fontId="1" fillId="0" borderId="0" xfId="18" applyNumberFormat="1" applyFont="1" applyFill="1" applyBorder="1"/>
    <xf numFmtId="0" fontId="0" fillId="0" borderId="0" xfId="0" applyFont="1" applyFill="1" applyBorder="1"/>
    <xf numFmtId="0" fontId="5" fillId="0" borderId="1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9" xfId="0" applyFont="1" applyFill="1" applyBorder="1"/>
    <xf numFmtId="1" fontId="0" fillId="0" borderId="0" xfId="0" applyNumberFormat="1" applyFont="1" applyFill="1" applyBorder="1"/>
    <xf numFmtId="0" fontId="0" fillId="0" borderId="10" xfId="0" applyFont="1" applyFill="1" applyBorder="1"/>
    <xf numFmtId="167" fontId="1" fillId="7" borderId="0" xfId="1" applyNumberFormat="1" applyFont="1" applyFill="1" applyBorder="1"/>
    <xf numFmtId="167" fontId="1" fillId="8" borderId="0" xfId="1" applyNumberFormat="1" applyFont="1" applyFill="1" applyBorder="1"/>
    <xf numFmtId="167" fontId="1" fillId="9" borderId="0" xfId="1" applyNumberFormat="1" applyFont="1" applyFill="1" applyBorder="1"/>
    <xf numFmtId="0" fontId="1" fillId="9" borderId="10" xfId="0" applyFont="1" applyFill="1" applyBorder="1"/>
    <xf numFmtId="0" fontId="11" fillId="9" borderId="9" xfId="0" applyFont="1" applyFill="1" applyBorder="1"/>
    <xf numFmtId="0" fontId="0" fillId="9" borderId="0" xfId="0" applyFont="1" applyFill="1" applyBorder="1"/>
    <xf numFmtId="167" fontId="2" fillId="0" borderId="0" xfId="1" applyNumberFormat="1" applyFont="1" applyFill="1" applyBorder="1"/>
    <xf numFmtId="167" fontId="15" fillId="0" borderId="0" xfId="1" applyNumberFormat="1" applyFont="1" applyFill="1" applyBorder="1"/>
    <xf numFmtId="0" fontId="14" fillId="0" borderId="10" xfId="0" applyFont="1" applyFill="1" applyBorder="1"/>
    <xf numFmtId="0" fontId="14" fillId="0" borderId="0" xfId="0" applyFont="1" applyFill="1" applyBorder="1"/>
    <xf numFmtId="0" fontId="11" fillId="0" borderId="9" xfId="0" applyFont="1" applyFill="1" applyBorder="1"/>
    <xf numFmtId="167" fontId="2" fillId="0" borderId="2" xfId="1" applyNumberFormat="1" applyFont="1" applyFill="1" applyBorder="1"/>
    <xf numFmtId="167" fontId="15" fillId="0" borderId="2" xfId="1" applyNumberFormat="1" applyFont="1" applyFill="1" applyBorder="1"/>
    <xf numFmtId="0" fontId="14" fillId="0" borderId="8" xfId="0" applyFont="1" applyFill="1" applyBorder="1"/>
    <xf numFmtId="0" fontId="14" fillId="0" borderId="2" xfId="0" applyFont="1" applyFill="1" applyBorder="1"/>
    <xf numFmtId="0" fontId="15" fillId="0" borderId="7" xfId="0" applyFont="1" applyFill="1" applyBorder="1" applyAlignment="1"/>
    <xf numFmtId="167" fontId="1" fillId="0" borderId="0" xfId="1" applyNumberFormat="1" applyFont="1" applyFill="1" applyBorder="1"/>
    <xf numFmtId="0" fontId="1" fillId="0" borderId="10" xfId="0" applyFont="1" applyFill="1" applyBorder="1"/>
    <xf numFmtId="0" fontId="1" fillId="0" borderId="0" xfId="0" applyFont="1" applyFill="1" applyBorder="1"/>
    <xf numFmtId="0" fontId="1" fillId="0" borderId="9" xfId="0" applyFont="1" applyFill="1" applyBorder="1"/>
    <xf numFmtId="167" fontId="1" fillId="0" borderId="14" xfId="1" applyNumberFormat="1" applyFont="1" applyFill="1" applyBorder="1"/>
    <xf numFmtId="0" fontId="1" fillId="0" borderId="9" xfId="0" applyFont="1" applyFill="1" applyBorder="1" applyAlignment="1">
      <alignment wrapText="1"/>
    </xf>
    <xf numFmtId="167" fontId="4" fillId="0" borderId="0" xfId="1" applyNumberFormat="1" applyFont="1" applyFill="1" applyBorder="1"/>
    <xf numFmtId="0" fontId="15" fillId="0" borderId="9" xfId="0" applyFont="1" applyFill="1" applyBorder="1" applyAlignment="1"/>
    <xf numFmtId="167" fontId="1" fillId="10" borderId="0" xfId="1" applyNumberFormat="1" applyFont="1" applyFill="1" applyBorder="1"/>
    <xf numFmtId="167" fontId="1" fillId="0" borderId="13" xfId="1" applyNumberFormat="1" applyFont="1" applyFill="1" applyBorder="1"/>
    <xf numFmtId="167" fontId="1" fillId="10" borderId="15" xfId="1" applyNumberFormat="1" applyFont="1" applyFill="1" applyBorder="1"/>
    <xf numFmtId="167" fontId="1" fillId="0" borderId="15" xfId="1" applyNumberFormat="1" applyFont="1" applyFill="1" applyBorder="1"/>
    <xf numFmtId="167" fontId="0" fillId="0" borderId="0" xfId="1" applyNumberFormat="1" applyFont="1" applyFill="1" applyBorder="1"/>
    <xf numFmtId="167" fontId="0" fillId="0" borderId="4" xfId="1" applyNumberFormat="1" applyFont="1" applyFill="1" applyBorder="1"/>
    <xf numFmtId="167" fontId="0" fillId="0" borderId="3" xfId="1" applyNumberFormat="1" applyFont="1" applyFill="1" applyBorder="1"/>
    <xf numFmtId="0" fontId="4" fillId="0" borderId="0" xfId="0" applyFont="1" applyFill="1"/>
    <xf numFmtId="0" fontId="1" fillId="0" borderId="0" xfId="0" applyFont="1" applyFill="1"/>
    <xf numFmtId="1" fontId="11" fillId="0" borderId="0" xfId="0" applyNumberFormat="1" applyFont="1" applyFill="1" applyBorder="1" applyAlignment="1">
      <alignment horizontal="right"/>
    </xf>
    <xf numFmtId="1" fontId="1" fillId="0" borderId="1" xfId="1" applyNumberFormat="1" applyFont="1" applyFill="1" applyBorder="1" applyAlignment="1">
      <alignment horizontal="left"/>
    </xf>
    <xf numFmtId="1" fontId="0" fillId="0" borderId="1" xfId="1" applyNumberFormat="1" applyFont="1" applyFill="1" applyBorder="1" applyAlignment="1">
      <alignment horizontal="left"/>
    </xf>
    <xf numFmtId="1" fontId="1" fillId="0" borderId="1" xfId="1" applyNumberFormat="1" applyFont="1" applyFill="1" applyBorder="1" applyAlignment="1">
      <alignment horizontal="right"/>
    </xf>
    <xf numFmtId="1" fontId="1" fillId="0" borderId="11" xfId="1" applyNumberFormat="1" applyFont="1" applyFill="1" applyBorder="1" applyAlignment="1">
      <alignment horizontal="right"/>
    </xf>
    <xf numFmtId="0" fontId="0" fillId="0" borderId="12" xfId="0" applyFont="1" applyFill="1" applyBorder="1"/>
    <xf numFmtId="1" fontId="11" fillId="0" borderId="2" xfId="0" applyNumberFormat="1" applyFont="1" applyFill="1" applyBorder="1" applyAlignment="1">
      <alignment horizontal="right"/>
    </xf>
    <xf numFmtId="1" fontId="11" fillId="0" borderId="7" xfId="0" applyNumberFormat="1" applyFont="1" applyFill="1" applyBorder="1" applyAlignment="1">
      <alignment horizontal="right"/>
    </xf>
    <xf numFmtId="0" fontId="0" fillId="0" borderId="8" xfId="0" applyFont="1" applyFill="1" applyBorder="1"/>
    <xf numFmtId="0" fontId="0" fillId="0" borderId="2" xfId="0" applyFont="1" applyFill="1" applyBorder="1"/>
    <xf numFmtId="0" fontId="0" fillId="0" borderId="7" xfId="0" applyFont="1" applyFill="1" applyBorder="1"/>
    <xf numFmtId="2" fontId="4" fillId="0" borderId="0" xfId="0" applyNumberFormat="1" applyFont="1" applyFill="1"/>
    <xf numFmtId="167" fontId="2" fillId="0" borderId="1" xfId="1" applyNumberFormat="1" applyFont="1" applyFill="1" applyBorder="1"/>
    <xf numFmtId="0" fontId="2" fillId="0" borderId="11" xfId="0" applyFont="1" applyFill="1" applyBorder="1" applyAlignment="1"/>
    <xf numFmtId="1" fontId="6" fillId="11" borderId="6" xfId="0" applyNumberFormat="1" applyFont="1" applyFill="1" applyBorder="1"/>
    <xf numFmtId="1" fontId="16" fillId="5" borderId="6" xfId="0" applyNumberFormat="1" applyFont="1" applyFill="1" applyBorder="1"/>
    <xf numFmtId="2" fontId="6" fillId="5" borderId="6" xfId="0" applyNumberFormat="1" applyFont="1" applyFill="1" applyBorder="1"/>
    <xf numFmtId="0" fontId="6" fillId="5" borderId="16" xfId="0" applyFont="1" applyFill="1" applyBorder="1"/>
    <xf numFmtId="165" fontId="0" fillId="0" borderId="1" xfId="18" applyNumberFormat="1" applyFont="1" applyFill="1" applyBorder="1"/>
    <xf numFmtId="165" fontId="6" fillId="11" borderId="1" xfId="18" applyNumberFormat="1" applyFont="1" applyFill="1" applyBorder="1"/>
    <xf numFmtId="165" fontId="0" fillId="0" borderId="0" xfId="18" applyNumberFormat="1" applyFont="1" applyFill="1" applyBorder="1"/>
    <xf numFmtId="167" fontId="0" fillId="9" borderId="14" xfId="1" applyNumberFormat="1" applyFont="1" applyFill="1" applyBorder="1"/>
    <xf numFmtId="167" fontId="0" fillId="9" borderId="17" xfId="1" applyNumberFormat="1" applyFont="1" applyFill="1" applyBorder="1"/>
    <xf numFmtId="0" fontId="0" fillId="9" borderId="10" xfId="0" applyFont="1" applyFill="1" applyBorder="1"/>
    <xf numFmtId="0" fontId="0" fillId="9" borderId="9" xfId="0" applyFont="1" applyFill="1" applyBorder="1"/>
    <xf numFmtId="0" fontId="2" fillId="0" borderId="7" xfId="0" applyFont="1" applyFill="1" applyBorder="1" applyAlignment="1"/>
    <xf numFmtId="168" fontId="11" fillId="0" borderId="0" xfId="1" applyNumberFormat="1" applyFont="1" applyFill="1" applyBorder="1"/>
    <xf numFmtId="168" fontId="0" fillId="0" borderId="0" xfId="0" applyNumberFormat="1" applyFill="1" applyBorder="1" applyProtection="1"/>
    <xf numFmtId="165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165" fontId="6" fillId="11" borderId="0" xfId="18" applyNumberFormat="1" applyFont="1" applyFill="1" applyBorder="1"/>
    <xf numFmtId="167" fontId="0" fillId="0" borderId="14" xfId="1" applyNumberFormat="1" applyFont="1" applyFill="1" applyBorder="1"/>
    <xf numFmtId="167" fontId="0" fillId="0" borderId="17" xfId="1" applyNumberFormat="1" applyFont="1" applyFill="1" applyBorder="1"/>
    <xf numFmtId="0" fontId="0" fillId="0" borderId="9" xfId="0" applyFont="1" applyFill="1" applyBorder="1" applyAlignment="1">
      <alignment wrapText="1"/>
    </xf>
    <xf numFmtId="0" fontId="2" fillId="0" borderId="9" xfId="0" applyFont="1" applyFill="1" applyBorder="1" applyAlignment="1"/>
    <xf numFmtId="167" fontId="0" fillId="10" borderId="0" xfId="1" applyNumberFormat="1" applyFont="1" applyFill="1" applyBorder="1"/>
    <xf numFmtId="167" fontId="0" fillId="0" borderId="13" xfId="1" applyNumberFormat="1" applyFont="1" applyFill="1" applyBorder="1"/>
    <xf numFmtId="0" fontId="0" fillId="0" borderId="9" xfId="0" applyFont="1" applyFill="1" applyBorder="1" applyAlignment="1"/>
    <xf numFmtId="167" fontId="0" fillId="10" borderId="15" xfId="1" applyNumberFormat="1" applyFont="1" applyFill="1" applyBorder="1"/>
    <xf numFmtId="167" fontId="0" fillId="0" borderId="15" xfId="1" applyNumberFormat="1" applyFont="1" applyFill="1" applyBorder="1"/>
    <xf numFmtId="0" fontId="10" fillId="0" borderId="0" xfId="0" applyFont="1" applyFill="1"/>
    <xf numFmtId="0" fontId="4" fillId="0" borderId="0" xfId="0" applyFont="1" applyFill="1" applyAlignment="1">
      <alignment horizontal="center"/>
    </xf>
    <xf numFmtId="43" fontId="0" fillId="0" borderId="1" xfId="0" applyNumberFormat="1" applyFont="1" applyFill="1" applyBorder="1"/>
    <xf numFmtId="0" fontId="4" fillId="0" borderId="0" xfId="0" applyFont="1" applyFill="1" applyBorder="1" applyAlignment="1"/>
    <xf numFmtId="165" fontId="0" fillId="0" borderId="2" xfId="18" applyNumberFormat="1" applyFont="1" applyFill="1" applyBorder="1" applyAlignment="1">
      <alignment horizontal="right"/>
    </xf>
    <xf numFmtId="1" fontId="11" fillId="0" borderId="6" xfId="0" applyNumberFormat="1" applyFont="1" applyFill="1" applyBorder="1" applyAlignment="1">
      <alignment horizontal="right"/>
    </xf>
    <xf numFmtId="1" fontId="11" fillId="0" borderId="16" xfId="0" applyNumberFormat="1" applyFont="1" applyFill="1" applyBorder="1" applyAlignment="1">
      <alignment horizontal="right"/>
    </xf>
    <xf numFmtId="0" fontId="0" fillId="0" borderId="18" xfId="0" applyFont="1" applyFill="1" applyBorder="1"/>
    <xf numFmtId="0" fontId="0" fillId="0" borderId="6" xfId="0" applyFont="1" applyFill="1" applyBorder="1"/>
    <xf numFmtId="0" fontId="0" fillId="0" borderId="16" xfId="0" applyFont="1" applyFill="1" applyBorder="1"/>
    <xf numFmtId="0" fontId="5" fillId="0" borderId="0" xfId="0" applyFont="1" applyFill="1"/>
    <xf numFmtId="168" fontId="5" fillId="0" borderId="0" xfId="1" applyNumberFormat="1" applyFont="1" applyFill="1"/>
    <xf numFmtId="0" fontId="8" fillId="0" borderId="0" xfId="0" applyFont="1" applyFill="1"/>
    <xf numFmtId="0" fontId="5" fillId="0" borderId="0" xfId="0" applyFont="1" applyFill="1" applyBorder="1"/>
    <xf numFmtId="0" fontId="4" fillId="0" borderId="5" xfId="0" applyFont="1" applyFill="1" applyBorder="1"/>
    <xf numFmtId="0" fontId="5" fillId="0" borderId="5" xfId="0" applyFont="1" applyFill="1" applyBorder="1"/>
    <xf numFmtId="167" fontId="1" fillId="0" borderId="5" xfId="1" applyNumberFormat="1" applyFont="1" applyFill="1" applyBorder="1"/>
    <xf numFmtId="0" fontId="0" fillId="12" borderId="1" xfId="0" applyFont="1" applyFill="1" applyBorder="1"/>
    <xf numFmtId="0" fontId="0" fillId="12" borderId="11" xfId="0" applyFont="1" applyFill="1" applyBorder="1"/>
    <xf numFmtId="0" fontId="4" fillId="0" borderId="0" xfId="0" applyFont="1" applyFill="1" applyAlignment="1"/>
    <xf numFmtId="0" fontId="0" fillId="12" borderId="0" xfId="0" applyFont="1" applyFill="1" applyBorder="1"/>
    <xf numFmtId="0" fontId="0" fillId="12" borderId="9" xfId="0" applyFont="1" applyFill="1" applyBorder="1"/>
    <xf numFmtId="0" fontId="0" fillId="12" borderId="2" xfId="0" applyFont="1" applyFill="1" applyBorder="1"/>
    <xf numFmtId="0" fontId="0" fillId="12" borderId="7" xfId="0" applyFont="1" applyFill="1" applyBorder="1"/>
    <xf numFmtId="0" fontId="0" fillId="0" borderId="0" xfId="0" applyFont="1" applyFill="1" applyBorder="1" applyAlignment="1">
      <alignment horizontal="center"/>
    </xf>
    <xf numFmtId="9" fontId="0" fillId="0" borderId="0" xfId="0" applyNumberFormat="1" applyFont="1" applyFill="1" applyBorder="1"/>
    <xf numFmtId="9" fontId="3" fillId="0" borderId="0" xfId="0" applyNumberFormat="1" applyFont="1" applyFill="1" applyBorder="1"/>
    <xf numFmtId="0" fontId="3" fillId="0" borderId="10" xfId="0" applyFont="1" applyFill="1" applyBorder="1"/>
    <xf numFmtId="0" fontId="3" fillId="0" borderId="0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/>
    <xf numFmtId="0" fontId="11" fillId="0" borderId="11" xfId="0" applyFont="1" applyFill="1" applyBorder="1"/>
    <xf numFmtId="0" fontId="9" fillId="0" borderId="0" xfId="0" applyFont="1" applyFill="1" applyAlignment="1"/>
    <xf numFmtId="41" fontId="0" fillId="4" borderId="3" xfId="19" applyFont="1" applyBorder="1" applyAlignment="1">
      <protection locked="0"/>
    </xf>
    <xf numFmtId="0" fontId="0" fillId="0" borderId="2" xfId="0" applyFont="1" applyFill="1" applyBorder="1" applyAlignment="1">
      <alignment horizontal="center"/>
    </xf>
    <xf numFmtId="0" fontId="11" fillId="0" borderId="7" xfId="0" applyFont="1" applyFill="1" applyBorder="1"/>
    <xf numFmtId="0" fontId="0" fillId="0" borderId="1" xfId="0" applyFont="1" applyBorder="1"/>
    <xf numFmtId="0" fontId="0" fillId="0" borderId="11" xfId="0" applyFont="1" applyBorder="1"/>
    <xf numFmtId="41" fontId="0" fillId="4" borderId="0" xfId="19" applyFont="1" applyBorder="1" applyAlignment="1">
      <protection locked="0"/>
    </xf>
    <xf numFmtId="41" fontId="1" fillId="4" borderId="0" xfId="19" applyNumberFormat="1" applyFont="1" applyBorder="1" applyAlignment="1">
      <protection locked="0"/>
    </xf>
    <xf numFmtId="0" fontId="0" fillId="10" borderId="0" xfId="0" applyFont="1" applyFill="1" applyBorder="1"/>
    <xf numFmtId="0" fontId="0" fillId="10" borderId="0" xfId="0" applyFont="1" applyFill="1"/>
    <xf numFmtId="2" fontId="5" fillId="10" borderId="0" xfId="0" applyNumberFormat="1" applyFont="1" applyFill="1" applyBorder="1"/>
    <xf numFmtId="167" fontId="5" fillId="0" borderId="10" xfId="1" applyNumberFormat="1" applyFont="1" applyFill="1" applyBorder="1"/>
    <xf numFmtId="2" fontId="5" fillId="0" borderId="0" xfId="0" applyNumberFormat="1" applyFont="1" applyFill="1" applyBorder="1"/>
    <xf numFmtId="2" fontId="5" fillId="0" borderId="19" xfId="0" applyNumberFormat="1" applyFont="1" applyFill="1" applyBorder="1"/>
    <xf numFmtId="169" fontId="0" fillId="4" borderId="0" xfId="19" applyNumberFormat="1" applyFont="1" applyBorder="1" applyAlignment="1">
      <protection locked="0"/>
    </xf>
    <xf numFmtId="170" fontId="1" fillId="4" borderId="0" xfId="19" applyNumberFormat="1" applyFont="1" applyBorder="1" applyAlignment="1">
      <alignment horizontal="right"/>
      <protection locked="0"/>
    </xf>
    <xf numFmtId="170" fontId="0" fillId="10" borderId="0" xfId="0" applyNumberFormat="1" applyFont="1" applyFill="1" applyBorder="1"/>
    <xf numFmtId="2" fontId="0" fillId="10" borderId="0" xfId="0" applyNumberFormat="1" applyFont="1" applyFill="1" applyBorder="1"/>
    <xf numFmtId="171" fontId="0" fillId="4" borderId="0" xfId="19" applyNumberFormat="1" applyFont="1" applyBorder="1" applyAlignment="1">
      <protection locked="0"/>
    </xf>
    <xf numFmtId="170" fontId="0" fillId="4" borderId="0" xfId="19" applyNumberFormat="1" applyFont="1" applyBorder="1" applyAlignment="1">
      <protection locked="0"/>
    </xf>
    <xf numFmtId="2" fontId="0" fillId="4" borderId="0" xfId="19" applyNumberFormat="1" applyFont="1" applyBorder="1" applyAlignment="1">
      <protection locked="0"/>
    </xf>
    <xf numFmtId="170" fontId="1" fillId="4" borderId="0" xfId="19" applyNumberFormat="1" applyFont="1" applyBorder="1" applyAlignment="1">
      <protection locked="0"/>
    </xf>
    <xf numFmtId="43" fontId="0" fillId="0" borderId="0" xfId="0" applyNumberFormat="1" applyFont="1" applyFill="1"/>
    <xf numFmtId="2" fontId="1" fillId="4" borderId="0" xfId="19" applyNumberFormat="1" applyFont="1" applyBorder="1" applyAlignment="1"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1" fillId="0" borderId="0" xfId="0" applyFont="1" applyFill="1" applyBorder="1"/>
    <xf numFmtId="1" fontId="0" fillId="0" borderId="2" xfId="0" applyNumberFormat="1" applyFont="1" applyFill="1" applyBorder="1" applyAlignment="1">
      <alignment horizontal="right"/>
    </xf>
    <xf numFmtId="0" fontId="24" fillId="0" borderId="0" xfId="0" applyFont="1"/>
    <xf numFmtId="0" fontId="25" fillId="0" borderId="0" xfId="0" applyFont="1" applyAlignment="1">
      <alignment wrapText="1"/>
    </xf>
    <xf numFmtId="43" fontId="0" fillId="0" borderId="0" xfId="0" applyNumberFormat="1" applyFont="1" applyFill="1" applyBorder="1"/>
    <xf numFmtId="3" fontId="1" fillId="0" borderId="0" xfId="19" applyNumberFormat="1" applyFont="1" applyFill="1" applyBorder="1" applyAlignment="1">
      <protection locked="0"/>
    </xf>
    <xf numFmtId="43" fontId="0" fillId="0" borderId="0" xfId="1" applyNumberFormat="1" applyFont="1" applyFill="1" applyBorder="1"/>
    <xf numFmtId="167" fontId="0" fillId="13" borderId="0" xfId="1" applyNumberFormat="1" applyFont="1" applyFill="1" applyBorder="1"/>
    <xf numFmtId="172" fontId="2" fillId="0" borderId="1" xfId="1" applyNumberFormat="1" applyFont="1" applyFill="1" applyBorder="1"/>
    <xf numFmtId="167" fontId="0" fillId="10" borderId="13" xfId="1" applyNumberFormat="1" applyFont="1" applyFill="1" applyBorder="1"/>
    <xf numFmtId="167" fontId="0" fillId="13" borderId="13" xfId="1" applyNumberFormat="1" applyFont="1" applyFill="1" applyBorder="1"/>
    <xf numFmtId="167" fontId="0" fillId="0" borderId="20" xfId="1" applyNumberFormat="1" applyFont="1" applyFill="1" applyBorder="1"/>
    <xf numFmtId="0" fontId="5" fillId="0" borderId="0" xfId="8" applyNumberFormat="1" applyFill="1" applyBorder="1" applyProtection="1"/>
    <xf numFmtId="0" fontId="5" fillId="0" borderId="0" xfId="8" applyNumberFormat="1" applyFill="1" applyBorder="1" applyAlignment="1" applyProtection="1">
      <alignment wrapText="1"/>
    </xf>
    <xf numFmtId="0" fontId="5" fillId="0" borderId="0" xfId="8" applyNumberFormat="1" applyBorder="1" applyProtection="1"/>
    <xf numFmtId="0" fontId="5" fillId="9" borderId="0" xfId="8" applyNumberFormat="1" applyFill="1" applyBorder="1" applyProtection="1"/>
    <xf numFmtId="165" fontId="0" fillId="10" borderId="0" xfId="18" applyNumberFormat="1" applyFont="1" applyFill="1" applyBorder="1"/>
    <xf numFmtId="165" fontId="1" fillId="4" borderId="0" xfId="7" applyBorder="1" applyAlignment="1">
      <alignment horizontal="right"/>
      <protection locked="0"/>
    </xf>
    <xf numFmtId="4" fontId="1" fillId="0" borderId="0" xfId="0" applyNumberFormat="1" applyFont="1" applyFill="1"/>
    <xf numFmtId="173" fontId="4" fillId="0" borderId="0" xfId="0" applyNumberFormat="1" applyFont="1" applyFill="1"/>
    <xf numFmtId="0" fontId="4" fillId="0" borderId="1" xfId="0" applyFont="1" applyBorder="1"/>
    <xf numFmtId="0" fontId="4" fillId="0" borderId="1" xfId="0" applyFont="1" applyFill="1" applyBorder="1"/>
    <xf numFmtId="0" fontId="4" fillId="0" borderId="2" xfId="0" applyFont="1" applyBorder="1"/>
    <xf numFmtId="0" fontId="4" fillId="0" borderId="2" xfId="0" applyFont="1" applyFill="1" applyBorder="1"/>
    <xf numFmtId="0" fontId="1" fillId="0" borderId="2" xfId="0" applyFont="1" applyFill="1" applyBorder="1"/>
    <xf numFmtId="0" fontId="4" fillId="6" borderId="0" xfId="0" applyFont="1" applyFill="1"/>
    <xf numFmtId="0" fontId="26" fillId="14" borderId="0" xfId="0" applyFont="1" applyFill="1" applyAlignment="1">
      <alignment horizontal="right"/>
    </xf>
    <xf numFmtId="0" fontId="27" fillId="1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26" fillId="14" borderId="0" xfId="0" applyFont="1" applyFill="1" applyAlignment="1">
      <alignment horizontal="left"/>
    </xf>
    <xf numFmtId="0" fontId="4" fillId="0" borderId="11" xfId="0" applyFont="1" applyBorder="1"/>
    <xf numFmtId="0" fontId="4" fillId="0" borderId="12" xfId="0" applyFont="1" applyBorder="1"/>
  </cellXfs>
  <cellStyles count="20">
    <cellStyle name="Change in Formula" xfId="3"/>
    <cellStyle name="Comma" xfId="1" builtinId="3" customBuiltin="1"/>
    <cellStyle name="Comma [0]" xfId="2" builtinId="6" customBuiltin="1"/>
    <cellStyle name="Error checks" xfId="4"/>
    <cellStyle name="Error Warning" xfId="5"/>
    <cellStyle name="Info/Default #" xfId="15"/>
    <cellStyle name="Info/default %" xfId="12"/>
    <cellStyle name="Info/import #" xfId="11"/>
    <cellStyle name="Info/import %" xfId="14"/>
    <cellStyle name="Input #" xfId="6"/>
    <cellStyle name="Input # 2" xfId="19"/>
    <cellStyle name="Input %" xfId="7"/>
    <cellStyle name="Input2" xfId="8"/>
    <cellStyle name="Key Outputs" xfId="9"/>
    <cellStyle name="Links from other files (green) style" xfId="10"/>
    <cellStyle name="Normal" xfId="0" builtinId="0" customBuiltin="1"/>
    <cellStyle name="Percent" xfId="18" builtinId="5"/>
    <cellStyle name="Percent 2" xfId="16"/>
    <cellStyle name="Percent 2 2" xfId="17"/>
    <cellStyle name="QA" xfId="13"/>
  </cellStyles>
  <dxfs count="0"/>
  <tableStyles count="0" defaultTableStyle="TableStyleMedium2" defaultPivotStyle="PivotStyleLight16"/>
  <colors>
    <mruColors>
      <color rgb="FFFFFFCC"/>
      <color rgb="FF8FB8FB"/>
      <color rgb="FF6EA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Part">
  <a:themeElements>
    <a:clrScheme name="iPart">
      <a:dk1>
        <a:srgbClr val="212122"/>
      </a:dk1>
      <a:lt1>
        <a:sysClr val="window" lastClr="FFFFFF"/>
      </a:lt1>
      <a:dk2>
        <a:srgbClr val="007BC4"/>
      </a:dk2>
      <a:lt2>
        <a:srgbClr val="A0A09A"/>
      </a:lt2>
      <a:accent1>
        <a:srgbClr val="194787"/>
      </a:accent1>
      <a:accent2>
        <a:srgbClr val="00AEEF"/>
      </a:accent2>
      <a:accent3>
        <a:srgbClr val="48B749"/>
      </a:accent3>
      <a:accent4>
        <a:srgbClr val="F78D1E"/>
      </a:accent4>
      <a:accent5>
        <a:srgbClr val="CC1F26"/>
      </a:accent5>
      <a:accent6>
        <a:srgbClr val="8E4399"/>
      </a:accent6>
      <a:hlink>
        <a:srgbClr val="0000FF"/>
      </a:hlink>
      <a:folHlink>
        <a:srgbClr val="800080"/>
      </a:folHlink>
    </a:clrScheme>
    <a:fontScheme name="iPart">
      <a:majorFont>
        <a:latin typeface="Book Antiqua"/>
        <a:ea typeface=""/>
        <a:cs typeface=""/>
      </a:majorFont>
      <a:minorFont>
        <a:latin typeface="Book Antiq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Part" id="{5B29015D-EA79-45B6-9D51-0920F8122064}" vid="{EB9EA9A6-3ABD-45FF-A322-72402604B08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</sheetPr>
  <dimension ref="A1:AM252"/>
  <sheetViews>
    <sheetView showGridLines="0" tabSelected="1" zoomScaleNormal="100" workbookViewId="0">
      <selection activeCell="B25" sqref="B25"/>
    </sheetView>
  </sheetViews>
  <sheetFormatPr defaultColWidth="7.8984375" defaultRowHeight="12.5" outlineLevelRow="1" outlineLevelCol="1" x14ac:dyDescent="0.25"/>
  <cols>
    <col min="1" max="1" width="6.8984375" style="2" customWidth="1"/>
    <col min="2" max="2" width="30" style="2" customWidth="1"/>
    <col min="3" max="3" width="13.8984375" style="2" customWidth="1"/>
    <col min="4" max="4" width="10.69921875" style="2" customWidth="1"/>
    <col min="5" max="7" width="9" style="2" hidden="1" customWidth="1" outlineLevel="1"/>
    <col min="8" max="8" width="9.09765625" style="2" hidden="1" customWidth="1" outlineLevel="1"/>
    <col min="9" max="10" width="9.3984375" style="2" hidden="1" customWidth="1" outlineLevel="1"/>
    <col min="11" max="12" width="9.59765625" style="2" hidden="1" customWidth="1" outlineLevel="1"/>
    <col min="13" max="13" width="9.09765625" style="2" hidden="1" customWidth="1" outlineLevel="1"/>
    <col min="14" max="14" width="10.59765625" style="2" hidden="1" customWidth="1" outlineLevel="1"/>
    <col min="15" max="15" width="8.8984375" style="2" hidden="1" customWidth="1" outlineLevel="1"/>
    <col min="16" max="16" width="8.3984375" style="2" hidden="1" customWidth="1" outlineLevel="1"/>
    <col min="17" max="18" width="8.09765625" style="2" hidden="1" customWidth="1" outlineLevel="1"/>
    <col min="19" max="20" width="7.8984375" style="2" hidden="1" customWidth="1" outlineLevel="1"/>
    <col min="21" max="21" width="9.09765625" style="2" hidden="1" customWidth="1" outlineLevel="1"/>
    <col min="22" max="23" width="7.8984375" style="2" hidden="1" customWidth="1" outlineLevel="1"/>
    <col min="24" max="24" width="9.09765625" style="5" customWidth="1" collapsed="1"/>
    <col min="25" max="25" width="9.3984375" style="5" customWidth="1"/>
    <col min="26" max="26" width="11.69921875" style="2" customWidth="1"/>
    <col min="27" max="33" width="11.8984375" style="2" customWidth="1"/>
    <col min="34" max="16384" width="7.8984375" style="2"/>
  </cols>
  <sheetData>
    <row r="1" spans="1:33" s="6" customFormat="1" ht="23" x14ac:dyDescent="0.5">
      <c r="A1" s="8"/>
      <c r="B1" s="163"/>
      <c r="C1" s="163"/>
      <c r="D1" s="163"/>
      <c r="E1" s="163"/>
      <c r="F1" s="163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61"/>
      <c r="Y1" s="161"/>
      <c r="Z1" s="118"/>
      <c r="AA1" s="118"/>
    </row>
    <row r="2" spans="1:33" s="6" customFormat="1" x14ac:dyDescent="0.25">
      <c r="A2" s="18"/>
      <c r="B2" s="162"/>
      <c r="C2" s="162"/>
      <c r="D2" s="162"/>
      <c r="E2" s="162"/>
      <c r="F2" s="162"/>
      <c r="G2" s="102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61"/>
      <c r="Y2" s="161"/>
      <c r="Z2" s="118"/>
      <c r="AA2" s="118"/>
    </row>
    <row r="3" spans="1:33" ht="16.5" customHeight="1" x14ac:dyDescent="0.25">
      <c r="A3" s="18"/>
      <c r="B3" s="11"/>
      <c r="C3" s="11"/>
      <c r="D3" s="11"/>
      <c r="E3" s="11"/>
      <c r="F3" s="11"/>
      <c r="G3" s="11"/>
      <c r="H3" s="144"/>
      <c r="I3" s="144"/>
      <c r="J3" s="144"/>
      <c r="K3" s="144"/>
      <c r="L3" s="57"/>
      <c r="M3" s="144"/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  <c r="Y3" s="58"/>
      <c r="Z3" s="57"/>
      <c r="AA3" s="57"/>
    </row>
    <row r="4" spans="1:33" ht="16.5" customHeight="1" x14ac:dyDescent="0.4">
      <c r="A4" s="15"/>
      <c r="B4" s="160" t="s">
        <v>50</v>
      </c>
      <c r="C4" s="57"/>
      <c r="D4" s="57"/>
      <c r="E4" s="57"/>
      <c r="F4" s="57"/>
      <c r="G4" s="57"/>
      <c r="H4" s="144"/>
      <c r="I4" s="144"/>
      <c r="J4" s="144"/>
      <c r="K4" s="144"/>
      <c r="L4" s="57"/>
      <c r="M4" s="144"/>
      <c r="N4" s="57"/>
      <c r="O4" s="57"/>
      <c r="P4" s="57"/>
      <c r="Q4" s="57"/>
      <c r="R4" s="57"/>
      <c r="S4" s="57"/>
      <c r="T4" s="57"/>
      <c r="U4" s="57"/>
      <c r="V4" s="57"/>
      <c r="W4" s="57"/>
      <c r="X4" s="58"/>
      <c r="Y4" s="58"/>
      <c r="Z4" s="57"/>
      <c r="AA4" s="57"/>
    </row>
    <row r="5" spans="1:33" ht="12.75" customHeight="1" x14ac:dyDescent="0.25">
      <c r="A5" s="15"/>
      <c r="B5" s="57"/>
      <c r="C5" s="57"/>
      <c r="D5" s="57"/>
      <c r="E5" s="57"/>
      <c r="F5" s="57"/>
      <c r="G5" s="57"/>
      <c r="H5" s="144"/>
      <c r="I5" s="144"/>
      <c r="J5" s="144"/>
      <c r="K5" s="144"/>
      <c r="L5" s="57"/>
      <c r="M5" s="144"/>
      <c r="N5" s="57"/>
      <c r="O5" s="57"/>
      <c r="P5" s="57"/>
      <c r="Q5" s="57"/>
      <c r="R5" s="57"/>
      <c r="S5" s="57"/>
      <c r="T5" s="57"/>
      <c r="U5" s="57"/>
      <c r="V5" s="57"/>
      <c r="W5" s="57"/>
      <c r="X5" s="58"/>
      <c r="Y5" s="58"/>
      <c r="Z5" s="57"/>
      <c r="AA5" s="57"/>
    </row>
    <row r="6" spans="1:33" x14ac:dyDescent="0.25">
      <c r="A6" s="15"/>
      <c r="B6" s="157" t="s">
        <v>49</v>
      </c>
      <c r="C6" s="156"/>
      <c r="D6" s="156"/>
      <c r="E6" s="157"/>
      <c r="F6" s="157"/>
      <c r="G6" s="157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V6" s="57"/>
      <c r="W6" s="57"/>
      <c r="X6" s="58"/>
      <c r="Y6" s="58"/>
      <c r="Z6" s="57"/>
      <c r="AA6" s="57"/>
      <c r="AG6" s="156" t="s">
        <v>48</v>
      </c>
    </row>
    <row r="7" spans="1:33" x14ac:dyDescent="0.25">
      <c r="A7" s="15"/>
      <c r="B7" s="164" t="s">
        <v>47</v>
      </c>
      <c r="C7" s="159"/>
      <c r="D7" s="159"/>
      <c r="E7" s="44"/>
      <c r="F7" s="44"/>
      <c r="G7" s="44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86"/>
      <c r="V7" s="187"/>
      <c r="W7" s="187"/>
      <c r="X7" s="188"/>
      <c r="Y7" s="188"/>
      <c r="Z7" s="187"/>
      <c r="AA7" s="187"/>
      <c r="AB7" s="186"/>
      <c r="AC7" s="186"/>
      <c r="AD7" s="186"/>
      <c r="AE7" s="186"/>
      <c r="AF7" s="186"/>
      <c r="AG7" s="159"/>
    </row>
    <row r="8" spans="1:33" x14ac:dyDescent="0.25">
      <c r="A8" s="15"/>
      <c r="B8" s="44" t="str">
        <f>B17</f>
        <v>Input Table 1.1 - Residential tariffs and consumption  - Jemena distribution zone</v>
      </c>
      <c r="C8" s="159"/>
      <c r="D8" s="159"/>
      <c r="E8" s="44"/>
      <c r="F8" s="44"/>
      <c r="G8" s="44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9"/>
      <c r="V8" s="11"/>
      <c r="W8" s="11"/>
      <c r="X8" s="44"/>
      <c r="Y8" s="44"/>
      <c r="Z8" s="11"/>
      <c r="AA8" s="11"/>
      <c r="AB8" s="9"/>
      <c r="AC8" s="9"/>
      <c r="AD8" s="9"/>
      <c r="AE8" s="9"/>
      <c r="AF8" s="9"/>
      <c r="AG8" s="159">
        <f>ROW(B17)</f>
        <v>17</v>
      </c>
    </row>
    <row r="9" spans="1:33" x14ac:dyDescent="0.25">
      <c r="A9" s="15"/>
      <c r="B9" s="44" t="str">
        <f>B59</f>
        <v>Input Table 1.2 - CPI inflators and GST</v>
      </c>
      <c r="C9" s="159"/>
      <c r="D9" s="159"/>
      <c r="E9" s="44"/>
      <c r="F9" s="44"/>
      <c r="G9" s="44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9"/>
      <c r="V9" s="11"/>
      <c r="W9" s="11"/>
      <c r="X9" s="44"/>
      <c r="Y9" s="44"/>
      <c r="Z9" s="11"/>
      <c r="AA9" s="11"/>
      <c r="AB9" s="9"/>
      <c r="AC9" s="9"/>
      <c r="AD9" s="9"/>
      <c r="AE9" s="9"/>
      <c r="AF9" s="9"/>
      <c r="AG9" s="159">
        <f>ROW(B59)</f>
        <v>59</v>
      </c>
    </row>
    <row r="10" spans="1:33" x14ac:dyDescent="0.25">
      <c r="A10" s="44"/>
      <c r="B10" s="164" t="s">
        <v>29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9"/>
      <c r="V10" s="44"/>
      <c r="W10" s="44"/>
      <c r="X10" s="44"/>
      <c r="Y10" s="44"/>
      <c r="Z10" s="44"/>
      <c r="AA10" s="44"/>
      <c r="AB10" s="9"/>
      <c r="AC10" s="9"/>
      <c r="AD10" s="9"/>
      <c r="AE10" s="9"/>
      <c r="AF10" s="9"/>
      <c r="AG10" s="44"/>
    </row>
    <row r="11" spans="1:33" x14ac:dyDescent="0.25">
      <c r="A11" s="15"/>
      <c r="B11" s="58" t="str">
        <f>B69</f>
        <v>Table 2.1 - AGL Gas bills for a 'typical'  residential customer (20,000 MJ), and index of charges (including GST)</v>
      </c>
      <c r="C11" s="158"/>
      <c r="D11" s="158"/>
      <c r="E11" s="58"/>
      <c r="F11" s="58"/>
      <c r="G11" s="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9"/>
      <c r="V11" s="11"/>
      <c r="W11" s="11"/>
      <c r="X11" s="44"/>
      <c r="Y11" s="44"/>
      <c r="Z11" s="11"/>
      <c r="AA11" s="11"/>
      <c r="AB11" s="9"/>
      <c r="AC11" s="9"/>
      <c r="AD11" s="9"/>
      <c r="AE11" s="9"/>
      <c r="AF11" s="9"/>
      <c r="AG11" s="158">
        <f>ROW(B69)</f>
        <v>69</v>
      </c>
    </row>
    <row r="12" spans="1:33" x14ac:dyDescent="0.25">
      <c r="A12" s="15"/>
      <c r="B12" s="157" t="str">
        <f>B107</f>
        <v>Table 2.2  - AGL Gas bills for a small residential customer (15,500 MJ) (including GST)</v>
      </c>
      <c r="C12" s="156"/>
      <c r="D12" s="156"/>
      <c r="E12" s="157"/>
      <c r="F12" s="157"/>
      <c r="G12" s="157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84"/>
      <c r="V12" s="185"/>
      <c r="W12" s="185"/>
      <c r="X12" s="157"/>
      <c r="Y12" s="157"/>
      <c r="Z12" s="185"/>
      <c r="AA12" s="185"/>
      <c r="AB12" s="184"/>
      <c r="AC12" s="184"/>
      <c r="AD12" s="184"/>
      <c r="AE12" s="184"/>
      <c r="AF12" s="184"/>
      <c r="AG12" s="156">
        <f>ROW(B107)</f>
        <v>107</v>
      </c>
    </row>
    <row r="13" spans="1:33" ht="15.5" x14ac:dyDescent="0.35">
      <c r="A13" s="15"/>
      <c r="B13" s="99"/>
      <c r="C13" s="57"/>
      <c r="D13" s="57"/>
      <c r="E13" s="57"/>
      <c r="F13" s="57"/>
      <c r="G13" s="57"/>
      <c r="H13" s="100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8"/>
      <c r="Y13" s="58"/>
      <c r="Z13" s="57"/>
      <c r="AA13" s="57"/>
    </row>
    <row r="14" spans="1:33" x14ac:dyDescent="0.25">
      <c r="A14" s="15"/>
      <c r="C14" s="57"/>
      <c r="D14" s="57"/>
      <c r="E14" s="57"/>
      <c r="F14" s="57"/>
      <c r="G14" s="57"/>
      <c r="H14" s="100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8"/>
      <c r="Y14" s="58"/>
      <c r="Z14" s="57"/>
      <c r="AA14" s="57"/>
    </row>
    <row r="15" spans="1:33" ht="18" x14ac:dyDescent="0.4">
      <c r="A15" s="15"/>
      <c r="B15" s="111" t="s">
        <v>47</v>
      </c>
      <c r="C15" s="57"/>
      <c r="D15" s="57"/>
      <c r="E15" s="57"/>
      <c r="F15" s="57"/>
      <c r="G15" s="57"/>
      <c r="H15" s="100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8"/>
      <c r="Y15" s="58"/>
      <c r="Z15" s="57"/>
      <c r="AA15" s="57"/>
    </row>
    <row r="16" spans="1:33" ht="18" x14ac:dyDescent="0.4">
      <c r="A16" s="15"/>
      <c r="B16" s="111"/>
      <c r="C16" s="57"/>
      <c r="D16" s="57"/>
      <c r="E16" s="57"/>
      <c r="F16" s="57"/>
      <c r="G16" s="57"/>
      <c r="H16" s="100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193" t="s">
        <v>85</v>
      </c>
      <c r="Y16" s="191"/>
      <c r="Z16" s="190"/>
      <c r="AA16" s="190"/>
      <c r="AB16" s="190"/>
      <c r="AC16" s="190"/>
      <c r="AD16" s="190"/>
      <c r="AE16" s="192" t="s">
        <v>84</v>
      </c>
      <c r="AF16" s="189"/>
      <c r="AG16" s="189"/>
    </row>
    <row r="17" spans="1:34" ht="15.5" x14ac:dyDescent="0.35">
      <c r="B17" s="99" t="s">
        <v>83</v>
      </c>
    </row>
    <row r="18" spans="1:34" x14ac:dyDescent="0.25">
      <c r="B18" s="69" t="s">
        <v>51</v>
      </c>
      <c r="C18" s="68"/>
      <c r="D18" s="67"/>
      <c r="E18" s="66">
        <v>1992</v>
      </c>
      <c r="F18" s="65">
        <v>1993</v>
      </c>
      <c r="G18" s="65">
        <v>1994</v>
      </c>
      <c r="H18" s="65">
        <v>1995</v>
      </c>
      <c r="I18" s="65">
        <v>1996</v>
      </c>
      <c r="J18" s="65">
        <v>1997</v>
      </c>
      <c r="K18" s="65">
        <v>1998</v>
      </c>
      <c r="L18" s="65">
        <v>1999</v>
      </c>
      <c r="M18" s="65">
        <v>2000</v>
      </c>
      <c r="N18" s="65">
        <v>2001</v>
      </c>
      <c r="O18" s="65">
        <v>2002</v>
      </c>
      <c r="P18" s="65">
        <v>2003</v>
      </c>
      <c r="Q18" s="65">
        <v>2004</v>
      </c>
      <c r="R18" s="65">
        <v>2005</v>
      </c>
      <c r="S18" s="65">
        <v>2006</v>
      </c>
      <c r="T18" s="65">
        <v>2007</v>
      </c>
      <c r="U18" s="65">
        <v>2008</v>
      </c>
      <c r="V18" s="65">
        <v>2009</v>
      </c>
      <c r="W18" s="65">
        <v>2010</v>
      </c>
      <c r="X18" s="65">
        <v>2011</v>
      </c>
      <c r="Y18" s="65">
        <v>2012</v>
      </c>
      <c r="Z18" s="65">
        <v>2013</v>
      </c>
      <c r="AA18" s="65">
        <v>2014</v>
      </c>
      <c r="AB18" s="65">
        <v>2015</v>
      </c>
      <c r="AC18" s="65">
        <v>2016</v>
      </c>
      <c r="AD18" s="65">
        <v>2017</v>
      </c>
      <c r="AE18" s="65">
        <v>2018</v>
      </c>
      <c r="AF18" s="65">
        <v>2019</v>
      </c>
      <c r="AG18" s="65">
        <v>2020</v>
      </c>
    </row>
    <row r="19" spans="1:34" x14ac:dyDescent="0.25">
      <c r="B19" s="17"/>
      <c r="C19" s="16"/>
      <c r="D19" s="64"/>
      <c r="E19" s="63" t="s">
        <v>20</v>
      </c>
      <c r="F19" s="62" t="str">
        <f t="shared" ref="F19:L19" si="0">E19</f>
        <v>pre-GST</v>
      </c>
      <c r="G19" s="62" t="str">
        <f t="shared" si="0"/>
        <v>pre-GST</v>
      </c>
      <c r="H19" s="62" t="str">
        <f t="shared" si="0"/>
        <v>pre-GST</v>
      </c>
      <c r="I19" s="62" t="str">
        <f t="shared" si="0"/>
        <v>pre-GST</v>
      </c>
      <c r="J19" s="62" t="str">
        <f t="shared" si="0"/>
        <v>pre-GST</v>
      </c>
      <c r="K19" s="62" t="str">
        <f t="shared" si="0"/>
        <v>pre-GST</v>
      </c>
      <c r="L19" s="62" t="str">
        <f t="shared" si="0"/>
        <v>pre-GST</v>
      </c>
      <c r="M19" s="61" t="s">
        <v>46</v>
      </c>
      <c r="N19" s="60" t="str">
        <f t="shared" ref="N19:AG19" si="1">M19</f>
        <v>excl GST</v>
      </c>
      <c r="O19" s="60" t="str">
        <f t="shared" si="1"/>
        <v>excl GST</v>
      </c>
      <c r="P19" s="60" t="str">
        <f t="shared" si="1"/>
        <v>excl GST</v>
      </c>
      <c r="Q19" s="60" t="str">
        <f t="shared" si="1"/>
        <v>excl GST</v>
      </c>
      <c r="R19" s="60" t="str">
        <f t="shared" si="1"/>
        <v>excl GST</v>
      </c>
      <c r="S19" s="60" t="str">
        <f t="shared" si="1"/>
        <v>excl GST</v>
      </c>
      <c r="T19" s="60" t="str">
        <f t="shared" si="1"/>
        <v>excl GST</v>
      </c>
      <c r="U19" s="60" t="str">
        <f t="shared" si="1"/>
        <v>excl GST</v>
      </c>
      <c r="V19" s="60" t="str">
        <f t="shared" si="1"/>
        <v>excl GST</v>
      </c>
      <c r="W19" s="60" t="str">
        <f t="shared" si="1"/>
        <v>excl GST</v>
      </c>
      <c r="X19" s="60" t="str">
        <f t="shared" si="1"/>
        <v>excl GST</v>
      </c>
      <c r="Y19" s="60" t="str">
        <f t="shared" si="1"/>
        <v>excl GST</v>
      </c>
      <c r="Z19" s="60" t="str">
        <f t="shared" si="1"/>
        <v>excl GST</v>
      </c>
      <c r="AA19" s="60" t="str">
        <f t="shared" si="1"/>
        <v>excl GST</v>
      </c>
      <c r="AB19" s="60" t="str">
        <f t="shared" si="1"/>
        <v>excl GST</v>
      </c>
      <c r="AC19" s="60" t="str">
        <f t="shared" si="1"/>
        <v>excl GST</v>
      </c>
      <c r="AD19" s="60" t="str">
        <f t="shared" si="1"/>
        <v>excl GST</v>
      </c>
      <c r="AE19" s="60" t="str">
        <f t="shared" si="1"/>
        <v>excl GST</v>
      </c>
      <c r="AF19" s="60" t="str">
        <f t="shared" si="1"/>
        <v>excl GST</v>
      </c>
      <c r="AG19" s="60" t="str">
        <f t="shared" si="1"/>
        <v>excl GST</v>
      </c>
    </row>
    <row r="20" spans="1:34" x14ac:dyDescent="0.25">
      <c r="B20" s="69"/>
      <c r="C20" s="68"/>
      <c r="D20" s="67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165"/>
      <c r="AD20" s="65"/>
      <c r="AE20" s="65"/>
      <c r="AF20" s="65"/>
      <c r="AG20" s="65"/>
    </row>
    <row r="21" spans="1:34" x14ac:dyDescent="0.25">
      <c r="A21" s="118"/>
      <c r="B21" s="36" t="s">
        <v>45</v>
      </c>
      <c r="C21" s="127"/>
      <c r="D21" s="126"/>
      <c r="E21" s="112"/>
      <c r="F21" s="112"/>
      <c r="G21" s="112"/>
      <c r="H21" s="112"/>
      <c r="I21" s="20"/>
      <c r="J21" s="20"/>
      <c r="K21" s="20"/>
      <c r="L21" s="20"/>
      <c r="M21" s="20"/>
      <c r="N21" s="125"/>
      <c r="O21" s="124"/>
      <c r="P21" s="20"/>
      <c r="Q21" s="20"/>
      <c r="R21" s="20"/>
      <c r="S21" s="20"/>
      <c r="T21" s="20"/>
      <c r="U21" s="20"/>
      <c r="V21" s="20"/>
      <c r="W21" s="20"/>
      <c r="X21" s="88"/>
      <c r="Y21" s="88"/>
      <c r="Z21" s="20"/>
      <c r="AA21" s="88"/>
      <c r="AB21" s="88"/>
      <c r="AC21" s="88"/>
      <c r="AD21" s="88"/>
      <c r="AE21" s="88"/>
      <c r="AF21" s="88"/>
      <c r="AG21" s="88"/>
    </row>
    <row r="22" spans="1:34" x14ac:dyDescent="0.25">
      <c r="A22" s="118"/>
      <c r="B22" s="36"/>
      <c r="C22" s="127"/>
      <c r="D22" s="126"/>
      <c r="E22" s="112"/>
      <c r="F22" s="112"/>
      <c r="G22" s="112"/>
      <c r="H22" s="112"/>
      <c r="I22" s="20"/>
      <c r="J22" s="20"/>
      <c r="K22" s="20"/>
      <c r="L22" s="20"/>
      <c r="M22" s="20"/>
      <c r="N22" s="125"/>
      <c r="O22" s="124"/>
      <c r="P22" s="20"/>
      <c r="Q22" s="20"/>
      <c r="R22" s="20"/>
      <c r="S22" s="20"/>
      <c r="T22" s="20"/>
      <c r="U22" s="20"/>
      <c r="V22" s="20"/>
      <c r="W22" s="20"/>
      <c r="X22" s="88"/>
      <c r="Y22" s="88"/>
      <c r="Z22" s="88"/>
      <c r="AA22" s="88"/>
      <c r="AB22" s="88"/>
      <c r="AC22" s="88"/>
      <c r="AD22" s="88"/>
      <c r="AE22" s="88"/>
      <c r="AF22" s="88"/>
      <c r="AG22" s="88"/>
    </row>
    <row r="23" spans="1:34" x14ac:dyDescent="0.25">
      <c r="A23" s="118"/>
      <c r="B23" s="23" t="s">
        <v>43</v>
      </c>
      <c r="C23" s="176" t="s">
        <v>44</v>
      </c>
      <c r="D23" s="126"/>
      <c r="E23" s="112"/>
      <c r="F23" s="112"/>
      <c r="G23" s="112"/>
      <c r="H23" s="112"/>
      <c r="I23" s="20"/>
      <c r="J23" s="20"/>
      <c r="K23" s="20"/>
      <c r="L23" s="20"/>
      <c r="M23" s="20"/>
      <c r="N23" s="125"/>
      <c r="O23" s="124"/>
      <c r="P23" s="20"/>
      <c r="Q23" s="20"/>
      <c r="R23" s="20"/>
      <c r="S23" s="20"/>
      <c r="T23" s="20"/>
      <c r="U23" s="88"/>
      <c r="V23" s="20"/>
      <c r="W23" s="20"/>
      <c r="X23" s="152">
        <v>52.19</v>
      </c>
      <c r="Y23" s="152">
        <v>43.18</v>
      </c>
      <c r="Z23" s="152">
        <f>48.73*10/11</f>
        <v>44.3</v>
      </c>
      <c r="AA23" s="155">
        <v>47.09</v>
      </c>
      <c r="AB23" s="152">
        <v>51.6</v>
      </c>
      <c r="AC23" s="152">
        <v>54.01</v>
      </c>
      <c r="AD23" s="152">
        <v>54.55</v>
      </c>
      <c r="AE23" s="152">
        <v>62.89</v>
      </c>
      <c r="AF23" s="152">
        <v>64.150000000000006</v>
      </c>
      <c r="AG23" s="152">
        <v>66</v>
      </c>
    </row>
    <row r="24" spans="1:34" x14ac:dyDescent="0.25">
      <c r="A24" s="118"/>
      <c r="B24" s="23" t="s">
        <v>43</v>
      </c>
      <c r="C24" s="176" t="s">
        <v>41</v>
      </c>
      <c r="D24" s="25"/>
      <c r="E24" s="152">
        <v>0</v>
      </c>
      <c r="F24" s="152">
        <v>0</v>
      </c>
      <c r="G24" s="152">
        <v>0</v>
      </c>
      <c r="H24" s="152">
        <v>0</v>
      </c>
      <c r="I24" s="152">
        <v>18.600000000000001</v>
      </c>
      <c r="J24" s="152">
        <v>18.600000000000001</v>
      </c>
      <c r="K24" s="152">
        <v>21.8</v>
      </c>
      <c r="L24" s="152">
        <v>22.8</v>
      </c>
      <c r="M24" s="152">
        <v>24</v>
      </c>
      <c r="N24" s="152">
        <v>24.42</v>
      </c>
      <c r="O24" s="152">
        <v>28.28</v>
      </c>
      <c r="P24" s="152">
        <v>33.409999999999997</v>
      </c>
      <c r="Q24" s="152">
        <v>46.790909090909089</v>
      </c>
      <c r="R24" s="152">
        <v>47.4</v>
      </c>
      <c r="S24" s="152">
        <v>47.4</v>
      </c>
      <c r="T24" s="152">
        <v>45.4</v>
      </c>
      <c r="U24" s="152">
        <v>41.592499999999994</v>
      </c>
      <c r="V24" s="152">
        <v>42.17</v>
      </c>
      <c r="W24" s="152">
        <v>44.000750000000004</v>
      </c>
      <c r="X24" s="154">
        <f t="shared" ref="X24:AG24" si="2">X23*365/400</f>
        <v>47.623374999999996</v>
      </c>
      <c r="Y24" s="154">
        <f t="shared" si="2"/>
        <v>39.40175</v>
      </c>
      <c r="Z24" s="154">
        <f t="shared" si="2"/>
        <v>40.423749999999998</v>
      </c>
      <c r="AA24" s="154">
        <f t="shared" si="2"/>
        <v>42.969625000000008</v>
      </c>
      <c r="AB24" s="154">
        <f t="shared" si="2"/>
        <v>47.085000000000001</v>
      </c>
      <c r="AC24" s="154">
        <f t="shared" si="2"/>
        <v>49.284124999999996</v>
      </c>
      <c r="AD24" s="154">
        <f t="shared" si="2"/>
        <v>49.776874999999997</v>
      </c>
      <c r="AE24" s="154">
        <f t="shared" si="2"/>
        <v>57.387124999999997</v>
      </c>
      <c r="AF24" s="154">
        <f t="shared" si="2"/>
        <v>58.536875000000009</v>
      </c>
      <c r="AG24" s="154">
        <f t="shared" si="2"/>
        <v>60.225000000000001</v>
      </c>
    </row>
    <row r="25" spans="1:34" x14ac:dyDescent="0.25">
      <c r="A25" s="118"/>
      <c r="B25" s="23" t="s">
        <v>42</v>
      </c>
      <c r="C25" s="20" t="str">
        <f>$C$24</f>
        <v>$/qr</v>
      </c>
      <c r="D25" s="25"/>
      <c r="E25" s="152">
        <v>15</v>
      </c>
      <c r="F25" s="152">
        <v>15</v>
      </c>
      <c r="G25" s="152">
        <v>15</v>
      </c>
      <c r="H25" s="152">
        <v>15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  <c r="O25" s="152">
        <v>0</v>
      </c>
      <c r="P25" s="152">
        <v>0</v>
      </c>
      <c r="Q25" s="152">
        <v>0</v>
      </c>
      <c r="R25" s="152">
        <v>0</v>
      </c>
      <c r="S25" s="152">
        <v>0</v>
      </c>
      <c r="T25" s="152">
        <v>0</v>
      </c>
      <c r="U25" s="152">
        <v>0</v>
      </c>
      <c r="V25" s="152">
        <v>0</v>
      </c>
      <c r="W25" s="152">
        <v>0</v>
      </c>
      <c r="X25" s="151">
        <v>0</v>
      </c>
      <c r="Y25" s="151">
        <v>0</v>
      </c>
      <c r="Z25" s="151">
        <v>0</v>
      </c>
      <c r="AA25" s="153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</row>
    <row r="26" spans="1:34" x14ac:dyDescent="0.25">
      <c r="A26" s="118"/>
      <c r="B26" s="23"/>
      <c r="C26" s="20"/>
      <c r="D26" s="25"/>
      <c r="E26" s="144"/>
      <c r="F26" s="144"/>
      <c r="G26" s="144"/>
      <c r="H26" s="144"/>
      <c r="I26" s="88"/>
      <c r="J26" s="88"/>
      <c r="K26" s="88"/>
      <c r="L26" s="88"/>
      <c r="M26" s="88"/>
      <c r="N26" s="88"/>
      <c r="O26" s="88"/>
      <c r="P26" s="88"/>
      <c r="Q26" s="88"/>
      <c r="R26" s="144"/>
      <c r="S26" s="144"/>
      <c r="T26" s="144"/>
      <c r="U26" s="112"/>
      <c r="V26" s="112"/>
      <c r="W26" s="112"/>
      <c r="X26" s="79"/>
      <c r="Y26" s="88"/>
      <c r="Z26" s="88"/>
      <c r="AA26" s="88"/>
      <c r="AB26" s="88"/>
      <c r="AC26" s="88"/>
      <c r="AD26" s="88"/>
      <c r="AE26" s="88"/>
      <c r="AF26" s="88"/>
      <c r="AG26" s="88"/>
    </row>
    <row r="27" spans="1:34" x14ac:dyDescent="0.25">
      <c r="A27" s="118"/>
      <c r="B27" s="36" t="s">
        <v>71</v>
      </c>
      <c r="C27" s="20"/>
      <c r="D27" s="25"/>
      <c r="E27" s="144"/>
      <c r="F27" s="144"/>
      <c r="G27" s="144"/>
      <c r="H27" s="144"/>
      <c r="I27" s="88"/>
      <c r="J27" s="88"/>
      <c r="K27" s="88"/>
      <c r="L27" s="88"/>
      <c r="M27" s="88"/>
      <c r="N27" s="88"/>
      <c r="O27" s="88"/>
      <c r="P27" s="88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67"/>
      <c r="AG27" s="144"/>
    </row>
    <row r="28" spans="1:34" ht="13" x14ac:dyDescent="0.3">
      <c r="A28" s="118"/>
      <c r="B28" s="23" t="s">
        <v>40</v>
      </c>
      <c r="C28" s="176" t="s">
        <v>37</v>
      </c>
      <c r="D28" s="25"/>
      <c r="E28" s="150">
        <v>3.4792000000000001</v>
      </c>
      <c r="F28" s="150">
        <v>3.4792000000000001</v>
      </c>
      <c r="G28" s="150">
        <f>7/12*3.4792+5/12*3.2</f>
        <v>3.3628666666666671</v>
      </c>
      <c r="H28" s="150">
        <f>3/12*3.2+5/12*3.264+4/12*3.4109</f>
        <v>3.2969666666666666</v>
      </c>
      <c r="I28" s="152">
        <f>0.938*7/12+0.9615*5/12</f>
        <v>0.9477916666666667</v>
      </c>
      <c r="J28" s="152">
        <f>0.9952*5/12+0.9615*7/12</f>
        <v>0.97554166666666675</v>
      </c>
      <c r="K28" s="152">
        <v>0.99519999999999997</v>
      </c>
      <c r="L28" s="152">
        <v>1.0274000000000001</v>
      </c>
      <c r="M28" s="152">
        <f>1.0595/2+1.0859/2</f>
        <v>1.0727000000000002</v>
      </c>
      <c r="N28" s="152">
        <v>1.1051</v>
      </c>
      <c r="O28" s="152">
        <f>1.1371*6/12+1.1667*6/12</f>
        <v>1.1518999999999999</v>
      </c>
      <c r="P28" s="152">
        <v>1.2130000000000001</v>
      </c>
      <c r="Q28" s="151">
        <v>1.0790909090909091</v>
      </c>
      <c r="R28" s="151">
        <v>1.1439999999999999</v>
      </c>
      <c r="S28" s="151">
        <v>1.2090000000000001</v>
      </c>
      <c r="T28" s="151">
        <v>1.306</v>
      </c>
      <c r="U28" s="151">
        <v>1.5337500000000002</v>
      </c>
      <c r="V28" s="151">
        <v>1.611</v>
      </c>
      <c r="W28" s="151">
        <v>1.681</v>
      </c>
      <c r="X28" s="151">
        <v>1.772</v>
      </c>
      <c r="Y28" s="151">
        <v>2.4910000000000001</v>
      </c>
      <c r="Z28" s="151">
        <f>3.2637*10/11</f>
        <v>2.9670000000000001</v>
      </c>
      <c r="AA28" s="147">
        <v>3.2869999999999999</v>
      </c>
      <c r="AB28" s="151">
        <v>3.7240000000000002</v>
      </c>
      <c r="AC28" s="151">
        <v>3.51</v>
      </c>
      <c r="AD28" s="151">
        <v>3.5329999999999999</v>
      </c>
      <c r="AE28" s="151">
        <v>3.843</v>
      </c>
      <c r="AF28" s="151">
        <v>3.92</v>
      </c>
      <c r="AG28" s="151">
        <v>3.153</v>
      </c>
      <c r="AH28" s="166"/>
    </row>
    <row r="29" spans="1:34" ht="13" x14ac:dyDescent="0.3">
      <c r="A29" s="118"/>
      <c r="B29" s="23" t="s">
        <v>39</v>
      </c>
      <c r="C29" s="20" t="str">
        <f>$C$28</f>
        <v>c/MJ</v>
      </c>
      <c r="D29" s="25"/>
      <c r="E29" s="150">
        <v>0.9839</v>
      </c>
      <c r="F29" s="150">
        <f>5/12*3.4792+7/12*0.9839</f>
        <v>2.0236083333333332</v>
      </c>
      <c r="G29" s="150">
        <f>G28</f>
        <v>3.3628666666666671</v>
      </c>
      <c r="H29" s="150">
        <f>3/12*3.2+5/12*3.264+4/12*3.4109</f>
        <v>3.2969666666666666</v>
      </c>
      <c r="I29" s="142"/>
      <c r="J29" s="142"/>
      <c r="K29" s="142"/>
      <c r="L29" s="142"/>
      <c r="M29" s="142"/>
      <c r="N29" s="142"/>
      <c r="O29" s="142"/>
      <c r="P29" s="142"/>
      <c r="Q29" s="146">
        <v>1.2181818181818183</v>
      </c>
      <c r="R29" s="146">
        <v>1.242</v>
      </c>
      <c r="S29" s="146">
        <v>1.288</v>
      </c>
      <c r="T29" s="146">
        <v>1.357</v>
      </c>
      <c r="U29" s="146">
        <v>1.4332499999999999</v>
      </c>
      <c r="V29" s="146">
        <v>1.5089999999999999</v>
      </c>
      <c r="W29" s="146">
        <v>1.575</v>
      </c>
      <c r="X29" s="146">
        <v>1.6970000000000001</v>
      </c>
      <c r="Y29" s="146">
        <v>1.4990000000000001</v>
      </c>
      <c r="Z29" s="146">
        <f>1.9338*10/11</f>
        <v>1.758</v>
      </c>
      <c r="AA29" s="147">
        <v>1.925</v>
      </c>
      <c r="AB29" s="146">
        <v>2.1320000000000001</v>
      </c>
      <c r="AC29" s="146">
        <v>2.3439999999999999</v>
      </c>
      <c r="AD29" s="146">
        <v>2.355</v>
      </c>
      <c r="AE29" s="146">
        <v>2.508</v>
      </c>
      <c r="AF29" s="146">
        <v>2.5579999999999998</v>
      </c>
      <c r="AG29" s="146">
        <v>2.9849999999999999</v>
      </c>
      <c r="AH29" s="166"/>
    </row>
    <row r="30" spans="1:34" ht="13" x14ac:dyDescent="0.3">
      <c r="A30" s="118"/>
      <c r="B30" s="23" t="s">
        <v>55</v>
      </c>
      <c r="C30" s="20" t="str">
        <f t="shared" ref="C30:C33" si="3">$C$28</f>
        <v>c/MJ</v>
      </c>
      <c r="D30" s="25"/>
      <c r="E30" s="150"/>
      <c r="F30" s="150"/>
      <c r="G30" s="150"/>
      <c r="H30" s="150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6">
        <v>2.0920000000000001</v>
      </c>
      <c r="AC30" s="146">
        <v>2.1619999999999999</v>
      </c>
      <c r="AD30" s="146">
        <v>2.1779999999999999</v>
      </c>
      <c r="AE30" s="146">
        <v>2.3140000000000001</v>
      </c>
      <c r="AF30" s="146">
        <v>2.36</v>
      </c>
      <c r="AG30" s="146">
        <v>2.8250000000000002</v>
      </c>
      <c r="AH30" s="166"/>
    </row>
    <row r="31" spans="1:34" ht="13" x14ac:dyDescent="0.3">
      <c r="A31" s="118"/>
      <c r="B31" s="23" t="s">
        <v>56</v>
      </c>
      <c r="C31" s="20" t="str">
        <f t="shared" si="3"/>
        <v>c/MJ</v>
      </c>
      <c r="D31" s="25"/>
      <c r="E31" s="150"/>
      <c r="F31" s="150"/>
      <c r="G31" s="150"/>
      <c r="H31" s="150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6">
        <v>2.077</v>
      </c>
      <c r="AC31" s="146">
        <v>2.141</v>
      </c>
      <c r="AD31" s="146">
        <v>2.1589999999999998</v>
      </c>
      <c r="AE31" s="146">
        <v>2.2970000000000002</v>
      </c>
      <c r="AF31" s="146">
        <v>2.343</v>
      </c>
      <c r="AG31" s="146">
        <v>2.8130000000000002</v>
      </c>
      <c r="AH31" s="166"/>
    </row>
    <row r="32" spans="1:34" ht="13" x14ac:dyDescent="0.3">
      <c r="A32" s="118"/>
      <c r="B32" s="23" t="s">
        <v>57</v>
      </c>
      <c r="C32" s="20" t="str">
        <f t="shared" si="3"/>
        <v>c/MJ</v>
      </c>
      <c r="D32" s="25"/>
      <c r="E32" s="150"/>
      <c r="F32" s="150"/>
      <c r="G32" s="150"/>
      <c r="H32" s="150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6">
        <v>1.9750000000000001</v>
      </c>
      <c r="AC32" s="146">
        <v>2.0470000000000002</v>
      </c>
      <c r="AD32" s="146">
        <v>2.06</v>
      </c>
      <c r="AE32" s="146">
        <v>2.2269999999999999</v>
      </c>
      <c r="AF32" s="146">
        <v>2.2719999999999998</v>
      </c>
      <c r="AG32" s="146">
        <v>2.6920000000000002</v>
      </c>
      <c r="AH32" s="166"/>
    </row>
    <row r="33" spans="1:34" s="9" customFormat="1" ht="13" x14ac:dyDescent="0.3">
      <c r="A33" s="118"/>
      <c r="B33" s="23" t="s">
        <v>38</v>
      </c>
      <c r="C33" s="20" t="str">
        <f t="shared" si="3"/>
        <v>c/MJ</v>
      </c>
      <c r="D33" s="25"/>
      <c r="E33" s="150">
        <v>0.9839</v>
      </c>
      <c r="F33" s="150">
        <f>5/12*0.88+7/12*0.9839</f>
        <v>0.94060833333333338</v>
      </c>
      <c r="G33" s="150">
        <v>0.88</v>
      </c>
      <c r="H33" s="150">
        <f>3/12*0.88+5/12*0.8976+4/12*0.938</f>
        <v>0.90666666666666662</v>
      </c>
      <c r="I33" s="142"/>
      <c r="J33" s="142"/>
      <c r="K33" s="142"/>
      <c r="L33" s="142"/>
      <c r="M33" s="142"/>
      <c r="N33" s="142"/>
      <c r="O33" s="149"/>
      <c r="P33" s="142"/>
      <c r="Q33" s="148"/>
      <c r="R33" s="148"/>
      <c r="S33" s="148"/>
      <c r="T33" s="148"/>
      <c r="U33" s="140"/>
      <c r="V33" s="140"/>
      <c r="W33" s="140"/>
      <c r="X33" s="146">
        <v>1.64</v>
      </c>
      <c r="Y33" s="146">
        <v>1.478</v>
      </c>
      <c r="Z33" s="146">
        <f>1.9074*10/11</f>
        <v>1.7339999999999998</v>
      </c>
      <c r="AA33" s="147">
        <v>1.8979999999999999</v>
      </c>
      <c r="AB33" s="146">
        <v>1.635</v>
      </c>
      <c r="AC33" s="146">
        <v>1.706</v>
      </c>
      <c r="AD33" s="146">
        <v>1.7070000000000001</v>
      </c>
      <c r="AE33" s="146">
        <v>1.913</v>
      </c>
      <c r="AF33" s="146">
        <v>1.9510000000000001</v>
      </c>
      <c r="AG33" s="146">
        <v>2.4129999999999998</v>
      </c>
      <c r="AH33" s="166"/>
    </row>
    <row r="34" spans="1:34" s="9" customFormat="1" ht="13" x14ac:dyDescent="0.3">
      <c r="A34" s="118"/>
      <c r="B34" s="23"/>
      <c r="C34" s="20"/>
      <c r="D34" s="25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</row>
    <row r="35" spans="1:34" x14ac:dyDescent="0.25">
      <c r="A35" s="118"/>
      <c r="B35" s="36" t="s">
        <v>72</v>
      </c>
      <c r="C35" s="20"/>
      <c r="D35" s="25"/>
      <c r="E35" s="144"/>
      <c r="F35" s="144"/>
      <c r="G35" s="144"/>
      <c r="H35" s="144"/>
      <c r="I35" s="88"/>
      <c r="J35" s="88"/>
      <c r="K35" s="88"/>
      <c r="L35" s="88"/>
      <c r="M35" s="88"/>
      <c r="N35" s="88"/>
      <c r="O35" s="88"/>
      <c r="P35" s="88"/>
      <c r="Q35" s="145"/>
      <c r="R35" s="144"/>
      <c r="S35" s="144"/>
      <c r="T35" s="144"/>
      <c r="U35" s="112"/>
      <c r="V35" s="112"/>
      <c r="W35" s="112"/>
      <c r="X35" s="79"/>
      <c r="Y35" s="88"/>
      <c r="Z35" s="88"/>
      <c r="AA35" s="88"/>
      <c r="AB35" s="88"/>
      <c r="AC35" s="88"/>
      <c r="AD35" s="88"/>
      <c r="AE35" s="88"/>
      <c r="AF35" s="88"/>
      <c r="AG35" s="88"/>
    </row>
    <row r="36" spans="1:34" ht="12" customHeight="1" x14ac:dyDescent="0.25">
      <c r="A36" s="118"/>
      <c r="B36" s="23" t="s">
        <v>36</v>
      </c>
      <c r="C36" s="176" t="s">
        <v>53</v>
      </c>
      <c r="D36" s="25"/>
      <c r="E36" s="144"/>
      <c r="F36" s="144"/>
      <c r="G36" s="144"/>
      <c r="H36" s="144"/>
      <c r="I36" s="88"/>
      <c r="J36" s="88"/>
      <c r="K36" s="88"/>
      <c r="L36" s="88"/>
      <c r="M36" s="88"/>
      <c r="N36" s="88"/>
      <c r="O36" s="88"/>
      <c r="P36" s="88"/>
      <c r="Q36" s="144"/>
      <c r="R36" s="144"/>
      <c r="S36" s="144"/>
      <c r="T36" s="144"/>
      <c r="U36" s="112"/>
      <c r="V36" s="112"/>
      <c r="W36" s="112"/>
      <c r="X36" s="180"/>
      <c r="Y36" s="141"/>
      <c r="Z36" s="141"/>
      <c r="AA36" s="141"/>
      <c r="AB36" s="146">
        <v>41.095999999999997</v>
      </c>
      <c r="AC36" s="146">
        <v>20.712</v>
      </c>
      <c r="AD36" s="146">
        <v>20.712</v>
      </c>
      <c r="AE36" s="146">
        <v>20.712</v>
      </c>
      <c r="AF36" s="146">
        <v>20.712</v>
      </c>
      <c r="AG36" s="146">
        <v>20.712</v>
      </c>
    </row>
    <row r="37" spans="1:34" ht="12" customHeight="1" x14ac:dyDescent="0.25">
      <c r="A37" s="118"/>
      <c r="B37" s="23" t="s">
        <v>54</v>
      </c>
      <c r="C37" s="20" t="str">
        <f>$C$36</f>
        <v>MJ/day</v>
      </c>
      <c r="D37" s="25"/>
      <c r="E37" s="144"/>
      <c r="F37" s="144"/>
      <c r="G37" s="144"/>
      <c r="H37" s="144"/>
      <c r="I37" s="88"/>
      <c r="J37" s="88"/>
      <c r="K37" s="88"/>
      <c r="L37" s="88"/>
      <c r="M37" s="88"/>
      <c r="N37" s="88"/>
      <c r="O37" s="88"/>
      <c r="P37" s="88"/>
      <c r="Q37" s="144"/>
      <c r="R37" s="144"/>
      <c r="S37" s="144"/>
      <c r="T37" s="144"/>
      <c r="U37" s="112"/>
      <c r="V37" s="112"/>
      <c r="W37" s="112"/>
      <c r="X37" s="180"/>
      <c r="Y37" s="141"/>
      <c r="Z37" s="141"/>
      <c r="AA37" s="141"/>
      <c r="AB37" s="146">
        <v>49.314999999999998</v>
      </c>
      <c r="AC37" s="146">
        <v>20.384</v>
      </c>
      <c r="AD37" s="146">
        <v>20.384</v>
      </c>
      <c r="AE37" s="146">
        <v>20.384</v>
      </c>
      <c r="AF37" s="146">
        <v>20.384</v>
      </c>
      <c r="AG37" s="146">
        <v>20.384</v>
      </c>
    </row>
    <row r="38" spans="1:34" ht="12" customHeight="1" x14ac:dyDescent="0.25">
      <c r="A38" s="118"/>
      <c r="B38" s="23" t="s">
        <v>58</v>
      </c>
      <c r="C38" s="20" t="str">
        <f t="shared" ref="C38:C40" si="4">$C$36</f>
        <v>MJ/day</v>
      </c>
      <c r="D38" s="25"/>
      <c r="E38" s="144"/>
      <c r="F38" s="144"/>
      <c r="G38" s="144"/>
      <c r="H38" s="144"/>
      <c r="I38" s="88"/>
      <c r="J38" s="88"/>
      <c r="K38" s="88"/>
      <c r="L38" s="88"/>
      <c r="M38" s="88"/>
      <c r="N38" s="88"/>
      <c r="O38" s="88"/>
      <c r="P38" s="88"/>
      <c r="Q38" s="144"/>
      <c r="R38" s="144"/>
      <c r="S38" s="144"/>
      <c r="T38" s="144"/>
      <c r="U38" s="112"/>
      <c r="V38" s="112"/>
      <c r="W38" s="112"/>
      <c r="X38" s="180"/>
      <c r="Y38" s="141"/>
      <c r="Z38" s="141"/>
      <c r="AA38" s="141"/>
      <c r="AB38" s="146">
        <v>189.041</v>
      </c>
      <c r="AC38" s="146">
        <v>49.314999999999998</v>
      </c>
      <c r="AD38" s="146">
        <v>49.314999999999998</v>
      </c>
      <c r="AE38" s="146">
        <v>49.314999999999998</v>
      </c>
      <c r="AF38" s="146">
        <v>49.314999999999998</v>
      </c>
      <c r="AG38" s="146">
        <v>49.314999999999998</v>
      </c>
    </row>
    <row r="39" spans="1:34" ht="12" customHeight="1" x14ac:dyDescent="0.25">
      <c r="A39" s="118"/>
      <c r="B39" s="23" t="s">
        <v>59</v>
      </c>
      <c r="C39" s="20" t="str">
        <f t="shared" si="4"/>
        <v>MJ/day</v>
      </c>
      <c r="D39" s="25"/>
      <c r="E39" s="144"/>
      <c r="F39" s="144"/>
      <c r="G39" s="144"/>
      <c r="H39" s="144"/>
      <c r="I39" s="88"/>
      <c r="J39" s="88"/>
      <c r="K39" s="88"/>
      <c r="L39" s="88"/>
      <c r="M39" s="88"/>
      <c r="N39" s="88"/>
      <c r="O39" s="88"/>
      <c r="P39" s="88"/>
      <c r="Q39" s="144"/>
      <c r="R39" s="144"/>
      <c r="S39" s="144"/>
      <c r="T39" s="144"/>
      <c r="U39" s="112"/>
      <c r="V39" s="112"/>
      <c r="W39" s="112"/>
      <c r="X39" s="180"/>
      <c r="Y39" s="141"/>
      <c r="Z39" s="141"/>
      <c r="AA39" s="141"/>
      <c r="AB39" s="146">
        <v>2465.7530000000002</v>
      </c>
      <c r="AC39" s="146">
        <v>2654.7939999999999</v>
      </c>
      <c r="AD39" s="146">
        <v>2654.7939999999999</v>
      </c>
      <c r="AE39" s="146">
        <v>2654.7939999999999</v>
      </c>
      <c r="AF39" s="146">
        <v>2654.7939999999999</v>
      </c>
      <c r="AG39" s="146">
        <v>2654.7939999999999</v>
      </c>
    </row>
    <row r="40" spans="1:34" ht="12" customHeight="1" x14ac:dyDescent="0.25">
      <c r="A40" s="118"/>
      <c r="B40" s="23" t="s">
        <v>60</v>
      </c>
      <c r="C40" s="20" t="str">
        <f t="shared" si="4"/>
        <v>MJ/day</v>
      </c>
      <c r="D40" s="25"/>
      <c r="E40" s="144"/>
      <c r="F40" s="144"/>
      <c r="G40" s="144"/>
      <c r="H40" s="144"/>
      <c r="I40" s="88"/>
      <c r="J40" s="88"/>
      <c r="K40" s="88"/>
      <c r="L40" s="88"/>
      <c r="M40" s="88"/>
      <c r="N40" s="88"/>
      <c r="O40" s="88"/>
      <c r="P40" s="88"/>
      <c r="Q40" s="144"/>
      <c r="R40" s="144"/>
      <c r="S40" s="144"/>
      <c r="T40" s="144"/>
      <c r="U40" s="112"/>
      <c r="V40" s="112"/>
      <c r="W40" s="112"/>
      <c r="X40" s="180"/>
      <c r="Y40" s="141"/>
      <c r="Z40" s="141"/>
      <c r="AA40" s="141"/>
      <c r="AB40" s="146">
        <v>10964.384</v>
      </c>
      <c r="AC40" s="146">
        <v>10964.384</v>
      </c>
      <c r="AD40" s="146">
        <v>10964.384</v>
      </c>
      <c r="AE40" s="146">
        <v>10964.384</v>
      </c>
      <c r="AF40" s="146">
        <v>10964.384</v>
      </c>
      <c r="AG40" s="146">
        <v>10964.384</v>
      </c>
    </row>
    <row r="41" spans="1:34" x14ac:dyDescent="0.25">
      <c r="A41" s="118"/>
      <c r="B41" s="23"/>
      <c r="C41" s="20"/>
      <c r="D41" s="25"/>
      <c r="E41" s="144"/>
      <c r="F41" s="144"/>
      <c r="G41" s="144"/>
      <c r="H41" s="144"/>
      <c r="I41" s="88"/>
      <c r="J41" s="88"/>
      <c r="K41" s="88"/>
      <c r="L41" s="88"/>
      <c r="M41" s="88"/>
      <c r="N41" s="88"/>
      <c r="O41" s="88"/>
      <c r="P41" s="88"/>
      <c r="Q41" s="144"/>
      <c r="R41" s="144"/>
      <c r="S41" s="144"/>
      <c r="T41" s="144"/>
      <c r="U41" s="112"/>
      <c r="V41" s="112"/>
      <c r="W41" s="112"/>
      <c r="X41" s="79"/>
      <c r="Y41" s="88"/>
      <c r="Z41" s="88"/>
      <c r="AA41" s="88"/>
      <c r="AB41" s="88"/>
      <c r="AC41" s="88"/>
      <c r="AD41" s="88"/>
      <c r="AE41" s="88"/>
      <c r="AF41" s="88"/>
      <c r="AG41" s="88"/>
    </row>
    <row r="42" spans="1:34" x14ac:dyDescent="0.25">
      <c r="A42" s="118"/>
      <c r="B42" s="23" t="s">
        <v>36</v>
      </c>
      <c r="C42" s="176" t="s">
        <v>34</v>
      </c>
      <c r="D42" s="25"/>
      <c r="E42" s="138">
        <v>600</v>
      </c>
      <c r="F42" s="138">
        <f>E42</f>
        <v>600</v>
      </c>
      <c r="G42" s="138">
        <f>F42</f>
        <v>600</v>
      </c>
      <c r="H42" s="138">
        <f>G42</f>
        <v>600</v>
      </c>
      <c r="I42" s="142"/>
      <c r="J42" s="142"/>
      <c r="K42" s="142"/>
      <c r="L42" s="142"/>
      <c r="M42" s="142"/>
      <c r="N42" s="142"/>
      <c r="O42" s="142"/>
      <c r="P42" s="142"/>
      <c r="Q42" s="138">
        <v>4500</v>
      </c>
      <c r="R42" s="138">
        <v>4500</v>
      </c>
      <c r="S42" s="138">
        <v>4500</v>
      </c>
      <c r="T42" s="138">
        <v>4500</v>
      </c>
      <c r="U42" s="138">
        <v>5500</v>
      </c>
      <c r="V42" s="138">
        <v>5500</v>
      </c>
      <c r="W42" s="138">
        <v>5500</v>
      </c>
      <c r="X42" s="138">
        <v>3750.0099999999998</v>
      </c>
      <c r="Y42" s="138">
        <v>3750.0099999999998</v>
      </c>
      <c r="Z42" s="138">
        <f>41.096*365/4</f>
        <v>3750.0099999999998</v>
      </c>
      <c r="AA42" s="139">
        <f>41.096*365/4</f>
        <v>3750.0099999999998</v>
      </c>
      <c r="AB42" s="169">
        <f>(AB36*365)/4</f>
        <v>3750.0099999999998</v>
      </c>
      <c r="AC42" s="169">
        <f t="shared" ref="AC42:AG42" si="5">(AC36*365)/4</f>
        <v>1889.97</v>
      </c>
      <c r="AD42" s="169">
        <f t="shared" si="5"/>
        <v>1889.97</v>
      </c>
      <c r="AE42" s="169">
        <f t="shared" si="5"/>
        <v>1889.97</v>
      </c>
      <c r="AF42" s="169">
        <f t="shared" si="5"/>
        <v>1889.97</v>
      </c>
      <c r="AG42" s="169">
        <f t="shared" si="5"/>
        <v>1889.97</v>
      </c>
    </row>
    <row r="43" spans="1:34" x14ac:dyDescent="0.25">
      <c r="A43" s="118"/>
      <c r="B43" s="23" t="s">
        <v>35</v>
      </c>
      <c r="C43" s="20" t="str">
        <f>$C$42</f>
        <v>MJ/quarter</v>
      </c>
      <c r="D43" s="143"/>
      <c r="E43" s="138">
        <f>E42+150</f>
        <v>750</v>
      </c>
      <c r="F43" s="138">
        <f>F42+150</f>
        <v>750</v>
      </c>
      <c r="G43" s="138">
        <f>G42+150</f>
        <v>750</v>
      </c>
      <c r="H43" s="138">
        <f>H42+150</f>
        <v>750</v>
      </c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1"/>
      <c r="T43" s="141"/>
      <c r="U43" s="140"/>
      <c r="V43" s="140"/>
      <c r="W43" s="140"/>
      <c r="X43" s="138">
        <v>8250.0037499999999</v>
      </c>
      <c r="Y43" s="138">
        <v>8250.0037499999999</v>
      </c>
      <c r="Z43" s="138">
        <f>Z42+49.315*365/4</f>
        <v>8250.0037499999999</v>
      </c>
      <c r="AA43" s="139">
        <f>AA42+49.315*365/4</f>
        <v>8250.0037499999999</v>
      </c>
      <c r="AB43" s="169">
        <f t="shared" ref="AB43:AG43" si="6">((AB37*365)/4)+AB42</f>
        <v>8250.0037499999999</v>
      </c>
      <c r="AC43" s="169">
        <f t="shared" si="6"/>
        <v>3750.01</v>
      </c>
      <c r="AD43" s="169">
        <f t="shared" si="6"/>
        <v>3750.01</v>
      </c>
      <c r="AE43" s="169">
        <f t="shared" si="6"/>
        <v>3750.01</v>
      </c>
      <c r="AF43" s="169">
        <f t="shared" si="6"/>
        <v>3750.01</v>
      </c>
      <c r="AG43" s="169">
        <f t="shared" si="6"/>
        <v>3750.01</v>
      </c>
    </row>
    <row r="44" spans="1:34" x14ac:dyDescent="0.25">
      <c r="A44" s="118"/>
      <c r="B44" s="23" t="s">
        <v>61</v>
      </c>
      <c r="C44" s="20" t="str">
        <f t="shared" ref="C44:C46" si="7">$C$42</f>
        <v>MJ/quarter</v>
      </c>
      <c r="D44" s="143"/>
      <c r="E44" s="138"/>
      <c r="F44" s="138"/>
      <c r="G44" s="138"/>
      <c r="H44" s="138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1"/>
      <c r="T44" s="141"/>
      <c r="U44" s="140"/>
      <c r="V44" s="140"/>
      <c r="W44" s="140"/>
      <c r="X44" s="140"/>
      <c r="Y44" s="140"/>
      <c r="Z44" s="140"/>
      <c r="AA44" s="140"/>
      <c r="AB44" s="169">
        <f t="shared" ref="AB44:AC46" si="8">((AB38*365)/4)+AB43</f>
        <v>25499.994999999999</v>
      </c>
      <c r="AC44" s="169">
        <f t="shared" si="8"/>
        <v>8250.0037499999999</v>
      </c>
      <c r="AD44" s="169">
        <f t="shared" ref="AD44:AG46" si="9">((AD38*365)/4)+AD43</f>
        <v>8250.0037499999999</v>
      </c>
      <c r="AE44" s="169">
        <f t="shared" si="9"/>
        <v>8250.0037499999999</v>
      </c>
      <c r="AF44" s="169">
        <f t="shared" si="9"/>
        <v>8250.0037499999999</v>
      </c>
      <c r="AG44" s="169">
        <f t="shared" si="9"/>
        <v>8250.0037499999999</v>
      </c>
    </row>
    <row r="45" spans="1:34" x14ac:dyDescent="0.25">
      <c r="A45" s="118"/>
      <c r="B45" s="23" t="s">
        <v>62</v>
      </c>
      <c r="C45" s="20" t="str">
        <f t="shared" si="7"/>
        <v>MJ/quarter</v>
      </c>
      <c r="D45" s="143"/>
      <c r="E45" s="138"/>
      <c r="F45" s="138"/>
      <c r="G45" s="138"/>
      <c r="H45" s="138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1"/>
      <c r="T45" s="141"/>
      <c r="U45" s="140"/>
      <c r="V45" s="140"/>
      <c r="W45" s="140"/>
      <c r="X45" s="140"/>
      <c r="Y45" s="140"/>
      <c r="Z45" s="140"/>
      <c r="AA45" s="140"/>
      <c r="AB45" s="169">
        <f t="shared" si="8"/>
        <v>250499.95625000002</v>
      </c>
      <c r="AC45" s="169">
        <f t="shared" si="8"/>
        <v>250499.95624999999</v>
      </c>
      <c r="AD45" s="169">
        <f t="shared" si="9"/>
        <v>250499.95624999999</v>
      </c>
      <c r="AE45" s="169">
        <f t="shared" si="9"/>
        <v>250499.95624999999</v>
      </c>
      <c r="AF45" s="169">
        <f t="shared" si="9"/>
        <v>250499.95624999999</v>
      </c>
      <c r="AG45" s="169">
        <f t="shared" si="9"/>
        <v>250499.95624999999</v>
      </c>
    </row>
    <row r="46" spans="1:34" x14ac:dyDescent="0.25">
      <c r="A46" s="118"/>
      <c r="B46" s="23" t="s">
        <v>63</v>
      </c>
      <c r="C46" s="20" t="str">
        <f t="shared" si="7"/>
        <v>MJ/quarter</v>
      </c>
      <c r="D46" s="143"/>
      <c r="E46" s="138"/>
      <c r="F46" s="138"/>
      <c r="G46" s="138"/>
      <c r="H46" s="138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1"/>
      <c r="T46" s="141"/>
      <c r="U46" s="140"/>
      <c r="V46" s="140"/>
      <c r="W46" s="140"/>
      <c r="X46" s="140"/>
      <c r="Y46" s="140"/>
      <c r="Z46" s="140"/>
      <c r="AA46" s="140"/>
      <c r="AB46" s="169">
        <f t="shared" si="8"/>
        <v>1250999.9962500001</v>
      </c>
      <c r="AC46" s="169">
        <f t="shared" si="8"/>
        <v>1250999.9962500001</v>
      </c>
      <c r="AD46" s="169">
        <f t="shared" si="9"/>
        <v>1250999.9962500001</v>
      </c>
      <c r="AE46" s="169">
        <f t="shared" si="9"/>
        <v>1250999.9962500001</v>
      </c>
      <c r="AF46" s="169">
        <f t="shared" si="9"/>
        <v>1250999.9962500001</v>
      </c>
      <c r="AG46" s="169">
        <f t="shared" si="9"/>
        <v>1250999.9962500001</v>
      </c>
    </row>
    <row r="47" spans="1:34" x14ac:dyDescent="0.25">
      <c r="A47" s="118"/>
      <c r="B47" s="23"/>
      <c r="C47" s="20"/>
      <c r="D47" s="143"/>
      <c r="E47" s="138"/>
      <c r="F47" s="138"/>
      <c r="G47" s="138"/>
      <c r="H47" s="138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1"/>
      <c r="T47" s="141"/>
      <c r="U47" s="140"/>
      <c r="V47" s="140"/>
      <c r="W47" s="140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</row>
    <row r="48" spans="1:34" x14ac:dyDescent="0.25">
      <c r="A48" s="118"/>
      <c r="B48" s="137" t="s">
        <v>75</v>
      </c>
      <c r="C48" s="136"/>
      <c r="D48" s="143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3" t="s">
        <v>81</v>
      </c>
      <c r="AC48" s="3" t="s">
        <v>76</v>
      </c>
      <c r="AD48" s="3" t="s">
        <v>77</v>
      </c>
      <c r="AE48" s="3" t="s">
        <v>79</v>
      </c>
      <c r="AF48" s="3" t="s">
        <v>78</v>
      </c>
      <c r="AG48" s="3" t="s">
        <v>80</v>
      </c>
    </row>
    <row r="49" spans="1:33" ht="3.75" customHeight="1" x14ac:dyDescent="0.25">
      <c r="A49" s="118"/>
      <c r="B49" s="135"/>
      <c r="C49" s="68"/>
      <c r="D49" s="67"/>
      <c r="E49" s="68"/>
      <c r="F49" s="68"/>
      <c r="G49" s="68"/>
      <c r="H49" s="134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1:33" x14ac:dyDescent="0.25">
      <c r="A50" s="118"/>
      <c r="B50" s="36" t="s">
        <v>18</v>
      </c>
      <c r="C50" s="20"/>
      <c r="D50" s="25"/>
      <c r="E50" s="20"/>
      <c r="F50" s="20"/>
      <c r="G50" s="20"/>
      <c r="H50" s="12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AA50" s="20"/>
      <c r="AB50" s="20"/>
      <c r="AC50" s="20"/>
      <c r="AD50" s="20"/>
      <c r="AE50" s="20"/>
      <c r="AF50" s="20"/>
      <c r="AG50" s="20"/>
    </row>
    <row r="51" spans="1:33" x14ac:dyDescent="0.25">
      <c r="A51" s="118"/>
      <c r="B51" s="92" t="s">
        <v>17</v>
      </c>
      <c r="C51" s="177" t="s">
        <v>33</v>
      </c>
      <c r="D51" s="133">
        <v>20000</v>
      </c>
      <c r="E51" s="20"/>
      <c r="F51" s="20"/>
      <c r="G51" s="20"/>
      <c r="H51" s="123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</row>
    <row r="52" spans="1:33" x14ac:dyDescent="0.25">
      <c r="A52" s="118"/>
      <c r="B52" s="92" t="s">
        <v>32</v>
      </c>
      <c r="C52" s="20"/>
      <c r="D52" s="133">
        <v>15500</v>
      </c>
      <c r="E52" s="20"/>
      <c r="F52" s="20"/>
      <c r="G52" s="20"/>
      <c r="H52" s="123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168"/>
      <c r="AC52" s="168"/>
      <c r="AD52" s="20"/>
      <c r="AE52" s="20"/>
      <c r="AF52" s="20"/>
      <c r="AG52" s="20"/>
    </row>
    <row r="53" spans="1:33" s="1" customFormat="1" ht="5.25" customHeight="1" x14ac:dyDescent="0.3">
      <c r="A53" s="132"/>
      <c r="B53" s="131"/>
      <c r="C53" s="128"/>
      <c r="D53" s="130"/>
      <c r="E53" s="128"/>
      <c r="F53" s="128"/>
      <c r="G53" s="128"/>
      <c r="H53" s="129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</row>
    <row r="54" spans="1:33" x14ac:dyDescent="0.25">
      <c r="A54" s="118"/>
      <c r="B54" s="122" t="s">
        <v>52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</row>
    <row r="55" spans="1:33" x14ac:dyDescent="0.25">
      <c r="A55" s="118"/>
      <c r="B55" s="120" t="s">
        <v>31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</row>
    <row r="56" spans="1:33" x14ac:dyDescent="0.25">
      <c r="A56" s="118"/>
      <c r="B56" s="117" t="s">
        <v>30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</row>
    <row r="57" spans="1:33" ht="15.5" x14ac:dyDescent="0.35">
      <c r="A57" s="15"/>
      <c r="B57" s="99"/>
      <c r="C57" s="57"/>
      <c r="D57" s="57"/>
      <c r="E57" s="57"/>
      <c r="F57" s="57"/>
      <c r="G57" s="57"/>
      <c r="H57" s="100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.5" x14ac:dyDescent="0.35">
      <c r="A58" s="15"/>
      <c r="B58" s="99"/>
      <c r="C58" s="57"/>
      <c r="D58" s="57"/>
      <c r="E58" s="57"/>
      <c r="F58" s="57"/>
      <c r="G58" s="57"/>
      <c r="H58" s="100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.5" x14ac:dyDescent="0.35">
      <c r="A59" s="15"/>
      <c r="B59" s="99" t="s">
        <v>82</v>
      </c>
      <c r="C59" s="57"/>
      <c r="D59" s="57"/>
      <c r="E59" s="57"/>
      <c r="F59" s="57"/>
      <c r="G59" s="57"/>
      <c r="H59" s="100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x14ac:dyDescent="0.25">
      <c r="A60" s="15"/>
      <c r="B60" s="108" t="str">
        <f>B$18</f>
        <v>Financial year ending 30 June</v>
      </c>
      <c r="C60" s="107"/>
      <c r="D60" s="106"/>
      <c r="E60" s="105">
        <f t="shared" ref="E60:AG60" si="10">E$18</f>
        <v>1992</v>
      </c>
      <c r="F60" s="104">
        <f t="shared" si="10"/>
        <v>1993</v>
      </c>
      <c r="G60" s="104">
        <f t="shared" si="10"/>
        <v>1994</v>
      </c>
      <c r="H60" s="104">
        <f t="shared" si="10"/>
        <v>1995</v>
      </c>
      <c r="I60" s="104">
        <f t="shared" si="10"/>
        <v>1996</v>
      </c>
      <c r="J60" s="104">
        <f t="shared" si="10"/>
        <v>1997</v>
      </c>
      <c r="K60" s="104">
        <f t="shared" si="10"/>
        <v>1998</v>
      </c>
      <c r="L60" s="104">
        <f t="shared" si="10"/>
        <v>1999</v>
      </c>
      <c r="M60" s="104">
        <f t="shared" si="10"/>
        <v>2000</v>
      </c>
      <c r="N60" s="104">
        <f t="shared" si="10"/>
        <v>2001</v>
      </c>
      <c r="O60" s="104">
        <f t="shared" si="10"/>
        <v>2002</v>
      </c>
      <c r="P60" s="104">
        <f t="shared" si="10"/>
        <v>2003</v>
      </c>
      <c r="Q60" s="104">
        <f t="shared" si="10"/>
        <v>2004</v>
      </c>
      <c r="R60" s="104">
        <f t="shared" si="10"/>
        <v>2005</v>
      </c>
      <c r="S60" s="104">
        <f t="shared" si="10"/>
        <v>2006</v>
      </c>
      <c r="T60" s="104">
        <f t="shared" si="10"/>
        <v>2007</v>
      </c>
      <c r="U60" s="104">
        <f t="shared" si="10"/>
        <v>2008</v>
      </c>
      <c r="V60" s="104">
        <f t="shared" si="10"/>
        <v>2009</v>
      </c>
      <c r="W60" s="104">
        <f t="shared" si="10"/>
        <v>2010</v>
      </c>
      <c r="X60" s="104">
        <f t="shared" si="10"/>
        <v>2011</v>
      </c>
      <c r="Y60" s="104">
        <f t="shared" si="10"/>
        <v>2012</v>
      </c>
      <c r="Z60" s="104">
        <f t="shared" si="10"/>
        <v>2013</v>
      </c>
      <c r="AA60" s="104">
        <f t="shared" si="10"/>
        <v>2014</v>
      </c>
      <c r="AB60" s="104">
        <f t="shared" si="10"/>
        <v>2015</v>
      </c>
      <c r="AC60" s="104">
        <f t="shared" si="10"/>
        <v>2016</v>
      </c>
      <c r="AD60" s="104">
        <f t="shared" si="10"/>
        <v>2017</v>
      </c>
      <c r="AE60" s="104">
        <f t="shared" si="10"/>
        <v>2018</v>
      </c>
      <c r="AF60" s="104">
        <f t="shared" si="10"/>
        <v>2019</v>
      </c>
      <c r="AG60" s="104">
        <f t="shared" si="10"/>
        <v>2020</v>
      </c>
    </row>
    <row r="61" spans="1:33" x14ac:dyDescent="0.25">
      <c r="A61" s="15"/>
      <c r="B61" s="69" t="s">
        <v>28</v>
      </c>
      <c r="C61" s="68"/>
      <c r="D61" s="67"/>
      <c r="E61" s="103">
        <v>0</v>
      </c>
      <c r="F61" s="103">
        <v>0</v>
      </c>
      <c r="G61" s="103">
        <v>0</v>
      </c>
      <c r="H61" s="103">
        <v>0</v>
      </c>
      <c r="I61" s="103">
        <v>0</v>
      </c>
      <c r="J61" s="103">
        <v>0</v>
      </c>
      <c r="K61" s="103">
        <v>0</v>
      </c>
      <c r="L61" s="103">
        <v>0</v>
      </c>
      <c r="M61" s="103">
        <v>0</v>
      </c>
      <c r="N61" s="103">
        <v>0.1</v>
      </c>
      <c r="O61" s="103">
        <v>0.1</v>
      </c>
      <c r="P61" s="103">
        <v>0.1</v>
      </c>
      <c r="Q61" s="103">
        <v>0.1</v>
      </c>
      <c r="R61" s="103">
        <v>0.1</v>
      </c>
      <c r="S61" s="103">
        <v>0.1</v>
      </c>
      <c r="T61" s="103">
        <v>0.1</v>
      </c>
      <c r="U61" s="103">
        <v>0.1</v>
      </c>
      <c r="V61" s="103">
        <v>0.1</v>
      </c>
      <c r="W61" s="103">
        <v>0.1</v>
      </c>
      <c r="X61" s="103">
        <v>0.1</v>
      </c>
      <c r="Y61" s="103">
        <v>0.1</v>
      </c>
      <c r="Z61" s="103">
        <v>0.1</v>
      </c>
      <c r="AA61" s="103">
        <v>0.1</v>
      </c>
      <c r="AB61" s="103">
        <v>0.1</v>
      </c>
      <c r="AC61" s="103">
        <v>0.1</v>
      </c>
      <c r="AD61" s="103">
        <v>0.1</v>
      </c>
      <c r="AE61" s="103">
        <v>0.1</v>
      </c>
      <c r="AF61" s="103">
        <v>0.1</v>
      </c>
      <c r="AG61" s="103">
        <v>0.1</v>
      </c>
    </row>
    <row r="62" spans="1:33" x14ac:dyDescent="0.25">
      <c r="A62" s="15"/>
      <c r="B62" s="23" t="s">
        <v>73</v>
      </c>
      <c r="C62" s="20"/>
      <c r="D62" s="25"/>
      <c r="E62" s="181">
        <v>1.0186757215619791E-2</v>
      </c>
      <c r="F62" s="181">
        <v>1.6806722689075571E-2</v>
      </c>
      <c r="G62" s="181">
        <v>1.4876033057851235E-2</v>
      </c>
      <c r="H62" s="181">
        <v>4.8859934853420217E-2</v>
      </c>
      <c r="I62" s="181">
        <v>4.0372670807453215E-2</v>
      </c>
      <c r="J62" s="181">
        <v>1.4925373134326847E-3</v>
      </c>
      <c r="K62" s="181">
        <v>1.0432190760059745E-2</v>
      </c>
      <c r="L62" s="181">
        <v>1.3274336283185972E-2</v>
      </c>
      <c r="M62" s="181">
        <v>3.2023289665211063E-2</v>
      </c>
      <c r="N62" s="181">
        <v>6.3469675599435726E-2</v>
      </c>
      <c r="O62" s="181">
        <v>2.7851458885941538E-2</v>
      </c>
      <c r="P62" s="181">
        <v>2.4516129032258194E-2</v>
      </c>
      <c r="Q62" s="181">
        <v>2.267002518891692E-2</v>
      </c>
      <c r="R62" s="181">
        <v>2.4630541871921263E-2</v>
      </c>
      <c r="S62" s="181">
        <v>3.8461538461538547E-2</v>
      </c>
      <c r="T62" s="181">
        <v>1.736111111111116E-2</v>
      </c>
      <c r="U62" s="181">
        <v>4.3230944254835091E-2</v>
      </c>
      <c r="V62" s="181">
        <v>1.3086150490730697E-2</v>
      </c>
      <c r="W62" s="181">
        <v>2.906350914962319E-2</v>
      </c>
      <c r="X62" s="181">
        <v>3.7656903765690419E-2</v>
      </c>
      <c r="Y62" s="181">
        <v>1.3104838709677491E-2</v>
      </c>
      <c r="Z62" s="181">
        <v>2.5870646766169125E-2</v>
      </c>
      <c r="AA62" s="181">
        <v>2.812803103782735E-2</v>
      </c>
      <c r="AB62" s="181">
        <v>2.1698113207547109E-2</v>
      </c>
      <c r="AC62" s="181">
        <v>9.2336103416434945E-3</v>
      </c>
      <c r="AD62" s="181">
        <v>2.1957913998170264E-2</v>
      </c>
      <c r="AE62" s="181">
        <v>2.0590868397493356E-2</v>
      </c>
      <c r="AF62" s="181">
        <v>1.6666666666666607E-2</v>
      </c>
      <c r="AG62" s="181">
        <v>0</v>
      </c>
    </row>
    <row r="63" spans="1:33" x14ac:dyDescent="0.25">
      <c r="A63" s="15"/>
      <c r="B63" s="17" t="s">
        <v>74</v>
      </c>
      <c r="C63" s="16"/>
      <c r="D63" s="64"/>
      <c r="E63" s="101">
        <f t="shared" ref="E63:AE63" si="11">F63*(1+E62)</f>
        <v>1.9677419354838717</v>
      </c>
      <c r="F63" s="101">
        <f t="shared" si="11"/>
        <v>1.947899159663866</v>
      </c>
      <c r="G63" s="101">
        <f t="shared" si="11"/>
        <v>1.9157024793388435</v>
      </c>
      <c r="H63" s="101">
        <f t="shared" si="11"/>
        <v>1.8876221498371342</v>
      </c>
      <c r="I63" s="101">
        <f t="shared" si="11"/>
        <v>1.7996894409937894</v>
      </c>
      <c r="J63" s="101">
        <f t="shared" si="11"/>
        <v>1.7298507462686576</v>
      </c>
      <c r="K63" s="101">
        <f t="shared" si="11"/>
        <v>1.7272727272727284</v>
      </c>
      <c r="L63" s="101">
        <f t="shared" si="11"/>
        <v>1.7094395280235997</v>
      </c>
      <c r="M63" s="101">
        <f t="shared" si="11"/>
        <v>1.6870451237263471</v>
      </c>
      <c r="N63" s="101">
        <f t="shared" si="11"/>
        <v>1.6346967559943588</v>
      </c>
      <c r="O63" s="101">
        <f t="shared" si="11"/>
        <v>1.5371352785145895</v>
      </c>
      <c r="P63" s="101">
        <f t="shared" si="11"/>
        <v>1.4954838709677427</v>
      </c>
      <c r="Q63" s="101">
        <f t="shared" si="11"/>
        <v>1.4596977329974816</v>
      </c>
      <c r="R63" s="101">
        <f t="shared" si="11"/>
        <v>1.427339901477833</v>
      </c>
      <c r="S63" s="101">
        <f t="shared" si="11"/>
        <v>1.3930288461538465</v>
      </c>
      <c r="T63" s="101">
        <f t="shared" si="11"/>
        <v>1.3414351851851853</v>
      </c>
      <c r="U63" s="101">
        <f t="shared" si="11"/>
        <v>1.3185437997724687</v>
      </c>
      <c r="V63" s="101">
        <f t="shared" si="11"/>
        <v>1.2639040348964012</v>
      </c>
      <c r="W63" s="101">
        <f t="shared" si="11"/>
        <v>1.2475780409041979</v>
      </c>
      <c r="X63" s="101">
        <f t="shared" si="11"/>
        <v>1.2123430962343096</v>
      </c>
      <c r="Y63" s="101">
        <f t="shared" si="11"/>
        <v>1.1683467741935483</v>
      </c>
      <c r="Z63" s="101">
        <f t="shared" si="11"/>
        <v>1.153233830845771</v>
      </c>
      <c r="AA63" s="101">
        <f t="shared" si="11"/>
        <v>1.1241513094083413</v>
      </c>
      <c r="AB63" s="101">
        <f t="shared" si="11"/>
        <v>1.0933962264150943</v>
      </c>
      <c r="AC63" s="101">
        <f t="shared" si="11"/>
        <v>1.0701754385964912</v>
      </c>
      <c r="AD63" s="101">
        <f t="shared" si="11"/>
        <v>1.0603842634949681</v>
      </c>
      <c r="AE63" s="101">
        <f t="shared" si="11"/>
        <v>1.0376007162041181</v>
      </c>
      <c r="AF63" s="101">
        <f>AG63*(1+AF62)</f>
        <v>1.0166666666666666</v>
      </c>
      <c r="AG63" s="101">
        <v>1</v>
      </c>
    </row>
    <row r="64" spans="1:33" ht="15.5" x14ac:dyDescent="0.35">
      <c r="A64" s="15"/>
      <c r="B64" s="99"/>
      <c r="C64" s="57"/>
      <c r="D64" s="57"/>
      <c r="E64" s="57"/>
      <c r="F64" s="57"/>
      <c r="G64" s="57"/>
      <c r="H64" s="100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9" ht="13.5" thickBot="1" x14ac:dyDescent="0.35">
      <c r="A65" s="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4"/>
      <c r="P65" s="114"/>
      <c r="Q65" s="114"/>
      <c r="R65" s="114"/>
      <c r="S65" s="114"/>
      <c r="T65" s="114"/>
      <c r="U65" s="113"/>
      <c r="V65" s="114"/>
      <c r="W65" s="113"/>
      <c r="X65" s="114"/>
      <c r="Y65" s="113"/>
      <c r="Z65" s="113"/>
      <c r="AA65" s="113"/>
      <c r="AB65" s="113"/>
      <c r="AC65" s="113"/>
      <c r="AD65" s="113"/>
      <c r="AE65" s="113"/>
      <c r="AF65" s="113"/>
      <c r="AG65" s="113"/>
      <c r="AM65" s="1"/>
    </row>
    <row r="66" spans="1:39" x14ac:dyDescent="0.25">
      <c r="A66" s="15"/>
      <c r="B66" s="58"/>
      <c r="C66" s="58"/>
      <c r="D66" s="11"/>
      <c r="E66" s="58"/>
      <c r="F66" s="58"/>
      <c r="G66" s="58"/>
      <c r="H66" s="109"/>
      <c r="I66" s="109"/>
      <c r="J66" s="109"/>
      <c r="K66" s="109"/>
      <c r="L66" s="109"/>
      <c r="M66" s="110"/>
      <c r="N66" s="42"/>
      <c r="O66" s="112"/>
      <c r="P66" s="112"/>
      <c r="Q66" s="112"/>
      <c r="R66" s="112"/>
      <c r="S66" s="112"/>
      <c r="T66" s="112"/>
      <c r="U66" s="11"/>
      <c r="V66" s="57"/>
      <c r="W66" s="57"/>
      <c r="X66" s="57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9" ht="18" x14ac:dyDescent="0.4">
      <c r="A67" s="15"/>
      <c r="B67" s="111" t="s">
        <v>29</v>
      </c>
      <c r="C67" s="58"/>
      <c r="D67" s="11"/>
      <c r="E67" s="58"/>
      <c r="F67" s="58"/>
      <c r="G67" s="58"/>
      <c r="H67" s="109"/>
      <c r="I67" s="109"/>
      <c r="J67" s="109"/>
      <c r="K67" s="109"/>
      <c r="L67" s="109"/>
      <c r="M67" s="110"/>
      <c r="N67" s="110"/>
      <c r="O67" s="109"/>
      <c r="P67" s="109"/>
      <c r="Q67" s="109"/>
      <c r="R67" s="109"/>
      <c r="S67" s="109"/>
      <c r="T67" s="109"/>
      <c r="U67" s="57"/>
      <c r="V67" s="57"/>
      <c r="W67" s="57"/>
      <c r="X67" s="57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9" ht="15.5" x14ac:dyDescent="0.35">
      <c r="A68" s="15"/>
      <c r="B68" s="99"/>
      <c r="C68" s="57"/>
      <c r="D68" s="57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</row>
    <row r="69" spans="1:39" ht="15.75" customHeight="1" x14ac:dyDescent="0.35">
      <c r="A69" s="15"/>
      <c r="B69" s="99" t="s">
        <v>87</v>
      </c>
      <c r="C69" s="13"/>
      <c r="D69" s="13"/>
      <c r="E69" s="13"/>
      <c r="F69" s="13"/>
      <c r="G69" s="13"/>
      <c r="H69" s="13"/>
      <c r="I69" s="13"/>
      <c r="J69" s="13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183"/>
      <c r="W69" s="57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9" x14ac:dyDescent="0.25">
      <c r="B70" s="69" t="str">
        <f>B$18</f>
        <v>Financial year ending 30 June</v>
      </c>
      <c r="C70" s="68"/>
      <c r="D70" s="67"/>
      <c r="E70" s="66">
        <f t="shared" ref="E70:AG70" si="12">E$18</f>
        <v>1992</v>
      </c>
      <c r="F70" s="65">
        <f t="shared" si="12"/>
        <v>1993</v>
      </c>
      <c r="G70" s="65">
        <f t="shared" si="12"/>
        <v>1994</v>
      </c>
      <c r="H70" s="65">
        <f t="shared" si="12"/>
        <v>1995</v>
      </c>
      <c r="I70" s="65">
        <f t="shared" si="12"/>
        <v>1996</v>
      </c>
      <c r="J70" s="65">
        <f t="shared" si="12"/>
        <v>1997</v>
      </c>
      <c r="K70" s="65">
        <f t="shared" si="12"/>
        <v>1998</v>
      </c>
      <c r="L70" s="65">
        <f t="shared" si="12"/>
        <v>1999</v>
      </c>
      <c r="M70" s="65">
        <f t="shared" si="12"/>
        <v>2000</v>
      </c>
      <c r="N70" s="65">
        <f t="shared" si="12"/>
        <v>2001</v>
      </c>
      <c r="O70" s="65">
        <f t="shared" si="12"/>
        <v>2002</v>
      </c>
      <c r="P70" s="65">
        <f t="shared" si="12"/>
        <v>2003</v>
      </c>
      <c r="Q70" s="65">
        <f t="shared" si="12"/>
        <v>2004</v>
      </c>
      <c r="R70" s="65">
        <f t="shared" si="12"/>
        <v>2005</v>
      </c>
      <c r="S70" s="65">
        <f t="shared" si="12"/>
        <v>2006</v>
      </c>
      <c r="T70" s="65">
        <f t="shared" si="12"/>
        <v>2007</v>
      </c>
      <c r="U70" s="65">
        <f t="shared" si="12"/>
        <v>2008</v>
      </c>
      <c r="V70" s="65">
        <f t="shared" si="12"/>
        <v>2009</v>
      </c>
      <c r="W70" s="65">
        <f t="shared" si="12"/>
        <v>2010</v>
      </c>
      <c r="X70" s="65">
        <f t="shared" si="12"/>
        <v>2011</v>
      </c>
      <c r="Y70" s="65">
        <f t="shared" si="12"/>
        <v>2012</v>
      </c>
      <c r="Z70" s="65">
        <f t="shared" si="12"/>
        <v>2013</v>
      </c>
      <c r="AA70" s="65">
        <f t="shared" si="12"/>
        <v>2014</v>
      </c>
      <c r="AB70" s="65">
        <f t="shared" si="12"/>
        <v>2015</v>
      </c>
      <c r="AC70" s="65">
        <f t="shared" si="12"/>
        <v>2016</v>
      </c>
      <c r="AD70" s="65">
        <f t="shared" si="12"/>
        <v>2017</v>
      </c>
      <c r="AE70" s="65">
        <f t="shared" si="12"/>
        <v>2018</v>
      </c>
      <c r="AF70" s="65">
        <f t="shared" si="12"/>
        <v>2019</v>
      </c>
      <c r="AG70" s="65">
        <f t="shared" si="12"/>
        <v>2020</v>
      </c>
    </row>
    <row r="71" spans="1:39" x14ac:dyDescent="0.25">
      <c r="B71" s="17"/>
      <c r="C71" s="16"/>
      <c r="D71" s="64"/>
      <c r="E71" s="63" t="s">
        <v>20</v>
      </c>
      <c r="F71" s="62" t="str">
        <f t="shared" ref="F71:L71" si="13">E71</f>
        <v>pre-GST</v>
      </c>
      <c r="G71" s="62" t="str">
        <f t="shared" si="13"/>
        <v>pre-GST</v>
      </c>
      <c r="H71" s="62" t="str">
        <f t="shared" si="13"/>
        <v>pre-GST</v>
      </c>
      <c r="I71" s="62" t="str">
        <f t="shared" si="13"/>
        <v>pre-GST</v>
      </c>
      <c r="J71" s="62" t="str">
        <f t="shared" si="13"/>
        <v>pre-GST</v>
      </c>
      <c r="K71" s="62" t="str">
        <f t="shared" si="13"/>
        <v>pre-GST</v>
      </c>
      <c r="L71" s="62" t="str">
        <f t="shared" si="13"/>
        <v>pre-GST</v>
      </c>
      <c r="M71" s="61" t="s">
        <v>19</v>
      </c>
      <c r="N71" s="60" t="str">
        <f t="shared" ref="N71:AG71" si="14">M71</f>
        <v>incl GST</v>
      </c>
      <c r="O71" s="60" t="str">
        <f t="shared" si="14"/>
        <v>incl GST</v>
      </c>
      <c r="P71" s="60" t="str">
        <f t="shared" si="14"/>
        <v>incl GST</v>
      </c>
      <c r="Q71" s="60" t="str">
        <f t="shared" si="14"/>
        <v>incl GST</v>
      </c>
      <c r="R71" s="60" t="str">
        <f t="shared" si="14"/>
        <v>incl GST</v>
      </c>
      <c r="S71" s="60" t="str">
        <f t="shared" si="14"/>
        <v>incl GST</v>
      </c>
      <c r="T71" s="60" t="str">
        <f t="shared" si="14"/>
        <v>incl GST</v>
      </c>
      <c r="U71" s="60" t="str">
        <f t="shared" si="14"/>
        <v>incl GST</v>
      </c>
      <c r="V71" s="60" t="str">
        <f t="shared" si="14"/>
        <v>incl GST</v>
      </c>
      <c r="W71" s="60" t="str">
        <f t="shared" si="14"/>
        <v>incl GST</v>
      </c>
      <c r="X71" s="60" t="str">
        <f t="shared" si="14"/>
        <v>incl GST</v>
      </c>
      <c r="Y71" s="60" t="str">
        <f t="shared" si="14"/>
        <v>incl GST</v>
      </c>
      <c r="Z71" s="60" t="str">
        <f t="shared" si="14"/>
        <v>incl GST</v>
      </c>
      <c r="AA71" s="60" t="str">
        <f t="shared" si="14"/>
        <v>incl GST</v>
      </c>
      <c r="AB71" s="60" t="str">
        <f t="shared" si="14"/>
        <v>incl GST</v>
      </c>
      <c r="AC71" s="60" t="str">
        <f t="shared" si="14"/>
        <v>incl GST</v>
      </c>
      <c r="AD71" s="60" t="str">
        <f t="shared" si="14"/>
        <v>incl GST</v>
      </c>
      <c r="AE71" s="60" t="str">
        <f t="shared" si="14"/>
        <v>incl GST</v>
      </c>
      <c r="AF71" s="60" t="str">
        <f t="shared" si="14"/>
        <v>incl GST</v>
      </c>
      <c r="AG71" s="60" t="str">
        <f t="shared" si="14"/>
        <v>incl GST</v>
      </c>
    </row>
    <row r="72" spans="1:39" ht="13.5" customHeight="1" outlineLevel="1" x14ac:dyDescent="0.25">
      <c r="A72" s="15"/>
      <c r="B72" s="36" t="s">
        <v>18</v>
      </c>
      <c r="C72" s="20"/>
      <c r="D72" s="25"/>
      <c r="E72" s="20"/>
      <c r="F72" s="20"/>
      <c r="G72" s="20"/>
      <c r="H72" s="20"/>
      <c r="I72" s="20"/>
      <c r="J72" s="79"/>
      <c r="K72" s="79"/>
      <c r="L72" s="79"/>
      <c r="M72" s="79"/>
      <c r="N72" s="79"/>
      <c r="O72" s="79"/>
      <c r="P72" s="20"/>
      <c r="Q72" s="88"/>
      <c r="R72" s="88"/>
      <c r="S72" s="88"/>
      <c r="T72" s="88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1:39" outlineLevel="1" x14ac:dyDescent="0.25">
      <c r="A73" s="15"/>
      <c r="B73" s="92" t="str">
        <f>B51</f>
        <v xml:space="preserve">Average annual consumption </v>
      </c>
      <c r="C73" s="176" t="s">
        <v>16</v>
      </c>
      <c r="D73" s="56">
        <f>$D51</f>
        <v>20000</v>
      </c>
      <c r="E73" s="3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M73" s="9"/>
    </row>
    <row r="74" spans="1:39" ht="14.25" customHeight="1" outlineLevel="1" x14ac:dyDescent="0.25">
      <c r="A74" s="15"/>
      <c r="B74" s="92" t="s">
        <v>15</v>
      </c>
      <c r="C74" s="20" t="str">
        <f>$C$42</f>
        <v>MJ/quarter</v>
      </c>
      <c r="D74" s="55">
        <f>D73/4</f>
        <v>5000</v>
      </c>
      <c r="E74" s="3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M74" s="9"/>
    </row>
    <row r="75" spans="1:39" ht="9.75" customHeight="1" outlineLevel="1" x14ac:dyDescent="0.25">
      <c r="A75" s="15"/>
      <c r="B75" s="92"/>
      <c r="C75" s="20"/>
      <c r="D75" s="25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M75" s="9"/>
    </row>
    <row r="76" spans="1:39" outlineLevel="1" x14ac:dyDescent="0.25">
      <c r="A76" s="15"/>
      <c r="B76" s="96" t="s">
        <v>14</v>
      </c>
      <c r="C76" s="20" t="str">
        <f>$C$42</f>
        <v>MJ/quarter</v>
      </c>
      <c r="D76" s="25"/>
      <c r="E76" s="54">
        <f>MIN($D74,E$42)</f>
        <v>600</v>
      </c>
      <c r="F76" s="54">
        <f>MIN($D74,F$42)</f>
        <v>600</v>
      </c>
      <c r="G76" s="54">
        <f>MIN($D74,G$42)</f>
        <v>600</v>
      </c>
      <c r="H76" s="95">
        <f>MIN($D74,H$42)</f>
        <v>600</v>
      </c>
      <c r="I76" s="54">
        <f t="shared" ref="I76:P76" si="15">$D$74</f>
        <v>5000</v>
      </c>
      <c r="J76" s="54">
        <f t="shared" si="15"/>
        <v>5000</v>
      </c>
      <c r="K76" s="54">
        <f t="shared" si="15"/>
        <v>5000</v>
      </c>
      <c r="L76" s="54">
        <f t="shared" si="15"/>
        <v>5000</v>
      </c>
      <c r="M76" s="54">
        <f t="shared" si="15"/>
        <v>5000</v>
      </c>
      <c r="N76" s="54">
        <f t="shared" si="15"/>
        <v>5000</v>
      </c>
      <c r="O76" s="54">
        <f t="shared" si="15"/>
        <v>5000</v>
      </c>
      <c r="P76" s="98">
        <f t="shared" si="15"/>
        <v>5000</v>
      </c>
      <c r="Q76" s="54">
        <f t="shared" ref="Q76:AA76" si="16">MIN($D74,Q$42)</f>
        <v>4500</v>
      </c>
      <c r="R76" s="54">
        <f t="shared" si="16"/>
        <v>4500</v>
      </c>
      <c r="S76" s="54">
        <f t="shared" si="16"/>
        <v>4500</v>
      </c>
      <c r="T76" s="54">
        <f t="shared" si="16"/>
        <v>4500</v>
      </c>
      <c r="U76" s="54">
        <f t="shared" si="16"/>
        <v>5000</v>
      </c>
      <c r="V76" s="54">
        <f t="shared" si="16"/>
        <v>5000</v>
      </c>
      <c r="W76" s="54">
        <f t="shared" si="16"/>
        <v>5000</v>
      </c>
      <c r="X76" s="54">
        <f t="shared" si="16"/>
        <v>3750.0099999999998</v>
      </c>
      <c r="Y76" s="54">
        <f t="shared" si="16"/>
        <v>3750.0099999999998</v>
      </c>
      <c r="Z76" s="54">
        <f t="shared" si="16"/>
        <v>3750.0099999999998</v>
      </c>
      <c r="AA76" s="95">
        <f t="shared" si="16"/>
        <v>3750.0099999999998</v>
      </c>
      <c r="AB76" s="54">
        <f>MIN($D$74,AB42)</f>
        <v>3750.0099999999998</v>
      </c>
      <c r="AC76" s="54">
        <f>MIN($D$74,AC42)</f>
        <v>1889.97</v>
      </c>
      <c r="AD76" s="54">
        <f>MIN($D$74,AD42)</f>
        <v>1889.97</v>
      </c>
      <c r="AE76" s="54">
        <f>MIN($D$74,AE42)</f>
        <v>1889.97</v>
      </c>
      <c r="AF76" s="54">
        <f>MIN($D$74,AF42)</f>
        <v>1889.97</v>
      </c>
      <c r="AG76" s="54">
        <f>MIN($D$74,AG$42)</f>
        <v>1889.97</v>
      </c>
    </row>
    <row r="77" spans="1:39" outlineLevel="1" x14ac:dyDescent="0.25">
      <c r="A77" s="15"/>
      <c r="B77" s="96" t="s">
        <v>13</v>
      </c>
      <c r="C77" s="20" t="str">
        <f t="shared" ref="C77:C81" si="17">$C$42</f>
        <v>MJ/quarter</v>
      </c>
      <c r="D77" s="25"/>
      <c r="E77" s="54">
        <f>MIN(E43-E42,$D74-E76)</f>
        <v>150</v>
      </c>
      <c r="F77" s="54">
        <f>MIN(F43-F42,$D74-F76)</f>
        <v>150</v>
      </c>
      <c r="G77" s="54">
        <f>MIN(G43-G42,$D74-G76)</f>
        <v>150</v>
      </c>
      <c r="H77" s="95">
        <f>MIN(H43-H42,$D74-H76)</f>
        <v>150</v>
      </c>
      <c r="I77" s="94"/>
      <c r="J77" s="94"/>
      <c r="K77" s="94"/>
      <c r="L77" s="94"/>
      <c r="M77" s="94"/>
      <c r="N77" s="94"/>
      <c r="O77" s="94"/>
      <c r="P77" s="97"/>
      <c r="Q77" s="54">
        <f t="shared" ref="Q77:W77" si="18">MAX(0,$D74-Q76)</f>
        <v>500</v>
      </c>
      <c r="R77" s="54">
        <f t="shared" si="18"/>
        <v>500</v>
      </c>
      <c r="S77" s="54">
        <f t="shared" si="18"/>
        <v>500</v>
      </c>
      <c r="T77" s="54">
        <f t="shared" si="18"/>
        <v>500</v>
      </c>
      <c r="U77" s="54">
        <f t="shared" si="18"/>
        <v>0</v>
      </c>
      <c r="V77" s="54">
        <f t="shared" si="18"/>
        <v>0</v>
      </c>
      <c r="W77" s="95">
        <f t="shared" si="18"/>
        <v>0</v>
      </c>
      <c r="X77" s="54">
        <f>MIN(X43-X42,$D74-X76)</f>
        <v>1249.9900000000002</v>
      </c>
      <c r="Y77" s="54">
        <f>MIN(Y43-Y42,$D74-Y76)</f>
        <v>1249.9900000000002</v>
      </c>
      <c r="Z77" s="54">
        <f>MIN(Z43-Z42,$D74-Z76)</f>
        <v>1249.9900000000002</v>
      </c>
      <c r="AA77" s="95">
        <f>MIN(AA43-AA42,$D74-AA76)</f>
        <v>1249.9900000000002</v>
      </c>
      <c r="AB77" s="54">
        <f>MIN($D$74-AB76,AB43-AB42)</f>
        <v>1249.9900000000002</v>
      </c>
      <c r="AC77" s="54">
        <f>MIN($D$74-AC76,AC43-AC42)</f>
        <v>1860.0400000000002</v>
      </c>
      <c r="AD77" s="54">
        <f>MIN($D$74-AD76,AD43-AD42)</f>
        <v>1860.0400000000002</v>
      </c>
      <c r="AE77" s="54">
        <f>MIN($D$74-AE76,AE43-AE42)</f>
        <v>1860.0400000000002</v>
      </c>
      <c r="AF77" s="54">
        <f>MIN($D$74-AF76,AF43-AF42)</f>
        <v>1860.0400000000002</v>
      </c>
      <c r="AG77" s="54">
        <f>MIN($D$74-AG76,AG$43-AG$42)</f>
        <v>1860.0400000000002</v>
      </c>
    </row>
    <row r="78" spans="1:39" outlineLevel="1" x14ac:dyDescent="0.25">
      <c r="A78" s="15"/>
      <c r="B78" s="96" t="s">
        <v>12</v>
      </c>
      <c r="C78" s="20" t="str">
        <f t="shared" si="17"/>
        <v>MJ/quarter</v>
      </c>
      <c r="D78" s="25"/>
      <c r="E78" s="54">
        <f>MAX(0,$D74-E76-E77)</f>
        <v>4250</v>
      </c>
      <c r="F78" s="54">
        <f>MAX(0,$D74-F76-F77)</f>
        <v>4250</v>
      </c>
      <c r="G78" s="54">
        <f>MAX(0,$D74-G76-G77)</f>
        <v>4250</v>
      </c>
      <c r="H78" s="95">
        <f>MAX(0,$D74-H76-H77)</f>
        <v>4250</v>
      </c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54">
        <f t="shared" ref="X78:AA78" si="19">MAX(0,$D74-X76-X77)</f>
        <v>0</v>
      </c>
      <c r="Y78" s="54">
        <f t="shared" si="19"/>
        <v>0</v>
      </c>
      <c r="Z78" s="54">
        <f t="shared" si="19"/>
        <v>0</v>
      </c>
      <c r="AA78" s="95">
        <f t="shared" si="19"/>
        <v>0</v>
      </c>
      <c r="AB78" s="54">
        <f>MIN($D$74-AB77-AB76,AB44-AB43-AB42)</f>
        <v>0</v>
      </c>
      <c r="AC78" s="54">
        <f>MIN($D$74-AC77-AC76,AC44-AC43-AC42)</f>
        <v>1249.99</v>
      </c>
      <c r="AD78" s="54">
        <f>MIN($D$74-AD77-AD76,AD44-AD43-AD42)</f>
        <v>1249.99</v>
      </c>
      <c r="AE78" s="54">
        <f>MIN($D$74-AE77-AE76,AE44-AE43-AE42)</f>
        <v>1249.99</v>
      </c>
      <c r="AF78" s="54">
        <f>MIN($D$74-AF77-AF76,AF44-AF43-AF42)</f>
        <v>1249.99</v>
      </c>
      <c r="AG78" s="54">
        <f>MIN($D$74-AG77-AG76,AG$44-AG$43-AG$42)</f>
        <v>1249.99</v>
      </c>
    </row>
    <row r="79" spans="1:39" outlineLevel="1" x14ac:dyDescent="0.25">
      <c r="A79" s="15"/>
      <c r="B79" s="96" t="s">
        <v>64</v>
      </c>
      <c r="C79" s="20" t="str">
        <f t="shared" si="17"/>
        <v>MJ/quarter</v>
      </c>
      <c r="D79" s="25"/>
      <c r="E79" s="54"/>
      <c r="F79" s="54"/>
      <c r="G79" s="54"/>
      <c r="H79" s="5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173"/>
      <c r="AB79" s="54">
        <f>MIN($D$74-AB77-AB76-AB78,AB45-AB44-AB43-AB42)</f>
        <v>0</v>
      </c>
      <c r="AC79" s="54">
        <f>MIN($D$74-AC77-AC76-AC78,AC45-AC44-AC43-AC42)</f>
        <v>0</v>
      </c>
      <c r="AD79" s="54">
        <f>MIN($D$74-AD77-AD76-AD78,AD45-AD44-AD43-AD42)</f>
        <v>0</v>
      </c>
      <c r="AE79" s="54">
        <f>MIN($D$74-AE77-AE76-AE78,AE45-AE44-AE43-AE42)</f>
        <v>0</v>
      </c>
      <c r="AF79" s="54">
        <f>MIN($D$74-AF77-AF76-AF78,AF45-AF44-AF43-AF42)</f>
        <v>0</v>
      </c>
      <c r="AG79" s="54">
        <f>MIN($D$74-AG77-AG76-AG78,AG$45-AG$44-AG$43-AG$42)</f>
        <v>0</v>
      </c>
    </row>
    <row r="80" spans="1:39" outlineLevel="1" x14ac:dyDescent="0.25">
      <c r="A80" s="15"/>
      <c r="B80" s="96" t="s">
        <v>65</v>
      </c>
      <c r="C80" s="20" t="str">
        <f t="shared" si="17"/>
        <v>MJ/quarter</v>
      </c>
      <c r="D80" s="25"/>
      <c r="E80" s="54"/>
      <c r="F80" s="54"/>
      <c r="G80" s="54"/>
      <c r="H80" s="5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173"/>
      <c r="AB80" s="54">
        <f>MIN($D$74-AB77-AB76-AB78-AB79,AB46-AB45-AB44-AB43-AB42)</f>
        <v>0</v>
      </c>
      <c r="AC80" s="54">
        <f>MIN($D$74-AC77-AC76-AC78-AC79,AC46-AC45-AC44-AC43-AC42)</f>
        <v>0</v>
      </c>
      <c r="AD80" s="54">
        <f>MIN($D$74-AD77-AD76-AD78-AD79,AD46-AD45-AD44-AD43-AD42)</f>
        <v>0</v>
      </c>
      <c r="AE80" s="54">
        <f>MIN($D$74-AE77-AE76-AE78-AE79,AE46-AE45-AE44-AE43-AE42)</f>
        <v>0</v>
      </c>
      <c r="AF80" s="54">
        <f>MIN($D$74-AF77-AF76-AF78-AF79,AF46-AF45-AF44-AF43-AF42)</f>
        <v>0</v>
      </c>
      <c r="AG80" s="54">
        <f>MIN($D$74-AG77-AG76-AG78-AG79,AG$46-AG$45-AG$44-AG$43-AG$42)</f>
        <v>0</v>
      </c>
    </row>
    <row r="81" spans="1:33" outlineLevel="1" x14ac:dyDescent="0.25">
      <c r="A81" s="15"/>
      <c r="B81" s="96" t="s">
        <v>66</v>
      </c>
      <c r="C81" s="20" t="str">
        <f t="shared" si="17"/>
        <v>MJ/quarter</v>
      </c>
      <c r="D81" s="25"/>
      <c r="E81" s="54"/>
      <c r="F81" s="54"/>
      <c r="G81" s="54"/>
      <c r="H81" s="5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173"/>
      <c r="AB81" s="170">
        <f t="shared" ref="AB81:AF81" si="20">$D$74-AB80-AB79-AB78-AB77-AB76</f>
        <v>0</v>
      </c>
      <c r="AC81" s="170">
        <f t="shared" si="20"/>
        <v>0</v>
      </c>
      <c r="AD81" s="170">
        <f t="shared" si="20"/>
        <v>0</v>
      </c>
      <c r="AE81" s="170">
        <f t="shared" si="20"/>
        <v>0</v>
      </c>
      <c r="AF81" s="170">
        <f t="shared" si="20"/>
        <v>0</v>
      </c>
      <c r="AG81" s="170">
        <f>$D$74-AG80-AG79-AG78-AG77-AG76</f>
        <v>0</v>
      </c>
    </row>
    <row r="82" spans="1:33" outlineLevel="1" x14ac:dyDescent="0.25">
      <c r="A82" s="15"/>
      <c r="B82" s="72" t="s">
        <v>11</v>
      </c>
      <c r="C82" s="16"/>
      <c r="D82" s="64"/>
      <c r="E82" s="71">
        <f t="shared" ref="E82:AA82" si="21">SUM(E76:E78)-$D74</f>
        <v>0</v>
      </c>
      <c r="F82" s="71">
        <f t="shared" si="21"/>
        <v>0</v>
      </c>
      <c r="G82" s="71">
        <f t="shared" si="21"/>
        <v>0</v>
      </c>
      <c r="H82" s="71">
        <f t="shared" si="21"/>
        <v>0</v>
      </c>
      <c r="I82" s="71">
        <f t="shared" si="21"/>
        <v>0</v>
      </c>
      <c r="J82" s="71">
        <f t="shared" si="21"/>
        <v>0</v>
      </c>
      <c r="K82" s="71">
        <f t="shared" si="21"/>
        <v>0</v>
      </c>
      <c r="L82" s="71">
        <f t="shared" si="21"/>
        <v>0</v>
      </c>
      <c r="M82" s="71">
        <f t="shared" si="21"/>
        <v>0</v>
      </c>
      <c r="N82" s="71">
        <f t="shared" si="21"/>
        <v>0</v>
      </c>
      <c r="O82" s="71">
        <f t="shared" si="21"/>
        <v>0</v>
      </c>
      <c r="P82" s="71">
        <f t="shared" si="21"/>
        <v>0</v>
      </c>
      <c r="Q82" s="71">
        <f t="shared" si="21"/>
        <v>0</v>
      </c>
      <c r="R82" s="71">
        <f t="shared" si="21"/>
        <v>0</v>
      </c>
      <c r="S82" s="71">
        <f t="shared" si="21"/>
        <v>0</v>
      </c>
      <c r="T82" s="71">
        <f t="shared" si="21"/>
        <v>0</v>
      </c>
      <c r="U82" s="71">
        <f t="shared" si="21"/>
        <v>0</v>
      </c>
      <c r="V82" s="71">
        <f t="shared" si="21"/>
        <v>0</v>
      </c>
      <c r="W82" s="71">
        <f t="shared" si="21"/>
        <v>0</v>
      </c>
      <c r="X82" s="71">
        <f t="shared" si="21"/>
        <v>0</v>
      </c>
      <c r="Y82" s="71">
        <f t="shared" si="21"/>
        <v>0</v>
      </c>
      <c r="Z82" s="71">
        <f t="shared" si="21"/>
        <v>0</v>
      </c>
      <c r="AA82" s="71">
        <f t="shared" si="21"/>
        <v>0</v>
      </c>
      <c r="AB82" s="71">
        <f t="shared" ref="AB82:AF82" si="22">SUM(AB76:AB81)-$D74</f>
        <v>0</v>
      </c>
      <c r="AC82" s="71">
        <f t="shared" si="22"/>
        <v>0</v>
      </c>
      <c r="AD82" s="71">
        <f t="shared" si="22"/>
        <v>0</v>
      </c>
      <c r="AE82" s="71">
        <f t="shared" si="22"/>
        <v>0</v>
      </c>
      <c r="AF82" s="71">
        <f t="shared" si="22"/>
        <v>0</v>
      </c>
      <c r="AG82" s="71">
        <f>SUM(AG76:AG81)-$D74</f>
        <v>0</v>
      </c>
    </row>
    <row r="83" spans="1:33" x14ac:dyDescent="0.25">
      <c r="A83" s="15"/>
      <c r="B83" s="93"/>
      <c r="C83" s="20"/>
      <c r="D83" s="25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</row>
    <row r="84" spans="1:33" x14ac:dyDescent="0.25">
      <c r="A84" s="15"/>
      <c r="B84" s="36" t="s">
        <v>10</v>
      </c>
      <c r="C84" s="20"/>
      <c r="D84" s="25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</row>
    <row r="85" spans="1:33" ht="14.25" customHeight="1" outlineLevel="1" x14ac:dyDescent="0.25">
      <c r="A85" s="15"/>
      <c r="B85" s="92" t="s">
        <v>9</v>
      </c>
      <c r="C85" s="178" t="s">
        <v>26</v>
      </c>
      <c r="D85" s="25"/>
      <c r="E85" s="54">
        <f t="shared" ref="E85:AG85" si="23">E$24*4*(1+E$61)</f>
        <v>0</v>
      </c>
      <c r="F85" s="54">
        <f t="shared" si="23"/>
        <v>0</v>
      </c>
      <c r="G85" s="54">
        <f t="shared" si="23"/>
        <v>0</v>
      </c>
      <c r="H85" s="54">
        <f t="shared" si="23"/>
        <v>0</v>
      </c>
      <c r="I85" s="54">
        <f t="shared" si="23"/>
        <v>74.400000000000006</v>
      </c>
      <c r="J85" s="54">
        <f t="shared" si="23"/>
        <v>74.400000000000006</v>
      </c>
      <c r="K85" s="54">
        <f t="shared" si="23"/>
        <v>87.2</v>
      </c>
      <c r="L85" s="54">
        <f t="shared" si="23"/>
        <v>91.2</v>
      </c>
      <c r="M85" s="54">
        <f t="shared" si="23"/>
        <v>96</v>
      </c>
      <c r="N85" s="54">
        <f t="shared" si="23"/>
        <v>107.44800000000002</v>
      </c>
      <c r="O85" s="54">
        <f t="shared" si="23"/>
        <v>124.43200000000002</v>
      </c>
      <c r="P85" s="54">
        <f t="shared" si="23"/>
        <v>147.00399999999999</v>
      </c>
      <c r="Q85" s="54">
        <f t="shared" si="23"/>
        <v>205.88</v>
      </c>
      <c r="R85" s="54">
        <f t="shared" si="23"/>
        <v>208.56</v>
      </c>
      <c r="S85" s="54">
        <f t="shared" si="23"/>
        <v>208.56</v>
      </c>
      <c r="T85" s="54">
        <f t="shared" si="23"/>
        <v>199.76000000000002</v>
      </c>
      <c r="U85" s="54">
        <f t="shared" si="23"/>
        <v>183.00699999999998</v>
      </c>
      <c r="V85" s="54">
        <f t="shared" si="23"/>
        <v>185.54800000000003</v>
      </c>
      <c r="W85" s="54">
        <f t="shared" si="23"/>
        <v>193.60330000000002</v>
      </c>
      <c r="X85" s="54">
        <f t="shared" si="23"/>
        <v>209.54284999999999</v>
      </c>
      <c r="Y85" s="54">
        <f t="shared" si="23"/>
        <v>173.36770000000001</v>
      </c>
      <c r="Z85" s="54">
        <f t="shared" si="23"/>
        <v>177.86450000000002</v>
      </c>
      <c r="AA85" s="95">
        <f t="shared" si="23"/>
        <v>189.06635000000006</v>
      </c>
      <c r="AB85" s="54">
        <f t="shared" si="23"/>
        <v>207.17400000000001</v>
      </c>
      <c r="AC85" s="54">
        <f t="shared" si="23"/>
        <v>216.85015000000001</v>
      </c>
      <c r="AD85" s="54">
        <f t="shared" si="23"/>
        <v>219.01824999999999</v>
      </c>
      <c r="AE85" s="54">
        <f t="shared" si="23"/>
        <v>252.50335000000001</v>
      </c>
      <c r="AF85" s="54">
        <f t="shared" si="23"/>
        <v>257.56225000000006</v>
      </c>
      <c r="AG85" s="54">
        <f t="shared" si="23"/>
        <v>264.99</v>
      </c>
    </row>
    <row r="86" spans="1:33" ht="14.25" customHeight="1" outlineLevel="1" x14ac:dyDescent="0.25">
      <c r="A86" s="15"/>
      <c r="B86" s="92" t="s">
        <v>8</v>
      </c>
      <c r="C86" s="20" t="str">
        <f t="shared" ref="C86:C91" si="24">$C$85</f>
        <v>$ nominal</v>
      </c>
      <c r="D86" s="25"/>
      <c r="E86" s="54">
        <f t="shared" ref="E86:AA86" si="25">E76*E$28/100*4*(1+E$61)</f>
        <v>83.500799999999998</v>
      </c>
      <c r="F86" s="54">
        <f t="shared" si="25"/>
        <v>83.500799999999998</v>
      </c>
      <c r="G86" s="54">
        <f t="shared" si="25"/>
        <v>80.708800000000011</v>
      </c>
      <c r="H86" s="54">
        <f t="shared" si="25"/>
        <v>79.127200000000002</v>
      </c>
      <c r="I86" s="54">
        <f t="shared" si="25"/>
        <v>189.55833333333337</v>
      </c>
      <c r="J86" s="54">
        <f t="shared" si="25"/>
        <v>195.10833333333335</v>
      </c>
      <c r="K86" s="54">
        <f t="shared" si="25"/>
        <v>199.04</v>
      </c>
      <c r="L86" s="54">
        <f t="shared" si="25"/>
        <v>205.48</v>
      </c>
      <c r="M86" s="54">
        <f t="shared" si="25"/>
        <v>214.54000000000005</v>
      </c>
      <c r="N86" s="54">
        <f t="shared" si="25"/>
        <v>243.12200000000004</v>
      </c>
      <c r="O86" s="54">
        <f t="shared" si="25"/>
        <v>253.41800000000001</v>
      </c>
      <c r="P86" s="54">
        <f t="shared" si="25"/>
        <v>266.86</v>
      </c>
      <c r="Q86" s="54">
        <f t="shared" si="25"/>
        <v>213.66000000000003</v>
      </c>
      <c r="R86" s="54">
        <f t="shared" si="25"/>
        <v>226.512</v>
      </c>
      <c r="S86" s="54">
        <f t="shared" si="25"/>
        <v>239.38200000000003</v>
      </c>
      <c r="T86" s="54">
        <f t="shared" si="25"/>
        <v>258.58800000000002</v>
      </c>
      <c r="U86" s="54">
        <f t="shared" si="25"/>
        <v>337.42500000000007</v>
      </c>
      <c r="V86" s="54">
        <f t="shared" si="25"/>
        <v>354.42</v>
      </c>
      <c r="W86" s="54">
        <f t="shared" si="25"/>
        <v>369.82</v>
      </c>
      <c r="X86" s="54">
        <f t="shared" si="25"/>
        <v>292.38077968000005</v>
      </c>
      <c r="Y86" s="54">
        <f t="shared" si="25"/>
        <v>411.01609604000004</v>
      </c>
      <c r="Z86" s="54">
        <f t="shared" si="25"/>
        <v>489.55630547999999</v>
      </c>
      <c r="AA86" s="95">
        <f t="shared" si="25"/>
        <v>542.35644628</v>
      </c>
      <c r="AB86" s="54">
        <f t="shared" ref="AB86:AG91" si="26">((AB76*(AB28/100))*(1+AB$61))*4</f>
        <v>614.4616385600001</v>
      </c>
      <c r="AC86" s="54">
        <f t="shared" si="26"/>
        <v>291.88696680000004</v>
      </c>
      <c r="AD86" s="54">
        <f t="shared" si="26"/>
        <v>293.79961644000002</v>
      </c>
      <c r="AE86" s="54">
        <f t="shared" si="26"/>
        <v>319.57880724000006</v>
      </c>
      <c r="AF86" s="54">
        <f t="shared" si="26"/>
        <v>325.98202559999999</v>
      </c>
      <c r="AG86" s="54">
        <f t="shared" si="26"/>
        <v>262.19931804000004</v>
      </c>
    </row>
    <row r="87" spans="1:33" ht="14.25" customHeight="1" outlineLevel="1" x14ac:dyDescent="0.25">
      <c r="A87" s="15"/>
      <c r="B87" s="92" t="s">
        <v>7</v>
      </c>
      <c r="C87" s="20" t="str">
        <f t="shared" si="24"/>
        <v>$ nominal</v>
      </c>
      <c r="D87" s="25"/>
      <c r="E87" s="54">
        <f t="shared" ref="E87:AA87" si="27">E77*E$29/100*4*(1+E$61)</f>
        <v>5.9034000000000004</v>
      </c>
      <c r="F87" s="54">
        <f t="shared" si="27"/>
        <v>12.14165</v>
      </c>
      <c r="G87" s="54">
        <f t="shared" si="27"/>
        <v>20.177200000000003</v>
      </c>
      <c r="H87" s="54">
        <f t="shared" si="27"/>
        <v>19.7818</v>
      </c>
      <c r="I87" s="54">
        <f t="shared" si="27"/>
        <v>0</v>
      </c>
      <c r="J87" s="54">
        <f t="shared" si="27"/>
        <v>0</v>
      </c>
      <c r="K87" s="54">
        <f t="shared" si="27"/>
        <v>0</v>
      </c>
      <c r="L87" s="54">
        <f t="shared" si="27"/>
        <v>0</v>
      </c>
      <c r="M87" s="54">
        <f t="shared" si="27"/>
        <v>0</v>
      </c>
      <c r="N87" s="54">
        <f t="shared" si="27"/>
        <v>0</v>
      </c>
      <c r="O87" s="54">
        <f t="shared" si="27"/>
        <v>0</v>
      </c>
      <c r="P87" s="54">
        <f t="shared" si="27"/>
        <v>0</v>
      </c>
      <c r="Q87" s="54">
        <f t="shared" si="27"/>
        <v>26.8</v>
      </c>
      <c r="R87" s="54">
        <f t="shared" si="27"/>
        <v>27.324000000000002</v>
      </c>
      <c r="S87" s="54">
        <f t="shared" si="27"/>
        <v>28.336000000000006</v>
      </c>
      <c r="T87" s="54">
        <f t="shared" si="27"/>
        <v>29.854000000000003</v>
      </c>
      <c r="U87" s="54">
        <f t="shared" si="27"/>
        <v>0</v>
      </c>
      <c r="V87" s="54">
        <f t="shared" si="27"/>
        <v>0</v>
      </c>
      <c r="W87" s="54">
        <f t="shared" si="27"/>
        <v>0</v>
      </c>
      <c r="X87" s="54">
        <f t="shared" si="27"/>
        <v>93.33425332000003</v>
      </c>
      <c r="Y87" s="54">
        <f t="shared" si="27"/>
        <v>82.444340440000019</v>
      </c>
      <c r="Z87" s="54">
        <f t="shared" si="27"/>
        <v>96.689226480000031</v>
      </c>
      <c r="AA87" s="95">
        <f t="shared" si="27"/>
        <v>105.87415300000004</v>
      </c>
      <c r="AB87" s="54">
        <f t="shared" si="26"/>
        <v>117.25906192000005</v>
      </c>
      <c r="AC87" s="54">
        <f t="shared" si="26"/>
        <v>191.83708544000004</v>
      </c>
      <c r="AD87" s="54">
        <f t="shared" si="26"/>
        <v>192.73734480000005</v>
      </c>
      <c r="AE87" s="54">
        <f t="shared" si="26"/>
        <v>205.25913408000005</v>
      </c>
      <c r="AF87" s="54">
        <f t="shared" si="26"/>
        <v>209.35122208000001</v>
      </c>
      <c r="AG87" s="54">
        <f t="shared" si="26"/>
        <v>244.29765360000002</v>
      </c>
    </row>
    <row r="88" spans="1:33" ht="14.25" customHeight="1" outlineLevel="1" x14ac:dyDescent="0.25">
      <c r="A88" s="15"/>
      <c r="B88" s="92" t="s">
        <v>6</v>
      </c>
      <c r="C88" s="20" t="str">
        <f t="shared" si="24"/>
        <v>$ nominal</v>
      </c>
      <c r="D88" s="25"/>
      <c r="E88" s="54">
        <f>E78*E$33/100*4*(1+$E61)</f>
        <v>167.26300000000001</v>
      </c>
      <c r="F88" s="54">
        <f t="shared" ref="F88:AA88" si="28">F78*F$33/100*4*(1+F$61)</f>
        <v>159.90341666666666</v>
      </c>
      <c r="G88" s="54">
        <f t="shared" si="28"/>
        <v>149.6</v>
      </c>
      <c r="H88" s="54">
        <f t="shared" si="28"/>
        <v>154.13333333333333</v>
      </c>
      <c r="I88" s="54">
        <f t="shared" si="28"/>
        <v>0</v>
      </c>
      <c r="J88" s="54">
        <f t="shared" si="28"/>
        <v>0</v>
      </c>
      <c r="K88" s="54">
        <f t="shared" si="28"/>
        <v>0</v>
      </c>
      <c r="L88" s="54">
        <f t="shared" si="28"/>
        <v>0</v>
      </c>
      <c r="M88" s="54">
        <f t="shared" si="28"/>
        <v>0</v>
      </c>
      <c r="N88" s="54">
        <f t="shared" si="28"/>
        <v>0</v>
      </c>
      <c r="O88" s="54">
        <f t="shared" si="28"/>
        <v>0</v>
      </c>
      <c r="P88" s="54">
        <f t="shared" si="28"/>
        <v>0</v>
      </c>
      <c r="Q88" s="54">
        <f t="shared" si="28"/>
        <v>0</v>
      </c>
      <c r="R88" s="54">
        <f t="shared" si="28"/>
        <v>0</v>
      </c>
      <c r="S88" s="54">
        <f t="shared" si="28"/>
        <v>0</v>
      </c>
      <c r="T88" s="54">
        <f t="shared" si="28"/>
        <v>0</v>
      </c>
      <c r="U88" s="54">
        <f t="shared" si="28"/>
        <v>0</v>
      </c>
      <c r="V88" s="54">
        <f t="shared" si="28"/>
        <v>0</v>
      </c>
      <c r="W88" s="54">
        <f t="shared" si="28"/>
        <v>0</v>
      </c>
      <c r="X88" s="54">
        <f t="shared" si="28"/>
        <v>0</v>
      </c>
      <c r="Y88" s="54">
        <f t="shared" si="28"/>
        <v>0</v>
      </c>
      <c r="Z88" s="54">
        <f t="shared" si="28"/>
        <v>0</v>
      </c>
      <c r="AA88" s="95">
        <f t="shared" si="28"/>
        <v>0</v>
      </c>
      <c r="AB88" s="54">
        <f t="shared" si="26"/>
        <v>0</v>
      </c>
      <c r="AC88" s="54">
        <f t="shared" si="26"/>
        <v>118.90904872000002</v>
      </c>
      <c r="AD88" s="54">
        <f t="shared" si="26"/>
        <v>119.78904168000001</v>
      </c>
      <c r="AE88" s="54">
        <f t="shared" si="26"/>
        <v>127.26898184000001</v>
      </c>
      <c r="AF88" s="54">
        <f t="shared" si="26"/>
        <v>129.79896160000001</v>
      </c>
      <c r="AG88" s="54">
        <f t="shared" si="26"/>
        <v>155.37375700000001</v>
      </c>
    </row>
    <row r="89" spans="1:33" ht="14.25" customHeight="1" outlineLevel="1" x14ac:dyDescent="0.25">
      <c r="A89" s="15"/>
      <c r="B89" s="92" t="s">
        <v>67</v>
      </c>
      <c r="C89" s="20" t="str">
        <f t="shared" si="24"/>
        <v>$ nominal</v>
      </c>
      <c r="D89" s="25"/>
      <c r="E89" s="54"/>
      <c r="F89" s="54"/>
      <c r="G89" s="54"/>
      <c r="H89" s="54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4"/>
      <c r="AB89" s="54">
        <f t="shared" si="26"/>
        <v>0</v>
      </c>
      <c r="AC89" s="54">
        <f t="shared" si="26"/>
        <v>0</v>
      </c>
      <c r="AD89" s="54">
        <f t="shared" si="26"/>
        <v>0</v>
      </c>
      <c r="AE89" s="54">
        <f t="shared" si="26"/>
        <v>0</v>
      </c>
      <c r="AF89" s="54">
        <f t="shared" si="26"/>
        <v>0</v>
      </c>
      <c r="AG89" s="54">
        <f t="shared" si="26"/>
        <v>0</v>
      </c>
    </row>
    <row r="90" spans="1:33" ht="14.25" customHeight="1" outlineLevel="1" x14ac:dyDescent="0.25">
      <c r="A90" s="15"/>
      <c r="B90" s="92" t="s">
        <v>68</v>
      </c>
      <c r="C90" s="20" t="str">
        <f t="shared" si="24"/>
        <v>$ nominal</v>
      </c>
      <c r="D90" s="25"/>
      <c r="E90" s="54"/>
      <c r="F90" s="54"/>
      <c r="G90" s="54"/>
      <c r="H90" s="54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4"/>
      <c r="AB90" s="54">
        <f t="shared" si="26"/>
        <v>0</v>
      </c>
      <c r="AC90" s="54">
        <f t="shared" si="26"/>
        <v>0</v>
      </c>
      <c r="AD90" s="54">
        <f t="shared" si="26"/>
        <v>0</v>
      </c>
      <c r="AE90" s="54">
        <f t="shared" si="26"/>
        <v>0</v>
      </c>
      <c r="AF90" s="54">
        <f t="shared" si="26"/>
        <v>0</v>
      </c>
      <c r="AG90" s="54">
        <f t="shared" si="26"/>
        <v>0</v>
      </c>
    </row>
    <row r="91" spans="1:33" ht="14.25" customHeight="1" outlineLevel="1" x14ac:dyDescent="0.25">
      <c r="A91" s="15"/>
      <c r="B91" s="92" t="s">
        <v>69</v>
      </c>
      <c r="C91" s="20" t="str">
        <f t="shared" si="24"/>
        <v>$ nominal</v>
      </c>
      <c r="D91" s="25"/>
      <c r="E91" s="54"/>
      <c r="F91" s="54"/>
      <c r="G91" s="54"/>
      <c r="H91" s="54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4"/>
      <c r="AB91" s="54">
        <f t="shared" si="26"/>
        <v>0</v>
      </c>
      <c r="AC91" s="54">
        <f t="shared" si="26"/>
        <v>0</v>
      </c>
      <c r="AD91" s="54">
        <f t="shared" si="26"/>
        <v>0</v>
      </c>
      <c r="AE91" s="54">
        <f t="shared" si="26"/>
        <v>0</v>
      </c>
      <c r="AF91" s="54">
        <f t="shared" si="26"/>
        <v>0</v>
      </c>
      <c r="AG91" s="54">
        <f t="shared" si="26"/>
        <v>0</v>
      </c>
    </row>
    <row r="92" spans="1:33" ht="14.25" customHeight="1" outlineLevel="1" x14ac:dyDescent="0.25">
      <c r="A92" s="15"/>
      <c r="B92" s="92"/>
      <c r="C92" s="20"/>
      <c r="D92" s="25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</row>
    <row r="93" spans="1:33" s="9" customFormat="1" ht="13" thickBot="1" x14ac:dyDescent="0.3">
      <c r="A93" s="15"/>
      <c r="B93" s="23" t="s">
        <v>27</v>
      </c>
      <c r="C93" s="20" t="str">
        <f>$C$85</f>
        <v>$ nominal</v>
      </c>
      <c r="D93" s="25"/>
      <c r="E93" s="91">
        <f t="shared" ref="E93:AA93" si="29">MAX(SUM(E85:E88),E$25*4)</f>
        <v>256.66719999999998</v>
      </c>
      <c r="F93" s="90">
        <f t="shared" si="29"/>
        <v>255.54586666666665</v>
      </c>
      <c r="G93" s="90">
        <f t="shared" si="29"/>
        <v>250.48599999999999</v>
      </c>
      <c r="H93" s="90">
        <f t="shared" si="29"/>
        <v>253.04233333333332</v>
      </c>
      <c r="I93" s="90">
        <f t="shared" si="29"/>
        <v>263.95833333333337</v>
      </c>
      <c r="J93" s="90">
        <f t="shared" si="29"/>
        <v>269.50833333333333</v>
      </c>
      <c r="K93" s="90">
        <f t="shared" si="29"/>
        <v>286.24</v>
      </c>
      <c r="L93" s="90">
        <f t="shared" si="29"/>
        <v>296.68</v>
      </c>
      <c r="M93" s="90">
        <f t="shared" si="29"/>
        <v>310.54000000000008</v>
      </c>
      <c r="N93" s="90">
        <f t="shared" si="29"/>
        <v>350.57000000000005</v>
      </c>
      <c r="O93" s="90">
        <f t="shared" si="29"/>
        <v>377.85</v>
      </c>
      <c r="P93" s="90">
        <f t="shared" si="29"/>
        <v>413.86400000000003</v>
      </c>
      <c r="Q93" s="90">
        <f t="shared" si="29"/>
        <v>446.34000000000003</v>
      </c>
      <c r="R93" s="90">
        <f t="shared" si="29"/>
        <v>462.39600000000002</v>
      </c>
      <c r="S93" s="90">
        <f t="shared" si="29"/>
        <v>476.27800000000002</v>
      </c>
      <c r="T93" s="90">
        <f t="shared" si="29"/>
        <v>488.20200000000006</v>
      </c>
      <c r="U93" s="90">
        <f t="shared" si="29"/>
        <v>520.43200000000002</v>
      </c>
      <c r="V93" s="90">
        <f t="shared" si="29"/>
        <v>539.96800000000007</v>
      </c>
      <c r="W93" s="90">
        <f t="shared" si="29"/>
        <v>563.42330000000004</v>
      </c>
      <c r="X93" s="90">
        <f t="shared" si="29"/>
        <v>595.25788300000011</v>
      </c>
      <c r="Y93" s="90">
        <f t="shared" si="29"/>
        <v>666.82813648000013</v>
      </c>
      <c r="Z93" s="90">
        <f t="shared" si="29"/>
        <v>764.11003196000001</v>
      </c>
      <c r="AA93" s="175">
        <f t="shared" si="29"/>
        <v>837.29694928000004</v>
      </c>
      <c r="AB93" s="90">
        <f t="shared" ref="AB93:AF93" si="30">MAX(SUM(AB85:AB91),AB$25*4)</f>
        <v>938.8947004800001</v>
      </c>
      <c r="AC93" s="90">
        <f t="shared" si="30"/>
        <v>819.48325096000008</v>
      </c>
      <c r="AD93" s="90">
        <f t="shared" si="30"/>
        <v>825.34425292000003</v>
      </c>
      <c r="AE93" s="90">
        <f t="shared" si="30"/>
        <v>904.61027316000013</v>
      </c>
      <c r="AF93" s="90">
        <f t="shared" si="30"/>
        <v>922.69445928000005</v>
      </c>
      <c r="AG93" s="90">
        <f>MAX(SUM(AG85:AG91),AG$25*4)</f>
        <v>926.86072863999993</v>
      </c>
    </row>
    <row r="94" spans="1:33" s="9" customFormat="1" ht="12.75" customHeight="1" thickTop="1" x14ac:dyDescent="0.25">
      <c r="A94" s="15"/>
      <c r="B94" s="23" t="s">
        <v>2</v>
      </c>
      <c r="C94" s="20" t="str">
        <f>$C$85</f>
        <v>$ nominal</v>
      </c>
      <c r="D94" s="25"/>
      <c r="E94" s="23"/>
      <c r="F94" s="24">
        <f t="shared" ref="F94:AG94" si="31">F93-E93</f>
        <v>-1.1213333333333253</v>
      </c>
      <c r="G94" s="24">
        <f t="shared" si="31"/>
        <v>-5.0598666666666645</v>
      </c>
      <c r="H94" s="24">
        <f t="shared" si="31"/>
        <v>2.5563333333333276</v>
      </c>
      <c r="I94" s="24">
        <f t="shared" si="31"/>
        <v>10.916000000000054</v>
      </c>
      <c r="J94" s="24">
        <f t="shared" si="31"/>
        <v>5.5499999999999545</v>
      </c>
      <c r="K94" s="24">
        <f t="shared" si="31"/>
        <v>16.731666666666683</v>
      </c>
      <c r="L94" s="24">
        <f t="shared" si="31"/>
        <v>10.439999999999998</v>
      </c>
      <c r="M94" s="24">
        <f t="shared" si="31"/>
        <v>13.86000000000007</v>
      </c>
      <c r="N94" s="24">
        <f t="shared" si="31"/>
        <v>40.029999999999973</v>
      </c>
      <c r="O94" s="24">
        <f t="shared" si="31"/>
        <v>27.279999999999973</v>
      </c>
      <c r="P94" s="24">
        <f t="shared" si="31"/>
        <v>36.01400000000001</v>
      </c>
      <c r="Q94" s="24">
        <f t="shared" si="31"/>
        <v>32.475999999999999</v>
      </c>
      <c r="R94" s="24">
        <f t="shared" si="31"/>
        <v>16.055999999999983</v>
      </c>
      <c r="S94" s="24">
        <f t="shared" si="31"/>
        <v>13.882000000000005</v>
      </c>
      <c r="T94" s="24">
        <f t="shared" si="31"/>
        <v>11.924000000000035</v>
      </c>
      <c r="U94" s="24">
        <f t="shared" si="31"/>
        <v>32.229999999999961</v>
      </c>
      <c r="V94" s="24">
        <f t="shared" si="31"/>
        <v>19.536000000000058</v>
      </c>
      <c r="W94" s="24">
        <f t="shared" si="31"/>
        <v>23.455299999999966</v>
      </c>
      <c r="X94" s="24">
        <f t="shared" si="31"/>
        <v>31.834583000000066</v>
      </c>
      <c r="Y94" s="24">
        <f t="shared" si="31"/>
        <v>71.570253480000019</v>
      </c>
      <c r="Z94" s="24">
        <f t="shared" si="31"/>
        <v>97.281895479999889</v>
      </c>
      <c r="AA94" s="24">
        <f t="shared" si="31"/>
        <v>73.18691732000002</v>
      </c>
      <c r="AB94" s="24">
        <f t="shared" si="31"/>
        <v>101.59775120000006</v>
      </c>
      <c r="AC94" s="24">
        <f t="shared" si="31"/>
        <v>-119.41144952000002</v>
      </c>
      <c r="AD94" s="24">
        <f t="shared" si="31"/>
        <v>5.8610019599999532</v>
      </c>
      <c r="AE94" s="24">
        <f t="shared" si="31"/>
        <v>79.266020240000103</v>
      </c>
      <c r="AF94" s="24">
        <f t="shared" si="31"/>
        <v>18.084186119999913</v>
      </c>
      <c r="AG94" s="24">
        <f t="shared" si="31"/>
        <v>4.1662693599998875</v>
      </c>
    </row>
    <row r="95" spans="1:33" s="9" customFormat="1" ht="15" customHeight="1" x14ac:dyDescent="0.25">
      <c r="A95" s="15"/>
      <c r="B95" s="76" t="s">
        <v>25</v>
      </c>
      <c r="C95" s="76"/>
      <c r="D95" s="76"/>
      <c r="E95" s="23"/>
      <c r="F95" s="89">
        <f t="shared" ref="F95:AG95" si="32">F93/E93-1</f>
        <v>-4.3688220907592834E-3</v>
      </c>
      <c r="G95" s="89">
        <f t="shared" si="32"/>
        <v>-1.9800228947810528E-2</v>
      </c>
      <c r="H95" s="89">
        <f t="shared" si="32"/>
        <v>1.020549385328251E-2</v>
      </c>
      <c r="I95" s="89">
        <f t="shared" si="32"/>
        <v>4.3139026803157066E-2</v>
      </c>
      <c r="J95" s="89">
        <f t="shared" si="32"/>
        <v>2.1026045777426727E-2</v>
      </c>
      <c r="K95" s="89">
        <f t="shared" si="32"/>
        <v>6.2082186697999475E-2</v>
      </c>
      <c r="L95" s="89">
        <f t="shared" si="32"/>
        <v>3.6472889882615878E-2</v>
      </c>
      <c r="M95" s="89">
        <f t="shared" si="32"/>
        <v>4.6717001483079557E-2</v>
      </c>
      <c r="N95" s="89">
        <f t="shared" si="32"/>
        <v>0.12890448895472395</v>
      </c>
      <c r="O95" s="89">
        <f t="shared" si="32"/>
        <v>7.7816128020081532E-2</v>
      </c>
      <c r="P95" s="89">
        <f t="shared" si="32"/>
        <v>9.531295487627367E-2</v>
      </c>
      <c r="Q95" s="89">
        <f t="shared" si="32"/>
        <v>7.847022210194643E-2</v>
      </c>
      <c r="R95" s="89">
        <f t="shared" si="32"/>
        <v>3.5972576959268698E-2</v>
      </c>
      <c r="S95" s="89">
        <f t="shared" si="32"/>
        <v>3.002188600247413E-2</v>
      </c>
      <c r="T95" s="89">
        <f t="shared" si="32"/>
        <v>2.5035798420250499E-2</v>
      </c>
      <c r="U95" s="89">
        <f t="shared" si="32"/>
        <v>6.6017754945698615E-2</v>
      </c>
      <c r="V95" s="89">
        <f t="shared" si="32"/>
        <v>3.7538045316198865E-2</v>
      </c>
      <c r="W95" s="89">
        <f t="shared" si="32"/>
        <v>4.3438314863103011E-2</v>
      </c>
      <c r="X95" s="89">
        <f t="shared" si="32"/>
        <v>5.6502070468154253E-2</v>
      </c>
      <c r="Y95" s="89">
        <f t="shared" si="32"/>
        <v>0.12023402885367585</v>
      </c>
      <c r="Z95" s="89">
        <f t="shared" si="32"/>
        <v>0.14588750857683341</v>
      </c>
      <c r="AA95" s="89">
        <f t="shared" si="32"/>
        <v>9.5780599990645365E-2</v>
      </c>
      <c r="AB95" s="89">
        <f t="shared" si="32"/>
        <v>0.12134016645750956</v>
      </c>
      <c r="AC95" s="89">
        <f t="shared" si="32"/>
        <v>-0.12718300514312431</v>
      </c>
      <c r="AD95" s="89">
        <f t="shared" si="32"/>
        <v>7.1520704701821813E-3</v>
      </c>
      <c r="AE95" s="89">
        <f t="shared" si="32"/>
        <v>9.603994934182114E-2</v>
      </c>
      <c r="AF95" s="89">
        <f t="shared" si="32"/>
        <v>1.9991135029705065E-2</v>
      </c>
      <c r="AG95" s="89">
        <f t="shared" si="32"/>
        <v>4.5153293358355384E-3</v>
      </c>
    </row>
    <row r="96" spans="1:33" s="9" customFormat="1" ht="15" customHeight="1" x14ac:dyDescent="0.25">
      <c r="A96" s="15"/>
      <c r="B96" s="23" t="s">
        <v>24</v>
      </c>
      <c r="C96" s="88"/>
      <c r="D96" s="20"/>
      <c r="F96" s="85"/>
      <c r="G96" s="87" t="str">
        <f>E101</f>
        <v>IPART regulation commenced in 1996</v>
      </c>
      <c r="H96" s="86">
        <v>100</v>
      </c>
      <c r="I96" s="85">
        <f t="shared" ref="I96:AG96" si="33">H96*(1+I95)</f>
        <v>104.31390268031571</v>
      </c>
      <c r="J96" s="85">
        <f t="shared" si="33"/>
        <v>106.50721157329406</v>
      </c>
      <c r="K96" s="85">
        <f t="shared" si="33"/>
        <v>113.11941216687063</v>
      </c>
      <c r="L96" s="85">
        <f t="shared" si="33"/>
        <v>117.24520403041915</v>
      </c>
      <c r="M96" s="85">
        <f t="shared" si="33"/>
        <v>122.7225484009922</v>
      </c>
      <c r="N96" s="85">
        <f t="shared" si="33"/>
        <v>138.54203578584347</v>
      </c>
      <c r="O96" s="85">
        <f t="shared" si="33"/>
        <v>149.32284057871738</v>
      </c>
      <c r="P96" s="85">
        <f t="shared" si="33"/>
        <v>163.55524174479368</v>
      </c>
      <c r="Q96" s="85">
        <f t="shared" si="33"/>
        <v>176.38945789044519</v>
      </c>
      <c r="R96" s="85">
        <f t="shared" si="33"/>
        <v>182.73464123921292</v>
      </c>
      <c r="S96" s="85">
        <f t="shared" si="33"/>
        <v>188.22067980719959</v>
      </c>
      <c r="T96" s="85">
        <f t="shared" si="33"/>
        <v>192.93293480537514</v>
      </c>
      <c r="U96" s="85">
        <f t="shared" si="33"/>
        <v>205.66993401631083</v>
      </c>
      <c r="V96" s="85">
        <f t="shared" si="33"/>
        <v>213.39038131959475</v>
      </c>
      <c r="W96" s="85">
        <f t="shared" si="33"/>
        <v>222.65969989211291</v>
      </c>
      <c r="X96" s="85">
        <f t="shared" si="33"/>
        <v>235.24043394583515</v>
      </c>
      <c r="Y96" s="85">
        <f t="shared" si="33"/>
        <v>263.52433906842992</v>
      </c>
      <c r="Z96" s="85">
        <f t="shared" si="33"/>
        <v>301.96924834447987</v>
      </c>
      <c r="AA96" s="85">
        <f t="shared" si="33"/>
        <v>330.89204412963835</v>
      </c>
      <c r="AB96" s="85">
        <f t="shared" si="33"/>
        <v>371.04253984379426</v>
      </c>
      <c r="AC96" s="85">
        <f t="shared" si="33"/>
        <v>323.8522345905231</v>
      </c>
      <c r="AD96" s="85">
        <f t="shared" si="33"/>
        <v>326.16844859424049</v>
      </c>
      <c r="AE96" s="85">
        <f t="shared" si="33"/>
        <v>357.49364987413173</v>
      </c>
      <c r="AF96" s="85">
        <f t="shared" si="33"/>
        <v>364.64035370102761</v>
      </c>
      <c r="AG96" s="85">
        <f t="shared" si="33"/>
        <v>366.28682498712328</v>
      </c>
    </row>
    <row r="97" spans="1:33" s="9" customFormat="1" x14ac:dyDescent="0.25">
      <c r="A97" s="15"/>
      <c r="B97" s="84"/>
      <c r="C97" s="68"/>
      <c r="D97" s="6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</row>
    <row r="98" spans="1:33" s="9" customFormat="1" x14ac:dyDescent="0.25">
      <c r="A98" s="15"/>
      <c r="B98" s="36" t="s">
        <v>4</v>
      </c>
      <c r="C98" s="20"/>
      <c r="D98" s="25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</row>
    <row r="99" spans="1:33" s="9" customFormat="1" ht="12" customHeight="1" thickBot="1" x14ac:dyDescent="0.3">
      <c r="A99" s="15"/>
      <c r="B99" s="83" t="s">
        <v>23</v>
      </c>
      <c r="C99" s="179" t="s">
        <v>86</v>
      </c>
      <c r="D99" s="82"/>
      <c r="E99" s="81">
        <f t="shared" ref="E99:AG99" si="34">E93*E63</f>
        <v>505.05481290322592</v>
      </c>
      <c r="F99" s="80">
        <f t="shared" si="34"/>
        <v>497.7775789355743</v>
      </c>
      <c r="G99" s="80">
        <f t="shared" si="34"/>
        <v>479.85665123966953</v>
      </c>
      <c r="H99" s="80">
        <f t="shared" si="34"/>
        <v>477.64831324647133</v>
      </c>
      <c r="I99" s="80">
        <f t="shared" si="34"/>
        <v>475.04302536231904</v>
      </c>
      <c r="J99" s="80">
        <f t="shared" si="34"/>
        <v>466.20919154228881</v>
      </c>
      <c r="K99" s="80">
        <f t="shared" si="34"/>
        <v>494.41454545454582</v>
      </c>
      <c r="L99" s="80">
        <f t="shared" si="34"/>
        <v>507.15651917404153</v>
      </c>
      <c r="M99" s="80">
        <f t="shared" si="34"/>
        <v>523.89499272197997</v>
      </c>
      <c r="N99" s="80">
        <f t="shared" si="34"/>
        <v>573.07564174894242</v>
      </c>
      <c r="O99" s="80">
        <f t="shared" si="34"/>
        <v>580.80656498673773</v>
      </c>
      <c r="P99" s="80">
        <f t="shared" si="34"/>
        <v>618.9269367741939</v>
      </c>
      <c r="Q99" s="80">
        <f t="shared" si="34"/>
        <v>651.52148614609598</v>
      </c>
      <c r="R99" s="80">
        <f t="shared" si="34"/>
        <v>659.99626108374412</v>
      </c>
      <c r="S99" s="80">
        <f t="shared" si="34"/>
        <v>663.46899278846172</v>
      </c>
      <c r="T99" s="80">
        <f t="shared" si="34"/>
        <v>654.89134027777789</v>
      </c>
      <c r="U99" s="80">
        <f t="shared" si="34"/>
        <v>686.2123868031855</v>
      </c>
      <c r="V99" s="80">
        <f t="shared" si="34"/>
        <v>682.46773391494003</v>
      </c>
      <c r="W99" s="80">
        <f t="shared" si="34"/>
        <v>702.91453681377823</v>
      </c>
      <c r="X99" s="80">
        <f t="shared" si="34"/>
        <v>721.65678493410053</v>
      </c>
      <c r="Y99" s="80">
        <f t="shared" si="34"/>
        <v>779.08650219790331</v>
      </c>
      <c r="Z99" s="80">
        <f t="shared" si="34"/>
        <v>881.1975393449153</v>
      </c>
      <c r="AA99" s="80">
        <f t="shared" si="34"/>
        <v>941.24846189672155</v>
      </c>
      <c r="AB99" s="80">
        <f t="shared" si="34"/>
        <v>1026.5839225059624</v>
      </c>
      <c r="AC99" s="80">
        <f t="shared" si="34"/>
        <v>876.99084751859652</v>
      </c>
      <c r="AD99" s="80">
        <f t="shared" si="34"/>
        <v>875.18205776237892</v>
      </c>
      <c r="AE99" s="80">
        <f t="shared" si="34"/>
        <v>938.62426731641904</v>
      </c>
      <c r="AF99" s="80">
        <f t="shared" si="34"/>
        <v>938.07270026799995</v>
      </c>
      <c r="AG99" s="80">
        <f t="shared" si="34"/>
        <v>926.86072863999993</v>
      </c>
    </row>
    <row r="100" spans="1:33" s="9" customFormat="1" ht="12.75" customHeight="1" thickTop="1" x14ac:dyDescent="0.25">
      <c r="A100" s="15"/>
      <c r="B100" s="23" t="s">
        <v>2</v>
      </c>
      <c r="C100" s="20" t="str">
        <f>$C$99</f>
        <v>$2019-20 real</v>
      </c>
      <c r="D100" s="25"/>
      <c r="E100" s="23"/>
      <c r="F100" s="24">
        <f t="shared" ref="F100:AG100" si="35">F99-E99</f>
        <v>-7.2772339676516253</v>
      </c>
      <c r="G100" s="24">
        <f t="shared" si="35"/>
        <v>-17.920927695904766</v>
      </c>
      <c r="H100" s="24">
        <f t="shared" si="35"/>
        <v>-2.2083379931981995</v>
      </c>
      <c r="I100" s="24">
        <f t="shared" si="35"/>
        <v>-2.6052878841522897</v>
      </c>
      <c r="J100" s="24">
        <f t="shared" si="35"/>
        <v>-8.833833820030236</v>
      </c>
      <c r="K100" s="24">
        <f t="shared" si="35"/>
        <v>28.20535391225701</v>
      </c>
      <c r="L100" s="24">
        <f t="shared" si="35"/>
        <v>12.741973719495718</v>
      </c>
      <c r="M100" s="24">
        <f t="shared" si="35"/>
        <v>16.73847354793844</v>
      </c>
      <c r="N100" s="24">
        <f t="shared" si="35"/>
        <v>49.180649026962442</v>
      </c>
      <c r="O100" s="24">
        <f t="shared" si="35"/>
        <v>7.7309232377953094</v>
      </c>
      <c r="P100" s="24">
        <f t="shared" si="35"/>
        <v>38.120371787456179</v>
      </c>
      <c r="Q100" s="24">
        <f t="shared" si="35"/>
        <v>32.594549371902076</v>
      </c>
      <c r="R100" s="24">
        <f t="shared" si="35"/>
        <v>8.4747749376481352</v>
      </c>
      <c r="S100" s="24">
        <f t="shared" si="35"/>
        <v>3.472731704717603</v>
      </c>
      <c r="T100" s="24">
        <f t="shared" si="35"/>
        <v>-8.5776525106838335</v>
      </c>
      <c r="U100" s="24">
        <f t="shared" si="35"/>
        <v>31.32104652540761</v>
      </c>
      <c r="V100" s="24">
        <f t="shared" si="35"/>
        <v>-3.7446528882454686</v>
      </c>
      <c r="W100" s="24">
        <f t="shared" si="35"/>
        <v>20.4468028988382</v>
      </c>
      <c r="X100" s="24">
        <f t="shared" si="35"/>
        <v>18.742248120322301</v>
      </c>
      <c r="Y100" s="24">
        <f t="shared" si="35"/>
        <v>57.429717263802786</v>
      </c>
      <c r="Z100" s="24">
        <f t="shared" si="35"/>
        <v>102.11103714701198</v>
      </c>
      <c r="AA100" s="24">
        <f t="shared" si="35"/>
        <v>60.050922551806252</v>
      </c>
      <c r="AB100" s="24">
        <f t="shared" si="35"/>
        <v>85.33546060924084</v>
      </c>
      <c r="AC100" s="24">
        <f t="shared" si="35"/>
        <v>-149.59307498736587</v>
      </c>
      <c r="AD100" s="24">
        <f t="shared" si="35"/>
        <v>-1.8087897562176067</v>
      </c>
      <c r="AE100" s="24">
        <f t="shared" si="35"/>
        <v>63.442209554040119</v>
      </c>
      <c r="AF100" s="24">
        <f t="shared" si="35"/>
        <v>-0.55156704841908777</v>
      </c>
      <c r="AG100" s="24">
        <f t="shared" si="35"/>
        <v>-11.211971628000015</v>
      </c>
    </row>
    <row r="101" spans="1:33" s="9" customFormat="1" x14ac:dyDescent="0.25">
      <c r="A101" s="15"/>
      <c r="B101" s="23" t="s">
        <v>1</v>
      </c>
      <c r="C101" s="176" t="s">
        <v>0</v>
      </c>
      <c r="D101" s="25"/>
      <c r="E101" s="79" t="s">
        <v>22</v>
      </c>
      <c r="F101" s="79"/>
      <c r="G101" s="79"/>
      <c r="H101" s="79"/>
      <c r="I101" s="78">
        <f t="shared" ref="I101:AG101" si="36">IF(H99=0,0,I99/H99-1)</f>
        <v>-5.454406122455957E-3</v>
      </c>
      <c r="J101" s="78">
        <f t="shared" si="36"/>
        <v>-1.8595860476622317E-2</v>
      </c>
      <c r="K101" s="78">
        <f t="shared" si="36"/>
        <v>6.0499351844500504E-2</v>
      </c>
      <c r="L101" s="78">
        <f t="shared" si="36"/>
        <v>2.5771842346954399E-2</v>
      </c>
      <c r="M101" s="78">
        <f t="shared" si="36"/>
        <v>3.3004551681991234E-2</v>
      </c>
      <c r="N101" s="78">
        <f t="shared" si="36"/>
        <v>9.3875012569668792E-2</v>
      </c>
      <c r="O101" s="78">
        <f t="shared" si="36"/>
        <v>1.3490231785461493E-2</v>
      </c>
      <c r="P101" s="78">
        <f t="shared" si="36"/>
        <v>6.5633507066723107E-2</v>
      </c>
      <c r="Q101" s="78">
        <f t="shared" si="36"/>
        <v>5.2663000162479046E-2</v>
      </c>
      <c r="R101" s="78">
        <f t="shared" si="36"/>
        <v>1.3007667617807028E-2</v>
      </c>
      <c r="S101" s="78">
        <f t="shared" si="36"/>
        <v>5.2617445120297646E-3</v>
      </c>
      <c r="T101" s="78">
        <f t="shared" si="36"/>
        <v>-1.2928490410129445E-2</v>
      </c>
      <c r="U101" s="78">
        <f t="shared" si="36"/>
        <v>4.7826325680413673E-2</v>
      </c>
      <c r="V101" s="78">
        <f t="shared" si="36"/>
        <v>-5.456988186544498E-3</v>
      </c>
      <c r="W101" s="78">
        <f t="shared" si="36"/>
        <v>2.9960101969284558E-2</v>
      </c>
      <c r="X101" s="78">
        <f t="shared" si="36"/>
        <v>2.6663622871250459E-2</v>
      </c>
      <c r="Y101" s="78">
        <f t="shared" si="36"/>
        <v>7.9580374580760171E-2</v>
      </c>
      <c r="Z101" s="78">
        <f t="shared" si="36"/>
        <v>0.13106508309275489</v>
      </c>
      <c r="AA101" s="78">
        <f t="shared" si="36"/>
        <v>6.8146947614547759E-2</v>
      </c>
      <c r="AB101" s="78">
        <f t="shared" si="36"/>
        <v>9.0661992092162746E-2</v>
      </c>
      <c r="AC101" s="78">
        <f t="shared" si="36"/>
        <v>-0.14571928481229168</v>
      </c>
      <c r="AD101" s="78">
        <f t="shared" si="36"/>
        <v>-2.0624955908439269E-3</v>
      </c>
      <c r="AE101" s="78">
        <f t="shared" si="36"/>
        <v>7.2490299579776485E-2</v>
      </c>
      <c r="AF101" s="78">
        <f t="shared" si="36"/>
        <v>-5.8763348405221905E-4</v>
      </c>
      <c r="AG101" s="78">
        <f t="shared" si="36"/>
        <v>-1.1952135079505877E-2</v>
      </c>
    </row>
    <row r="102" spans="1:33" s="9" customFormat="1" ht="7.5" customHeight="1" x14ac:dyDescent="0.25">
      <c r="A102" s="15"/>
      <c r="B102" s="17"/>
      <c r="C102" s="16"/>
      <c r="D102" s="64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</row>
    <row r="103" spans="1:33" s="9" customFormat="1" x14ac:dyDescent="0.25">
      <c r="A103" s="15"/>
      <c r="B103" s="76" t="s">
        <v>21</v>
      </c>
      <c r="C103" s="76"/>
      <c r="D103" s="76"/>
      <c r="E103" s="75"/>
      <c r="F103" s="75"/>
      <c r="G103" s="75"/>
      <c r="H103" s="74">
        <v>100</v>
      </c>
      <c r="I103" s="73">
        <f t="shared" ref="I103:AG103" si="37">H103*I99/H99</f>
        <v>99.454559387754401</v>
      </c>
      <c r="J103" s="73">
        <f t="shared" si="37"/>
        <v>97.605116277615764</v>
      </c>
      <c r="K103" s="73">
        <f t="shared" si="37"/>
        <v>103.51016254911862</v>
      </c>
      <c r="L103" s="73">
        <f t="shared" si="37"/>
        <v>106.17781013964213</v>
      </c>
      <c r="M103" s="73">
        <f t="shared" si="37"/>
        <v>109.68216116187661</v>
      </c>
      <c r="N103" s="73">
        <f t="shared" si="37"/>
        <v>119.97857541961622</v>
      </c>
      <c r="O103" s="73">
        <f t="shared" si="37"/>
        <v>121.59711421131631</v>
      </c>
      <c r="P103" s="73">
        <f t="shared" si="37"/>
        <v>129.57795926619787</v>
      </c>
      <c r="Q103" s="73">
        <f t="shared" si="37"/>
        <v>136.40192335608737</v>
      </c>
      <c r="R103" s="73">
        <f t="shared" si="37"/>
        <v>138.17619423753297</v>
      </c>
      <c r="S103" s="73">
        <f t="shared" si="37"/>
        <v>138.90324206925547</v>
      </c>
      <c r="T103" s="73">
        <f t="shared" si="37"/>
        <v>137.10743283622722</v>
      </c>
      <c r="U103" s="73">
        <f t="shared" si="37"/>
        <v>143.66477757225806</v>
      </c>
      <c r="V103" s="73">
        <f t="shared" si="37"/>
        <v>142.8808005782237</v>
      </c>
      <c r="W103" s="73">
        <f t="shared" si="37"/>
        <v>147.1615239330003</v>
      </c>
      <c r="X103" s="73">
        <f t="shared" si="37"/>
        <v>151.08538330830831</v>
      </c>
      <c r="Y103" s="73">
        <f t="shared" si="37"/>
        <v>163.10881470566122</v>
      </c>
      <c r="Z103" s="73">
        <f t="shared" si="37"/>
        <v>184.48668505821945</v>
      </c>
      <c r="AA103" s="73">
        <f t="shared" si="37"/>
        <v>197.05888952046351</v>
      </c>
      <c r="AB103" s="73">
        <f t="shared" si="37"/>
        <v>214.92464100385814</v>
      </c>
      <c r="AC103" s="73">
        <f t="shared" si="37"/>
        <v>183.60597602823739</v>
      </c>
      <c r="AD103" s="73">
        <f t="shared" si="37"/>
        <v>183.22728951222655</v>
      </c>
      <c r="AE103" s="73">
        <f t="shared" si="37"/>
        <v>196.50949062015829</v>
      </c>
      <c r="AF103" s="73">
        <f t="shared" si="37"/>
        <v>196.39401506353585</v>
      </c>
      <c r="AG103" s="73">
        <f t="shared" si="37"/>
        <v>194.04668726668996</v>
      </c>
    </row>
    <row r="104" spans="1:33" s="9" customFormat="1" x14ac:dyDescent="0.25">
      <c r="A104" s="57"/>
      <c r="B104" s="72" t="s">
        <v>70</v>
      </c>
      <c r="C104" s="16"/>
      <c r="D104" s="64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172">
        <f t="shared" ref="AB104:AF104" si="38">(AA103*(1+AB101)-AB103)</f>
        <v>0</v>
      </c>
      <c r="AC104" s="172">
        <f t="shared" si="38"/>
        <v>0</v>
      </c>
      <c r="AD104" s="172">
        <f t="shared" si="38"/>
        <v>0</v>
      </c>
      <c r="AE104" s="172">
        <f t="shared" si="38"/>
        <v>0</v>
      </c>
      <c r="AF104" s="172">
        <f t="shared" si="38"/>
        <v>0</v>
      </c>
      <c r="AG104" s="172">
        <f>(AF103*(1+AG101)-AG103)</f>
        <v>0</v>
      </c>
    </row>
    <row r="105" spans="1:33" s="9" customForma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s="9" customFormat="1" x14ac:dyDescent="0.25">
      <c r="A106" s="15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70"/>
      <c r="Q106" s="57"/>
      <c r="R106" s="57"/>
      <c r="S106" s="57"/>
      <c r="T106" s="57"/>
      <c r="U106" s="57"/>
      <c r="V106" s="57"/>
      <c r="W106" s="57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s="9" customFormat="1" ht="15.5" x14ac:dyDescent="0.35">
      <c r="A107" s="15"/>
      <c r="B107" s="4" t="s">
        <v>88</v>
      </c>
      <c r="C107" s="13"/>
      <c r="D107" s="13"/>
      <c r="E107" s="13"/>
      <c r="F107" s="13"/>
      <c r="G107" s="13"/>
      <c r="H107" s="13"/>
      <c r="I107" s="13"/>
      <c r="J107" s="13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x14ac:dyDescent="0.25">
      <c r="B108" s="69" t="str">
        <f>B$18</f>
        <v>Financial year ending 30 June</v>
      </c>
      <c r="C108" s="68"/>
      <c r="D108" s="67"/>
      <c r="E108" s="66">
        <f t="shared" ref="E108:AG108" si="39">E$18</f>
        <v>1992</v>
      </c>
      <c r="F108" s="65">
        <f t="shared" si="39"/>
        <v>1993</v>
      </c>
      <c r="G108" s="65">
        <f t="shared" si="39"/>
        <v>1994</v>
      </c>
      <c r="H108" s="65">
        <f t="shared" si="39"/>
        <v>1995</v>
      </c>
      <c r="I108" s="65">
        <f t="shared" si="39"/>
        <v>1996</v>
      </c>
      <c r="J108" s="65">
        <f t="shared" si="39"/>
        <v>1997</v>
      </c>
      <c r="K108" s="65">
        <f t="shared" si="39"/>
        <v>1998</v>
      </c>
      <c r="L108" s="65">
        <f t="shared" si="39"/>
        <v>1999</v>
      </c>
      <c r="M108" s="65">
        <f t="shared" si="39"/>
        <v>2000</v>
      </c>
      <c r="N108" s="65">
        <f t="shared" si="39"/>
        <v>2001</v>
      </c>
      <c r="O108" s="65">
        <f t="shared" si="39"/>
        <v>2002</v>
      </c>
      <c r="P108" s="65">
        <f t="shared" si="39"/>
        <v>2003</v>
      </c>
      <c r="Q108" s="65">
        <f t="shared" si="39"/>
        <v>2004</v>
      </c>
      <c r="R108" s="65">
        <f t="shared" si="39"/>
        <v>2005</v>
      </c>
      <c r="S108" s="65">
        <f t="shared" si="39"/>
        <v>2006</v>
      </c>
      <c r="T108" s="65">
        <f t="shared" si="39"/>
        <v>2007</v>
      </c>
      <c r="U108" s="65">
        <f t="shared" si="39"/>
        <v>2008</v>
      </c>
      <c r="V108" s="65">
        <f t="shared" si="39"/>
        <v>2009</v>
      </c>
      <c r="W108" s="65">
        <f t="shared" si="39"/>
        <v>2010</v>
      </c>
      <c r="X108" s="65">
        <f t="shared" si="39"/>
        <v>2011</v>
      </c>
      <c r="Y108" s="65">
        <f t="shared" si="39"/>
        <v>2012</v>
      </c>
      <c r="Z108" s="65">
        <f t="shared" si="39"/>
        <v>2013</v>
      </c>
      <c r="AA108" s="65">
        <f t="shared" si="39"/>
        <v>2014</v>
      </c>
      <c r="AB108" s="65">
        <f t="shared" si="39"/>
        <v>2015</v>
      </c>
      <c r="AC108" s="65">
        <f t="shared" si="39"/>
        <v>2016</v>
      </c>
      <c r="AD108" s="65">
        <f t="shared" si="39"/>
        <v>2017</v>
      </c>
      <c r="AE108" s="65">
        <f t="shared" si="39"/>
        <v>2018</v>
      </c>
      <c r="AF108" s="65">
        <f t="shared" si="39"/>
        <v>2019</v>
      </c>
      <c r="AG108" s="65">
        <f t="shared" si="39"/>
        <v>2020</v>
      </c>
    </row>
    <row r="109" spans="1:33" x14ac:dyDescent="0.25">
      <c r="B109" s="17"/>
      <c r="C109" s="16"/>
      <c r="D109" s="64"/>
      <c r="E109" s="63" t="s">
        <v>20</v>
      </c>
      <c r="F109" s="62" t="str">
        <f t="shared" ref="F109:L109" si="40">E109</f>
        <v>pre-GST</v>
      </c>
      <c r="G109" s="62" t="str">
        <f t="shared" si="40"/>
        <v>pre-GST</v>
      </c>
      <c r="H109" s="62" t="str">
        <f t="shared" si="40"/>
        <v>pre-GST</v>
      </c>
      <c r="I109" s="62" t="str">
        <f t="shared" si="40"/>
        <v>pre-GST</v>
      </c>
      <c r="J109" s="62" t="str">
        <f t="shared" si="40"/>
        <v>pre-GST</v>
      </c>
      <c r="K109" s="62" t="str">
        <f t="shared" si="40"/>
        <v>pre-GST</v>
      </c>
      <c r="L109" s="62" t="str">
        <f t="shared" si="40"/>
        <v>pre-GST</v>
      </c>
      <c r="M109" s="61" t="s">
        <v>19</v>
      </c>
      <c r="N109" s="60" t="str">
        <f t="shared" ref="N109:AG109" si="41">M109</f>
        <v>incl GST</v>
      </c>
      <c r="O109" s="60" t="str">
        <f t="shared" si="41"/>
        <v>incl GST</v>
      </c>
      <c r="P109" s="60" t="str">
        <f t="shared" si="41"/>
        <v>incl GST</v>
      </c>
      <c r="Q109" s="60" t="str">
        <f t="shared" si="41"/>
        <v>incl GST</v>
      </c>
      <c r="R109" s="60" t="str">
        <f t="shared" si="41"/>
        <v>incl GST</v>
      </c>
      <c r="S109" s="60" t="str">
        <f t="shared" si="41"/>
        <v>incl GST</v>
      </c>
      <c r="T109" s="60" t="str">
        <f t="shared" si="41"/>
        <v>incl GST</v>
      </c>
      <c r="U109" s="60" t="str">
        <f t="shared" si="41"/>
        <v>incl GST</v>
      </c>
      <c r="V109" s="60" t="str">
        <f t="shared" si="41"/>
        <v>incl GST</v>
      </c>
      <c r="W109" s="60" t="str">
        <f t="shared" si="41"/>
        <v>incl GST</v>
      </c>
      <c r="X109" s="60" t="str">
        <f t="shared" si="41"/>
        <v>incl GST</v>
      </c>
      <c r="Y109" s="60" t="str">
        <f t="shared" si="41"/>
        <v>incl GST</v>
      </c>
      <c r="Z109" s="60" t="str">
        <f t="shared" si="41"/>
        <v>incl GST</v>
      </c>
      <c r="AA109" s="60" t="str">
        <f t="shared" si="41"/>
        <v>incl GST</v>
      </c>
      <c r="AB109" s="60" t="str">
        <f t="shared" si="41"/>
        <v>incl GST</v>
      </c>
      <c r="AC109" s="60" t="str">
        <f t="shared" si="41"/>
        <v>incl GST</v>
      </c>
      <c r="AD109" s="60" t="str">
        <f t="shared" si="41"/>
        <v>incl GST</v>
      </c>
      <c r="AE109" s="60" t="str">
        <f t="shared" si="41"/>
        <v>incl GST</v>
      </c>
      <c r="AF109" s="60" t="str">
        <f t="shared" si="41"/>
        <v>incl GST</v>
      </c>
      <c r="AG109" s="60" t="str">
        <f t="shared" si="41"/>
        <v>incl GST</v>
      </c>
    </row>
    <row r="110" spans="1:33" s="9" customFormat="1" x14ac:dyDescent="0.25">
      <c r="A110" s="15"/>
      <c r="B110" s="45"/>
      <c r="C110" s="44"/>
      <c r="D110" s="43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7"/>
      <c r="R110" s="57"/>
      <c r="S110" s="57"/>
      <c r="T110" s="57"/>
      <c r="U110" s="11"/>
      <c r="V110" s="11"/>
      <c r="W110" s="11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s="9" customFormat="1" ht="13.5" customHeight="1" outlineLevel="1" x14ac:dyDescent="0.25">
      <c r="A111" s="15"/>
      <c r="B111" s="36" t="s">
        <v>18</v>
      </c>
      <c r="C111" s="44"/>
      <c r="D111" s="43"/>
      <c r="E111" s="44"/>
      <c r="F111" s="44"/>
      <c r="G111" s="44"/>
      <c r="H111" s="44"/>
      <c r="I111" s="44"/>
      <c r="J111" s="19"/>
      <c r="K111" s="19"/>
      <c r="L111" s="19"/>
      <c r="M111" s="19"/>
      <c r="N111" s="19"/>
      <c r="O111" s="19"/>
      <c r="P111" s="44"/>
      <c r="Q111" s="57"/>
      <c r="R111" s="57"/>
      <c r="S111" s="57"/>
      <c r="T111" s="57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</row>
    <row r="112" spans="1:33" s="9" customFormat="1" outlineLevel="1" x14ac:dyDescent="0.25">
      <c r="A112" s="15"/>
      <c r="B112" s="47" t="s">
        <v>17</v>
      </c>
      <c r="C112" s="20" t="str">
        <f>$C$73</f>
        <v>MJ pa</v>
      </c>
      <c r="D112" s="56">
        <f>$D$52</f>
        <v>15500</v>
      </c>
      <c r="E112" s="2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</row>
    <row r="113" spans="1:33" s="9" customFormat="1" ht="14.25" customHeight="1" outlineLevel="1" x14ac:dyDescent="0.25">
      <c r="A113" s="15"/>
      <c r="B113" s="47" t="s">
        <v>15</v>
      </c>
      <c r="C113" s="20" t="str">
        <f t="shared" ref="C113" si="42">$C$42</f>
        <v>MJ/quarter</v>
      </c>
      <c r="D113" s="55">
        <f>D112/4</f>
        <v>3875</v>
      </c>
      <c r="E113" s="2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</row>
    <row r="114" spans="1:33" s="9" customFormat="1" ht="14.25" customHeight="1" outlineLevel="1" x14ac:dyDescent="0.25">
      <c r="A114" s="15"/>
      <c r="B114" s="47"/>
      <c r="C114" s="20"/>
      <c r="D114" s="43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</row>
    <row r="115" spans="1:33" s="9" customFormat="1" ht="14.25" customHeight="1" outlineLevel="1" x14ac:dyDescent="0.25">
      <c r="A115" s="15"/>
      <c r="B115" s="96" t="s">
        <v>14</v>
      </c>
      <c r="C115" s="20" t="str">
        <f t="shared" ref="C115:C120" si="43">$C$42</f>
        <v>MJ/quarter</v>
      </c>
      <c r="D115" s="43"/>
      <c r="E115" s="42">
        <f>MIN($D113,E$42)</f>
        <v>600</v>
      </c>
      <c r="F115" s="42">
        <f>MIN($D113,F$42)</f>
        <v>600</v>
      </c>
      <c r="G115" s="42">
        <f>MIN($D113,G$42)</f>
        <v>600</v>
      </c>
      <c r="H115" s="51">
        <f>MIN($D113,H$42)</f>
        <v>600</v>
      </c>
      <c r="I115" s="42">
        <f t="shared" ref="I115:P115" si="44">$D113</f>
        <v>3875</v>
      </c>
      <c r="J115" s="42">
        <f t="shared" si="44"/>
        <v>3875</v>
      </c>
      <c r="K115" s="42">
        <f t="shared" si="44"/>
        <v>3875</v>
      </c>
      <c r="L115" s="42">
        <f t="shared" si="44"/>
        <v>3875</v>
      </c>
      <c r="M115" s="42">
        <f t="shared" si="44"/>
        <v>3875</v>
      </c>
      <c r="N115" s="42">
        <f t="shared" si="44"/>
        <v>3875</v>
      </c>
      <c r="O115" s="42">
        <f t="shared" si="44"/>
        <v>3875</v>
      </c>
      <c r="P115" s="53">
        <f t="shared" si="44"/>
        <v>3875</v>
      </c>
      <c r="Q115" s="42">
        <f t="shared" ref="Q115:W115" si="45">MIN($D113,$Q$42)</f>
        <v>3875</v>
      </c>
      <c r="R115" s="42">
        <f t="shared" si="45"/>
        <v>3875</v>
      </c>
      <c r="S115" s="42">
        <f t="shared" si="45"/>
        <v>3875</v>
      </c>
      <c r="T115" s="42">
        <f t="shared" si="45"/>
        <v>3875</v>
      </c>
      <c r="U115" s="42">
        <f t="shared" si="45"/>
        <v>3875</v>
      </c>
      <c r="V115" s="42">
        <f t="shared" si="45"/>
        <v>3875</v>
      </c>
      <c r="W115" s="42">
        <f t="shared" si="45"/>
        <v>3875</v>
      </c>
      <c r="X115" s="42">
        <f t="shared" ref="X115:AA115" si="46">MIN($D113,X$42)</f>
        <v>3750.0099999999998</v>
      </c>
      <c r="Y115" s="42">
        <f t="shared" si="46"/>
        <v>3750.0099999999998</v>
      </c>
      <c r="Z115" s="42">
        <f t="shared" si="46"/>
        <v>3750.0099999999998</v>
      </c>
      <c r="AA115" s="95">
        <f t="shared" si="46"/>
        <v>3750.0099999999998</v>
      </c>
      <c r="AB115" s="54">
        <f t="shared" ref="AB115:AG115" si="47">MIN($D$113,AB$42)</f>
        <v>3750.0099999999998</v>
      </c>
      <c r="AC115" s="54">
        <f t="shared" si="47"/>
        <v>1889.97</v>
      </c>
      <c r="AD115" s="54">
        <f t="shared" si="47"/>
        <v>1889.97</v>
      </c>
      <c r="AE115" s="54">
        <f t="shared" si="47"/>
        <v>1889.97</v>
      </c>
      <c r="AF115" s="54">
        <f t="shared" si="47"/>
        <v>1889.97</v>
      </c>
      <c r="AG115" s="54">
        <f t="shared" si="47"/>
        <v>1889.97</v>
      </c>
    </row>
    <row r="116" spans="1:33" s="9" customFormat="1" ht="14.25" customHeight="1" outlineLevel="1" x14ac:dyDescent="0.25">
      <c r="A116" s="15"/>
      <c r="B116" s="96" t="s">
        <v>13</v>
      </c>
      <c r="C116" s="20" t="str">
        <f t="shared" si="43"/>
        <v>MJ/quarter</v>
      </c>
      <c r="D116" s="43"/>
      <c r="E116" s="42">
        <f>MIN(E43-E42,$D113-E115)</f>
        <v>150</v>
      </c>
      <c r="F116" s="42">
        <f>MIN(F43-F42,$D113-F115)</f>
        <v>150</v>
      </c>
      <c r="G116" s="42">
        <f>MIN(G43-G42,$D113-G115)</f>
        <v>150</v>
      </c>
      <c r="H116" s="51">
        <f>MIN(H43-H42,$D113-H115)</f>
        <v>150</v>
      </c>
      <c r="I116" s="50"/>
      <c r="J116" s="50"/>
      <c r="K116" s="50"/>
      <c r="L116" s="50"/>
      <c r="M116" s="50"/>
      <c r="N116" s="50"/>
      <c r="O116" s="50"/>
      <c r="P116" s="52"/>
      <c r="Q116" s="42">
        <f t="shared" ref="Q116:W116" si="48">MAX(0,$D113-Q115)</f>
        <v>0</v>
      </c>
      <c r="R116" s="42">
        <f t="shared" si="48"/>
        <v>0</v>
      </c>
      <c r="S116" s="42">
        <f t="shared" si="48"/>
        <v>0</v>
      </c>
      <c r="T116" s="42">
        <f t="shared" si="48"/>
        <v>0</v>
      </c>
      <c r="U116" s="42">
        <f t="shared" si="48"/>
        <v>0</v>
      </c>
      <c r="V116" s="42">
        <f t="shared" si="48"/>
        <v>0</v>
      </c>
      <c r="W116" s="51">
        <f t="shared" si="48"/>
        <v>0</v>
      </c>
      <c r="X116" s="42">
        <f>MIN(X43-X42,$D113-X115)</f>
        <v>124.99000000000024</v>
      </c>
      <c r="Y116" s="42">
        <f>MIN(Y43-Y42,$D113-Y115)</f>
        <v>124.99000000000024</v>
      </c>
      <c r="Z116" s="42">
        <f>MIN(Z43-Z42,$D113-Z115)</f>
        <v>124.99000000000024</v>
      </c>
      <c r="AA116" s="95">
        <f>MIN(AA43-AA42,$D113-AA115)</f>
        <v>124.99000000000024</v>
      </c>
      <c r="AB116" s="54">
        <f t="shared" ref="AB116:AG116" si="49">MIN($D$113-AB115,AB$43-AB$42)</f>
        <v>124.99000000000024</v>
      </c>
      <c r="AC116" s="54">
        <f t="shared" si="49"/>
        <v>1860.0400000000002</v>
      </c>
      <c r="AD116" s="54">
        <f t="shared" si="49"/>
        <v>1860.0400000000002</v>
      </c>
      <c r="AE116" s="54">
        <f t="shared" si="49"/>
        <v>1860.0400000000002</v>
      </c>
      <c r="AF116" s="54">
        <f t="shared" si="49"/>
        <v>1860.0400000000002</v>
      </c>
      <c r="AG116" s="54">
        <f t="shared" si="49"/>
        <v>1860.0400000000002</v>
      </c>
    </row>
    <row r="117" spans="1:33" s="9" customFormat="1" ht="14.25" customHeight="1" outlineLevel="1" x14ac:dyDescent="0.25">
      <c r="A117" s="15"/>
      <c r="B117" s="96" t="s">
        <v>12</v>
      </c>
      <c r="C117" s="20" t="str">
        <f t="shared" si="43"/>
        <v>MJ/quarter</v>
      </c>
      <c r="D117" s="43"/>
      <c r="E117" s="42">
        <f>MAX(0,$D113-E115-E116)</f>
        <v>3125</v>
      </c>
      <c r="F117" s="42">
        <f>MAX(0,$D113-F115-F116)</f>
        <v>3125</v>
      </c>
      <c r="G117" s="42">
        <f>MAX(0,$D113-G115-G116)</f>
        <v>3125</v>
      </c>
      <c r="H117" s="51">
        <f>MAX(0,$D113-H115-H116)</f>
        <v>3125</v>
      </c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42">
        <f t="shared" ref="X117:AA117" si="50">MAX(0,$D113-X115-X116)</f>
        <v>0</v>
      </c>
      <c r="Y117" s="42">
        <f t="shared" si="50"/>
        <v>0</v>
      </c>
      <c r="Z117" s="42">
        <f t="shared" si="50"/>
        <v>0</v>
      </c>
      <c r="AA117" s="95">
        <f t="shared" si="50"/>
        <v>0</v>
      </c>
      <c r="AB117" s="54">
        <f t="shared" ref="AB117:AG117" si="51">MIN($D$113-AB116-AB115,AB$44-AB$43-AB$42)</f>
        <v>0</v>
      </c>
      <c r="AC117" s="54">
        <f t="shared" si="51"/>
        <v>124.98999999999978</v>
      </c>
      <c r="AD117" s="54">
        <f t="shared" si="51"/>
        <v>124.98999999999978</v>
      </c>
      <c r="AE117" s="54">
        <f t="shared" si="51"/>
        <v>124.98999999999978</v>
      </c>
      <c r="AF117" s="54">
        <f t="shared" si="51"/>
        <v>124.98999999999978</v>
      </c>
      <c r="AG117" s="54">
        <f t="shared" si="51"/>
        <v>124.98999999999978</v>
      </c>
    </row>
    <row r="118" spans="1:33" s="9" customFormat="1" ht="14.25" customHeight="1" outlineLevel="1" x14ac:dyDescent="0.25">
      <c r="A118" s="15"/>
      <c r="B118" s="96" t="s">
        <v>64</v>
      </c>
      <c r="C118" s="20" t="str">
        <f t="shared" si="43"/>
        <v>MJ/quarter</v>
      </c>
      <c r="D118" s="43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173"/>
      <c r="AB118" s="54">
        <f t="shared" ref="AB118:AG118" si="52">MIN($D$113-AB116-AB115-AB117,AB$45-AB$44-AB$43-AB$42)</f>
        <v>0</v>
      </c>
      <c r="AC118" s="54">
        <f t="shared" si="52"/>
        <v>0</v>
      </c>
      <c r="AD118" s="54">
        <f t="shared" si="52"/>
        <v>0</v>
      </c>
      <c r="AE118" s="54">
        <f t="shared" si="52"/>
        <v>0</v>
      </c>
      <c r="AF118" s="54">
        <f t="shared" si="52"/>
        <v>0</v>
      </c>
      <c r="AG118" s="54">
        <f t="shared" si="52"/>
        <v>0</v>
      </c>
    </row>
    <row r="119" spans="1:33" s="9" customFormat="1" ht="14.25" customHeight="1" outlineLevel="1" x14ac:dyDescent="0.25">
      <c r="A119" s="15"/>
      <c r="B119" s="96" t="s">
        <v>65</v>
      </c>
      <c r="C119" s="20" t="str">
        <f t="shared" si="43"/>
        <v>MJ/quarter</v>
      </c>
      <c r="D119" s="43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173"/>
      <c r="AB119" s="54">
        <f t="shared" ref="AB119:AG119" si="53">MIN($D$113-AB116-AB115-AB117-AB118,AB$46-AB$45-AB$44-AB$43-AB$42)</f>
        <v>0</v>
      </c>
      <c r="AC119" s="54">
        <f t="shared" si="53"/>
        <v>0</v>
      </c>
      <c r="AD119" s="54">
        <f t="shared" si="53"/>
        <v>0</v>
      </c>
      <c r="AE119" s="54">
        <f t="shared" si="53"/>
        <v>0</v>
      </c>
      <c r="AF119" s="54">
        <f t="shared" si="53"/>
        <v>0</v>
      </c>
      <c r="AG119" s="54">
        <f t="shared" si="53"/>
        <v>0</v>
      </c>
    </row>
    <row r="120" spans="1:33" s="9" customFormat="1" ht="14.25" customHeight="1" outlineLevel="1" x14ac:dyDescent="0.25">
      <c r="A120" s="15"/>
      <c r="B120" s="96" t="s">
        <v>66</v>
      </c>
      <c r="C120" s="20" t="str">
        <f t="shared" si="43"/>
        <v>MJ/quarter</v>
      </c>
      <c r="D120" s="43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173"/>
      <c r="AB120" s="170">
        <f>$D$113-AB119-AB118-AB117-AB116-AB115</f>
        <v>0</v>
      </c>
      <c r="AC120" s="170">
        <f t="shared" ref="AC120:AG120" si="54">$D$113-AC119-AC118-AC117-AC116-AC115</f>
        <v>0</v>
      </c>
      <c r="AD120" s="170">
        <f t="shared" si="54"/>
        <v>0</v>
      </c>
      <c r="AE120" s="170">
        <f t="shared" si="54"/>
        <v>0</v>
      </c>
      <c r="AF120" s="170">
        <f t="shared" si="54"/>
        <v>0</v>
      </c>
      <c r="AG120" s="170">
        <f t="shared" si="54"/>
        <v>0</v>
      </c>
    </row>
    <row r="121" spans="1:33" s="9" customFormat="1" ht="14.25" customHeight="1" outlineLevel="1" x14ac:dyDescent="0.25">
      <c r="A121" s="15"/>
      <c r="B121" s="49" t="s">
        <v>11</v>
      </c>
      <c r="C121" s="35"/>
      <c r="D121" s="34"/>
      <c r="E121" s="32">
        <f t="shared" ref="E121:AG121" si="55">SUM(E115:E117)-$D113</f>
        <v>0</v>
      </c>
      <c r="F121" s="32">
        <f t="shared" si="55"/>
        <v>0</v>
      </c>
      <c r="G121" s="32">
        <f t="shared" si="55"/>
        <v>0</v>
      </c>
      <c r="H121" s="32">
        <f t="shared" si="55"/>
        <v>0</v>
      </c>
      <c r="I121" s="32">
        <f t="shared" si="55"/>
        <v>0</v>
      </c>
      <c r="J121" s="32">
        <f t="shared" si="55"/>
        <v>0</v>
      </c>
      <c r="K121" s="32">
        <f t="shared" si="55"/>
        <v>0</v>
      </c>
      <c r="L121" s="32">
        <f t="shared" si="55"/>
        <v>0</v>
      </c>
      <c r="M121" s="32">
        <f t="shared" si="55"/>
        <v>0</v>
      </c>
      <c r="N121" s="32">
        <f t="shared" si="55"/>
        <v>0</v>
      </c>
      <c r="O121" s="32">
        <f t="shared" si="55"/>
        <v>0</v>
      </c>
      <c r="P121" s="32">
        <f t="shared" si="55"/>
        <v>0</v>
      </c>
      <c r="Q121" s="32">
        <f t="shared" si="55"/>
        <v>0</v>
      </c>
      <c r="R121" s="32">
        <f t="shared" si="55"/>
        <v>0</v>
      </c>
      <c r="S121" s="32">
        <f t="shared" si="55"/>
        <v>0</v>
      </c>
      <c r="T121" s="32">
        <f t="shared" si="55"/>
        <v>0</v>
      </c>
      <c r="U121" s="32">
        <f t="shared" si="55"/>
        <v>0</v>
      </c>
      <c r="V121" s="32">
        <f t="shared" si="55"/>
        <v>0</v>
      </c>
      <c r="W121" s="32">
        <f t="shared" si="55"/>
        <v>0</v>
      </c>
      <c r="X121" s="32">
        <f t="shared" si="55"/>
        <v>0</v>
      </c>
      <c r="Y121" s="32">
        <f t="shared" si="55"/>
        <v>0</v>
      </c>
      <c r="Z121" s="32">
        <f t="shared" si="55"/>
        <v>0</v>
      </c>
      <c r="AA121" s="32">
        <f t="shared" si="55"/>
        <v>0</v>
      </c>
      <c r="AB121" s="32">
        <f t="shared" si="55"/>
        <v>0</v>
      </c>
      <c r="AC121" s="32">
        <f t="shared" si="55"/>
        <v>0</v>
      </c>
      <c r="AD121" s="32">
        <f t="shared" si="55"/>
        <v>0</v>
      </c>
      <c r="AE121" s="32">
        <f t="shared" si="55"/>
        <v>0</v>
      </c>
      <c r="AF121" s="32">
        <f t="shared" si="55"/>
        <v>0</v>
      </c>
      <c r="AG121" s="32">
        <f t="shared" si="55"/>
        <v>0</v>
      </c>
    </row>
    <row r="122" spans="1:33" s="9" customFormat="1" ht="14.25" customHeight="1" outlineLevel="1" x14ac:dyDescent="0.25">
      <c r="A122" s="15"/>
      <c r="B122" s="49"/>
      <c r="C122" s="35"/>
      <c r="D122" s="34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</row>
    <row r="123" spans="1:33" s="9" customFormat="1" ht="14.25" customHeight="1" x14ac:dyDescent="0.25">
      <c r="A123" s="15"/>
      <c r="B123" s="36" t="s">
        <v>10</v>
      </c>
      <c r="C123" s="35"/>
      <c r="D123" s="34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48"/>
      <c r="R123" s="33"/>
      <c r="S123" s="33"/>
      <c r="T123" s="33"/>
      <c r="U123" s="33"/>
      <c r="V123" s="33"/>
      <c r="W123" s="33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</row>
    <row r="124" spans="1:33" s="9" customFormat="1" ht="14.25" customHeight="1" outlineLevel="1" x14ac:dyDescent="0.25">
      <c r="A124" s="15"/>
      <c r="B124" s="92" t="s">
        <v>9</v>
      </c>
      <c r="C124" s="20" t="str">
        <f t="shared" ref="C124:C130" si="56">$C$85</f>
        <v>$ nominal</v>
      </c>
      <c r="D124" s="43"/>
      <c r="E124" s="42">
        <f t="shared" ref="E124:AG124" si="57">E$24*4*(1+E$61)</f>
        <v>0</v>
      </c>
      <c r="F124" s="42">
        <f t="shared" si="57"/>
        <v>0</v>
      </c>
      <c r="G124" s="42">
        <f t="shared" si="57"/>
        <v>0</v>
      </c>
      <c r="H124" s="42">
        <f t="shared" si="57"/>
        <v>0</v>
      </c>
      <c r="I124" s="42">
        <f t="shared" si="57"/>
        <v>74.400000000000006</v>
      </c>
      <c r="J124" s="42">
        <f t="shared" si="57"/>
        <v>74.400000000000006</v>
      </c>
      <c r="K124" s="42">
        <f t="shared" si="57"/>
        <v>87.2</v>
      </c>
      <c r="L124" s="42">
        <f t="shared" si="57"/>
        <v>91.2</v>
      </c>
      <c r="M124" s="42">
        <f t="shared" si="57"/>
        <v>96</v>
      </c>
      <c r="N124" s="42">
        <f t="shared" si="57"/>
        <v>107.44800000000002</v>
      </c>
      <c r="O124" s="42">
        <f t="shared" si="57"/>
        <v>124.43200000000002</v>
      </c>
      <c r="P124" s="42">
        <f t="shared" si="57"/>
        <v>147.00399999999999</v>
      </c>
      <c r="Q124" s="42">
        <f t="shared" si="57"/>
        <v>205.88</v>
      </c>
      <c r="R124" s="42">
        <f t="shared" si="57"/>
        <v>208.56</v>
      </c>
      <c r="S124" s="42">
        <f t="shared" si="57"/>
        <v>208.56</v>
      </c>
      <c r="T124" s="42">
        <f t="shared" si="57"/>
        <v>199.76000000000002</v>
      </c>
      <c r="U124" s="42">
        <f t="shared" si="57"/>
        <v>183.00699999999998</v>
      </c>
      <c r="V124" s="42">
        <f t="shared" si="57"/>
        <v>185.54800000000003</v>
      </c>
      <c r="W124" s="42">
        <f t="shared" si="57"/>
        <v>193.60330000000002</v>
      </c>
      <c r="X124" s="42">
        <f t="shared" si="57"/>
        <v>209.54284999999999</v>
      </c>
      <c r="Y124" s="42">
        <f t="shared" si="57"/>
        <v>173.36770000000001</v>
      </c>
      <c r="Z124" s="42">
        <f t="shared" si="57"/>
        <v>177.86450000000002</v>
      </c>
      <c r="AA124" s="95">
        <f t="shared" si="57"/>
        <v>189.06635000000006</v>
      </c>
      <c r="AB124" s="54">
        <f t="shared" si="57"/>
        <v>207.17400000000001</v>
      </c>
      <c r="AC124" s="54">
        <f t="shared" si="57"/>
        <v>216.85015000000001</v>
      </c>
      <c r="AD124" s="54">
        <f t="shared" si="57"/>
        <v>219.01824999999999</v>
      </c>
      <c r="AE124" s="54">
        <f t="shared" si="57"/>
        <v>252.50335000000001</v>
      </c>
      <c r="AF124" s="54">
        <f t="shared" si="57"/>
        <v>257.56225000000006</v>
      </c>
      <c r="AG124" s="54">
        <f t="shared" si="57"/>
        <v>264.99</v>
      </c>
    </row>
    <row r="125" spans="1:33" s="9" customFormat="1" ht="14.25" customHeight="1" outlineLevel="1" x14ac:dyDescent="0.25">
      <c r="A125" s="15"/>
      <c r="B125" s="92" t="s">
        <v>8</v>
      </c>
      <c r="C125" s="20" t="str">
        <f t="shared" si="56"/>
        <v>$ nominal</v>
      </c>
      <c r="D125" s="43"/>
      <c r="E125" s="42">
        <f t="shared" ref="E125:AA125" si="58">E115*E$28/100*4*(1+E$61)</f>
        <v>83.500799999999998</v>
      </c>
      <c r="F125" s="42">
        <f t="shared" si="58"/>
        <v>83.500799999999998</v>
      </c>
      <c r="G125" s="42">
        <f t="shared" si="58"/>
        <v>80.708800000000011</v>
      </c>
      <c r="H125" s="42">
        <f t="shared" si="58"/>
        <v>79.127200000000002</v>
      </c>
      <c r="I125" s="42">
        <f t="shared" si="58"/>
        <v>146.90770833333335</v>
      </c>
      <c r="J125" s="42">
        <f t="shared" si="58"/>
        <v>151.20895833333333</v>
      </c>
      <c r="K125" s="42">
        <f t="shared" si="58"/>
        <v>154.256</v>
      </c>
      <c r="L125" s="42">
        <f t="shared" si="58"/>
        <v>159.24700000000001</v>
      </c>
      <c r="M125" s="42">
        <f t="shared" si="58"/>
        <v>166.26850000000002</v>
      </c>
      <c r="N125" s="42">
        <f t="shared" si="58"/>
        <v>188.41954999999999</v>
      </c>
      <c r="O125" s="42">
        <f t="shared" si="58"/>
        <v>196.39894999999999</v>
      </c>
      <c r="P125" s="42">
        <f t="shared" si="58"/>
        <v>206.81649999999999</v>
      </c>
      <c r="Q125" s="42">
        <f t="shared" si="58"/>
        <v>183.98500000000004</v>
      </c>
      <c r="R125" s="42">
        <f t="shared" si="58"/>
        <v>195.05200000000002</v>
      </c>
      <c r="S125" s="42">
        <f t="shared" si="58"/>
        <v>206.13450000000003</v>
      </c>
      <c r="T125" s="42">
        <f t="shared" si="58"/>
        <v>222.67300000000003</v>
      </c>
      <c r="U125" s="42">
        <f t="shared" si="58"/>
        <v>261.5043750000001</v>
      </c>
      <c r="V125" s="42">
        <f t="shared" si="58"/>
        <v>274.67550000000006</v>
      </c>
      <c r="W125" s="42">
        <f t="shared" si="58"/>
        <v>286.61050000000006</v>
      </c>
      <c r="X125" s="42">
        <f t="shared" si="58"/>
        <v>292.38077968000005</v>
      </c>
      <c r="Y125" s="42">
        <f t="shared" si="58"/>
        <v>411.01609604000004</v>
      </c>
      <c r="Z125" s="42">
        <f t="shared" si="58"/>
        <v>489.55630547999999</v>
      </c>
      <c r="AA125" s="95">
        <f t="shared" si="58"/>
        <v>542.35644628</v>
      </c>
      <c r="AB125" s="54">
        <f t="shared" ref="AB125:AG130" si="59">((AB115*(AB28/100))*(1+AB$61))*4</f>
        <v>614.4616385600001</v>
      </c>
      <c r="AC125" s="54">
        <f t="shared" si="59"/>
        <v>291.88696680000004</v>
      </c>
      <c r="AD125" s="54">
        <f t="shared" si="59"/>
        <v>293.79961644000002</v>
      </c>
      <c r="AE125" s="54">
        <f t="shared" si="59"/>
        <v>319.57880724000006</v>
      </c>
      <c r="AF125" s="54">
        <f t="shared" si="59"/>
        <v>325.98202559999999</v>
      </c>
      <c r="AG125" s="54">
        <f t="shared" si="59"/>
        <v>262.19931804000004</v>
      </c>
    </row>
    <row r="126" spans="1:33" s="9" customFormat="1" ht="14.25" customHeight="1" outlineLevel="1" x14ac:dyDescent="0.25">
      <c r="A126" s="15"/>
      <c r="B126" s="92" t="s">
        <v>7</v>
      </c>
      <c r="C126" s="20" t="str">
        <f t="shared" si="56"/>
        <v>$ nominal</v>
      </c>
      <c r="D126" s="43"/>
      <c r="E126" s="42">
        <f t="shared" ref="E126:AA126" si="60">E116*E$29/100*4*(1+E$61)</f>
        <v>5.9034000000000004</v>
      </c>
      <c r="F126" s="42">
        <f t="shared" si="60"/>
        <v>12.14165</v>
      </c>
      <c r="G126" s="42">
        <f t="shared" si="60"/>
        <v>20.177200000000003</v>
      </c>
      <c r="H126" s="42">
        <f t="shared" si="60"/>
        <v>19.7818</v>
      </c>
      <c r="I126" s="42">
        <f t="shared" si="60"/>
        <v>0</v>
      </c>
      <c r="J126" s="42">
        <f t="shared" si="60"/>
        <v>0</v>
      </c>
      <c r="K126" s="42">
        <f t="shared" si="60"/>
        <v>0</v>
      </c>
      <c r="L126" s="42">
        <f t="shared" si="60"/>
        <v>0</v>
      </c>
      <c r="M126" s="42">
        <f t="shared" si="60"/>
        <v>0</v>
      </c>
      <c r="N126" s="42">
        <f t="shared" si="60"/>
        <v>0</v>
      </c>
      <c r="O126" s="42">
        <f t="shared" si="60"/>
        <v>0</v>
      </c>
      <c r="P126" s="42">
        <f t="shared" si="60"/>
        <v>0</v>
      </c>
      <c r="Q126" s="42">
        <f t="shared" si="60"/>
        <v>0</v>
      </c>
      <c r="R126" s="42">
        <f t="shared" si="60"/>
        <v>0</v>
      </c>
      <c r="S126" s="42">
        <f t="shared" si="60"/>
        <v>0</v>
      </c>
      <c r="T126" s="42">
        <f t="shared" si="60"/>
        <v>0</v>
      </c>
      <c r="U126" s="42">
        <f t="shared" si="60"/>
        <v>0</v>
      </c>
      <c r="V126" s="42">
        <f t="shared" si="60"/>
        <v>0</v>
      </c>
      <c r="W126" s="42">
        <f t="shared" si="60"/>
        <v>0</v>
      </c>
      <c r="X126" s="42">
        <f t="shared" si="60"/>
        <v>9.3327533200000179</v>
      </c>
      <c r="Y126" s="42">
        <f t="shared" si="60"/>
        <v>8.2438404400000156</v>
      </c>
      <c r="Z126" s="42">
        <f t="shared" si="60"/>
        <v>9.6682264800000191</v>
      </c>
      <c r="AA126" s="95">
        <f t="shared" si="60"/>
        <v>10.586653000000021</v>
      </c>
      <c r="AB126" s="54">
        <f t="shared" si="59"/>
        <v>11.725061920000025</v>
      </c>
      <c r="AC126" s="54">
        <f t="shared" si="59"/>
        <v>191.83708544000004</v>
      </c>
      <c r="AD126" s="54">
        <f t="shared" si="59"/>
        <v>192.73734480000005</v>
      </c>
      <c r="AE126" s="54">
        <f t="shared" si="59"/>
        <v>205.25913408000005</v>
      </c>
      <c r="AF126" s="54">
        <f t="shared" si="59"/>
        <v>209.35122208000001</v>
      </c>
      <c r="AG126" s="54">
        <f t="shared" si="59"/>
        <v>244.29765360000002</v>
      </c>
    </row>
    <row r="127" spans="1:33" s="9" customFormat="1" ht="14.25" customHeight="1" outlineLevel="1" x14ac:dyDescent="0.25">
      <c r="A127" s="15"/>
      <c r="B127" s="92" t="s">
        <v>6</v>
      </c>
      <c r="C127" s="20" t="str">
        <f t="shared" si="56"/>
        <v>$ nominal</v>
      </c>
      <c r="D127" s="43"/>
      <c r="E127" s="42">
        <f t="shared" ref="E127:AA127" si="61">E117*E$33/100*4*(1+E$61)</f>
        <v>122.9875</v>
      </c>
      <c r="F127" s="42">
        <f t="shared" si="61"/>
        <v>117.57604166666668</v>
      </c>
      <c r="G127" s="42">
        <f t="shared" si="61"/>
        <v>110</v>
      </c>
      <c r="H127" s="42">
        <f t="shared" si="61"/>
        <v>113.33333333333331</v>
      </c>
      <c r="I127" s="42">
        <f t="shared" si="61"/>
        <v>0</v>
      </c>
      <c r="J127" s="42">
        <f t="shared" si="61"/>
        <v>0</v>
      </c>
      <c r="K127" s="42">
        <f t="shared" si="61"/>
        <v>0</v>
      </c>
      <c r="L127" s="42">
        <f t="shared" si="61"/>
        <v>0</v>
      </c>
      <c r="M127" s="42">
        <f t="shared" si="61"/>
        <v>0</v>
      </c>
      <c r="N127" s="42">
        <f t="shared" si="61"/>
        <v>0</v>
      </c>
      <c r="O127" s="42">
        <f t="shared" si="61"/>
        <v>0</v>
      </c>
      <c r="P127" s="42">
        <f t="shared" si="61"/>
        <v>0</v>
      </c>
      <c r="Q127" s="42">
        <f t="shared" si="61"/>
        <v>0</v>
      </c>
      <c r="R127" s="42">
        <f t="shared" si="61"/>
        <v>0</v>
      </c>
      <c r="S127" s="42">
        <f t="shared" si="61"/>
        <v>0</v>
      </c>
      <c r="T127" s="42">
        <f t="shared" si="61"/>
        <v>0</v>
      </c>
      <c r="U127" s="42">
        <f t="shared" si="61"/>
        <v>0</v>
      </c>
      <c r="V127" s="42">
        <f t="shared" si="61"/>
        <v>0</v>
      </c>
      <c r="W127" s="42">
        <f t="shared" si="61"/>
        <v>0</v>
      </c>
      <c r="X127" s="42">
        <f t="shared" si="61"/>
        <v>0</v>
      </c>
      <c r="Y127" s="42">
        <f t="shared" si="61"/>
        <v>0</v>
      </c>
      <c r="Z127" s="42">
        <f t="shared" si="61"/>
        <v>0</v>
      </c>
      <c r="AA127" s="95">
        <f t="shared" si="61"/>
        <v>0</v>
      </c>
      <c r="AB127" s="54">
        <f t="shared" si="59"/>
        <v>0</v>
      </c>
      <c r="AC127" s="54">
        <f t="shared" si="59"/>
        <v>11.89004871999998</v>
      </c>
      <c r="AD127" s="54">
        <f t="shared" si="59"/>
        <v>11.978041679999981</v>
      </c>
      <c r="AE127" s="54">
        <f t="shared" si="59"/>
        <v>12.72598183999998</v>
      </c>
      <c r="AF127" s="54">
        <f t="shared" si="59"/>
        <v>12.978961599999979</v>
      </c>
      <c r="AG127" s="54">
        <f t="shared" si="59"/>
        <v>15.536256999999974</v>
      </c>
    </row>
    <row r="128" spans="1:33" s="9" customFormat="1" ht="14.25" customHeight="1" outlineLevel="1" x14ac:dyDescent="0.25">
      <c r="A128" s="15"/>
      <c r="B128" s="92" t="s">
        <v>67</v>
      </c>
      <c r="C128" s="20" t="str">
        <f t="shared" si="56"/>
        <v>$ nominal</v>
      </c>
      <c r="D128" s="43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173"/>
      <c r="AB128" s="54">
        <f t="shared" si="59"/>
        <v>0</v>
      </c>
      <c r="AC128" s="54">
        <f t="shared" si="59"/>
        <v>0</v>
      </c>
      <c r="AD128" s="54">
        <f t="shared" si="59"/>
        <v>0</v>
      </c>
      <c r="AE128" s="54">
        <f t="shared" si="59"/>
        <v>0</v>
      </c>
      <c r="AF128" s="54">
        <f t="shared" si="59"/>
        <v>0</v>
      </c>
      <c r="AG128" s="54">
        <f t="shared" si="59"/>
        <v>0</v>
      </c>
    </row>
    <row r="129" spans="1:34" s="9" customFormat="1" ht="14.25" customHeight="1" outlineLevel="1" x14ac:dyDescent="0.25">
      <c r="A129" s="15"/>
      <c r="B129" s="92" t="s">
        <v>68</v>
      </c>
      <c r="C129" s="20" t="str">
        <f t="shared" si="56"/>
        <v>$ nominal</v>
      </c>
      <c r="D129" s="43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173"/>
      <c r="AB129" s="54">
        <f t="shared" si="59"/>
        <v>0</v>
      </c>
      <c r="AC129" s="54">
        <f t="shared" si="59"/>
        <v>0</v>
      </c>
      <c r="AD129" s="54">
        <f t="shared" si="59"/>
        <v>0</v>
      </c>
      <c r="AE129" s="54">
        <f t="shared" si="59"/>
        <v>0</v>
      </c>
      <c r="AF129" s="54">
        <f t="shared" si="59"/>
        <v>0</v>
      </c>
      <c r="AG129" s="54">
        <f t="shared" si="59"/>
        <v>0</v>
      </c>
    </row>
    <row r="130" spans="1:34" s="9" customFormat="1" ht="14.25" customHeight="1" outlineLevel="1" x14ac:dyDescent="0.25">
      <c r="A130" s="15"/>
      <c r="B130" s="92" t="s">
        <v>69</v>
      </c>
      <c r="C130" s="20" t="str">
        <f t="shared" si="56"/>
        <v>$ nominal</v>
      </c>
      <c r="D130" s="43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173"/>
      <c r="AB130" s="54">
        <f t="shared" si="59"/>
        <v>0</v>
      </c>
      <c r="AC130" s="54">
        <f t="shared" si="59"/>
        <v>0</v>
      </c>
      <c r="AD130" s="54">
        <f t="shared" si="59"/>
        <v>0</v>
      </c>
      <c r="AE130" s="54">
        <f t="shared" si="59"/>
        <v>0</v>
      </c>
      <c r="AF130" s="54">
        <f t="shared" si="59"/>
        <v>0</v>
      </c>
      <c r="AG130" s="54">
        <f t="shared" si="59"/>
        <v>0</v>
      </c>
    </row>
    <row r="131" spans="1:34" s="9" customFormat="1" ht="14.25" customHeight="1" outlineLevel="1" x14ac:dyDescent="0.25">
      <c r="A131" s="15"/>
      <c r="B131" s="47"/>
      <c r="C131" s="20"/>
      <c r="D131" s="43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</row>
    <row r="132" spans="1:34" s="9" customFormat="1" ht="13" thickBot="1" x14ac:dyDescent="0.3">
      <c r="A132" s="15"/>
      <c r="B132" s="23" t="s">
        <v>5</v>
      </c>
      <c r="C132" s="20" t="str">
        <f>$C$85</f>
        <v>$ nominal</v>
      </c>
      <c r="D132" s="43"/>
      <c r="E132" s="46">
        <f t="shared" ref="E132:AA132" si="62">MAX(SUM(E124:E127),E25*4)</f>
        <v>212.39170000000001</v>
      </c>
      <c r="F132" s="46">
        <f t="shared" si="62"/>
        <v>213.21849166666669</v>
      </c>
      <c r="G132" s="46">
        <f t="shared" si="62"/>
        <v>210.88600000000002</v>
      </c>
      <c r="H132" s="46">
        <f t="shared" si="62"/>
        <v>212.24233333333331</v>
      </c>
      <c r="I132" s="46">
        <f t="shared" si="62"/>
        <v>221.30770833333335</v>
      </c>
      <c r="J132" s="46">
        <f t="shared" si="62"/>
        <v>225.60895833333333</v>
      </c>
      <c r="K132" s="46">
        <f t="shared" si="62"/>
        <v>241.45600000000002</v>
      </c>
      <c r="L132" s="46">
        <f t="shared" si="62"/>
        <v>250.447</v>
      </c>
      <c r="M132" s="46">
        <f t="shared" si="62"/>
        <v>262.26850000000002</v>
      </c>
      <c r="N132" s="46">
        <f t="shared" si="62"/>
        <v>295.86754999999999</v>
      </c>
      <c r="O132" s="46">
        <f t="shared" si="62"/>
        <v>320.83095000000003</v>
      </c>
      <c r="P132" s="46">
        <f t="shared" si="62"/>
        <v>353.82049999999998</v>
      </c>
      <c r="Q132" s="46">
        <f t="shared" si="62"/>
        <v>389.86500000000001</v>
      </c>
      <c r="R132" s="46">
        <f t="shared" si="62"/>
        <v>403.61200000000002</v>
      </c>
      <c r="S132" s="46">
        <f t="shared" si="62"/>
        <v>414.69450000000006</v>
      </c>
      <c r="T132" s="46">
        <f t="shared" si="62"/>
        <v>422.43300000000005</v>
      </c>
      <c r="U132" s="46">
        <f t="shared" si="62"/>
        <v>444.51137500000004</v>
      </c>
      <c r="V132" s="46">
        <f t="shared" si="62"/>
        <v>460.22350000000006</v>
      </c>
      <c r="W132" s="46">
        <f t="shared" si="62"/>
        <v>480.21380000000011</v>
      </c>
      <c r="X132" s="46">
        <f t="shared" si="62"/>
        <v>511.25638300000003</v>
      </c>
      <c r="Y132" s="46">
        <f t="shared" si="62"/>
        <v>592.62763648000009</v>
      </c>
      <c r="Z132" s="46">
        <f t="shared" si="62"/>
        <v>677.08903196000006</v>
      </c>
      <c r="AA132" s="46">
        <f t="shared" si="62"/>
        <v>742.00944928000013</v>
      </c>
      <c r="AB132" s="46">
        <f t="shared" ref="AB132:AG132" si="63">MAX(SUM(AB124:AB130),AB25*4)</f>
        <v>833.36070048000011</v>
      </c>
      <c r="AC132" s="46">
        <f t="shared" si="63"/>
        <v>712.46425096000007</v>
      </c>
      <c r="AD132" s="46">
        <f t="shared" si="63"/>
        <v>717.53325292</v>
      </c>
      <c r="AE132" s="46">
        <f t="shared" si="63"/>
        <v>790.06727316000013</v>
      </c>
      <c r="AF132" s="46">
        <f t="shared" si="63"/>
        <v>805.87445928</v>
      </c>
      <c r="AG132" s="46">
        <f t="shared" si="63"/>
        <v>787.02322863999996</v>
      </c>
    </row>
    <row r="133" spans="1:34" s="9" customFormat="1" ht="13" thickTop="1" x14ac:dyDescent="0.25">
      <c r="A133" s="15"/>
      <c r="B133" s="45"/>
      <c r="C133" s="20"/>
      <c r="D133" s="43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</row>
    <row r="134" spans="1:34" s="9" customFormat="1" x14ac:dyDescent="0.25">
      <c r="A134" s="15"/>
      <c r="B134" s="41"/>
      <c r="C134" s="40"/>
      <c r="D134" s="39"/>
      <c r="E134" s="38"/>
      <c r="F134" s="38"/>
      <c r="G134" s="38"/>
      <c r="H134" s="37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</row>
    <row r="135" spans="1:34" s="9" customFormat="1" x14ac:dyDescent="0.25">
      <c r="A135" s="15"/>
      <c r="B135" s="36" t="s">
        <v>4</v>
      </c>
      <c r="C135" s="35"/>
      <c r="D135" s="34"/>
      <c r="E135" s="33"/>
      <c r="F135" s="33"/>
      <c r="G135" s="33"/>
      <c r="H135" s="32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</row>
    <row r="136" spans="1:34" s="9" customFormat="1" x14ac:dyDescent="0.25">
      <c r="A136" s="15"/>
      <c r="B136" s="30" t="s">
        <v>3</v>
      </c>
      <c r="C136" s="31" t="str">
        <f>$C$99</f>
        <v>$2019-20 real</v>
      </c>
      <c r="D136" s="29"/>
      <c r="E136" s="28">
        <f t="shared" ref="E136:AG136" si="64">E132*E$63</f>
        <v>417.93205483870986</v>
      </c>
      <c r="F136" s="28">
        <f t="shared" si="64"/>
        <v>415.32812074229707</v>
      </c>
      <c r="G136" s="28">
        <f t="shared" si="64"/>
        <v>403.99483305785139</v>
      </c>
      <c r="H136" s="28">
        <f t="shared" si="64"/>
        <v>400.63332953311624</v>
      </c>
      <c r="I136" s="27">
        <f t="shared" si="64"/>
        <v>398.28514589803331</v>
      </c>
      <c r="J136" s="27">
        <f t="shared" si="64"/>
        <v>390.26982493781117</v>
      </c>
      <c r="K136" s="27">
        <f t="shared" si="64"/>
        <v>417.06036363636395</v>
      </c>
      <c r="L136" s="27">
        <f t="shared" si="64"/>
        <v>428.12400147492644</v>
      </c>
      <c r="M136" s="27">
        <f t="shared" si="64"/>
        <v>442.45879403202349</v>
      </c>
      <c r="N136" s="27">
        <f t="shared" si="64"/>
        <v>483.65372418899875</v>
      </c>
      <c r="O136" s="27">
        <f t="shared" si="64"/>
        <v>493.16057168435037</v>
      </c>
      <c r="P136" s="27">
        <f t="shared" si="64"/>
        <v>529.13285096774223</v>
      </c>
      <c r="Q136" s="27">
        <f t="shared" si="64"/>
        <v>569.08505667506324</v>
      </c>
      <c r="R136" s="27">
        <f t="shared" si="64"/>
        <v>576.09151231527119</v>
      </c>
      <c r="S136" s="27">
        <f t="shared" si="64"/>
        <v>577.68140084134643</v>
      </c>
      <c r="T136" s="27">
        <f t="shared" si="64"/>
        <v>566.66648958333349</v>
      </c>
      <c r="U136" s="26">
        <f t="shared" si="64"/>
        <v>586.10771743458486</v>
      </c>
      <c r="V136" s="26">
        <f t="shared" si="64"/>
        <v>581.67833860414396</v>
      </c>
      <c r="W136" s="26">
        <f t="shared" si="64"/>
        <v>599.10419181916041</v>
      </c>
      <c r="X136" s="26">
        <f t="shared" si="64"/>
        <v>619.81814633577403</v>
      </c>
      <c r="Y136" s="26">
        <f t="shared" si="64"/>
        <v>692.3945873793549</v>
      </c>
      <c r="Z136" s="26">
        <f t="shared" si="64"/>
        <v>780.84197815088555</v>
      </c>
      <c r="AA136" s="26">
        <f t="shared" si="64"/>
        <v>834.1308940014743</v>
      </c>
      <c r="AB136" s="26">
        <f t="shared" si="64"/>
        <v>911.19344514747172</v>
      </c>
      <c r="AC136" s="26">
        <f t="shared" si="64"/>
        <v>762.46174225543871</v>
      </c>
      <c r="AD136" s="26">
        <f t="shared" si="64"/>
        <v>760.86096993072283</v>
      </c>
      <c r="AE136" s="26">
        <f t="shared" si="64"/>
        <v>819.7743684802507</v>
      </c>
      <c r="AF136" s="26">
        <f t="shared" si="64"/>
        <v>819.3057002679999</v>
      </c>
      <c r="AG136" s="26">
        <f t="shared" si="64"/>
        <v>787.02322863999996</v>
      </c>
    </row>
    <row r="137" spans="1:34" s="9" customFormat="1" ht="12.75" customHeight="1" x14ac:dyDescent="0.25">
      <c r="A137" s="15"/>
      <c r="B137" s="23" t="s">
        <v>2</v>
      </c>
      <c r="C137" s="20" t="str">
        <f>$C$99</f>
        <v>$2019-20 real</v>
      </c>
      <c r="D137" s="25"/>
      <c r="E137" s="23"/>
      <c r="F137" s="24">
        <f t="shared" ref="F137:AG137" si="65">F136-E136</f>
        <v>-2.6039340964127859</v>
      </c>
      <c r="G137" s="24">
        <f t="shared" si="65"/>
        <v>-11.333287684445679</v>
      </c>
      <c r="H137" s="24">
        <f t="shared" si="65"/>
        <v>-3.3615035247351557</v>
      </c>
      <c r="I137" s="24">
        <f t="shared" si="65"/>
        <v>-2.3481836350829326</v>
      </c>
      <c r="J137" s="24">
        <f t="shared" si="65"/>
        <v>-8.0153209602221409</v>
      </c>
      <c r="K137" s="24">
        <f t="shared" si="65"/>
        <v>26.79053869855278</v>
      </c>
      <c r="L137" s="24">
        <f t="shared" si="65"/>
        <v>11.063637838562499</v>
      </c>
      <c r="M137" s="24">
        <f t="shared" si="65"/>
        <v>14.334792557097046</v>
      </c>
      <c r="N137" s="24">
        <f t="shared" si="65"/>
        <v>41.194930156975261</v>
      </c>
      <c r="O137" s="24">
        <f t="shared" si="65"/>
        <v>9.5068474953516215</v>
      </c>
      <c r="P137" s="24">
        <f t="shared" si="65"/>
        <v>35.972279283391856</v>
      </c>
      <c r="Q137" s="24">
        <f t="shared" si="65"/>
        <v>39.952205707321014</v>
      </c>
      <c r="R137" s="24">
        <f t="shared" si="65"/>
        <v>7.0064556402079461</v>
      </c>
      <c r="S137" s="24">
        <f t="shared" si="65"/>
        <v>1.5898885260752422</v>
      </c>
      <c r="T137" s="24">
        <f t="shared" si="65"/>
        <v>-11.014911258012944</v>
      </c>
      <c r="U137" s="24">
        <f t="shared" si="65"/>
        <v>19.441227851251369</v>
      </c>
      <c r="V137" s="24">
        <f t="shared" si="65"/>
        <v>-4.4293788304408963</v>
      </c>
      <c r="W137" s="24">
        <f t="shared" si="65"/>
        <v>17.425853215016446</v>
      </c>
      <c r="X137" s="24">
        <f t="shared" si="65"/>
        <v>20.713954516613626</v>
      </c>
      <c r="Y137" s="24">
        <f t="shared" si="65"/>
        <v>72.576441043580871</v>
      </c>
      <c r="Z137" s="24">
        <f t="shared" si="65"/>
        <v>88.44739077153065</v>
      </c>
      <c r="AA137" s="24">
        <f t="shared" si="65"/>
        <v>53.288915850588751</v>
      </c>
      <c r="AB137" s="24">
        <f t="shared" si="65"/>
        <v>77.062551145997418</v>
      </c>
      <c r="AC137" s="24">
        <f t="shared" si="65"/>
        <v>-148.73170289203301</v>
      </c>
      <c r="AD137" s="24">
        <f t="shared" si="65"/>
        <v>-1.6007723247158765</v>
      </c>
      <c r="AE137" s="24">
        <f t="shared" si="65"/>
        <v>58.913398549527869</v>
      </c>
      <c r="AF137" s="24">
        <f t="shared" si="65"/>
        <v>-0.46866821225080457</v>
      </c>
      <c r="AG137" s="24">
        <f t="shared" si="65"/>
        <v>-32.282471627999939</v>
      </c>
    </row>
    <row r="138" spans="1:34" s="9" customFormat="1" ht="13.5" customHeight="1" x14ac:dyDescent="0.25">
      <c r="A138" s="15"/>
      <c r="B138" s="23" t="s">
        <v>1</v>
      </c>
      <c r="C138" s="22" t="str">
        <f>$C$101</f>
        <v>%</v>
      </c>
      <c r="D138" s="21"/>
      <c r="E138" s="20"/>
      <c r="F138" s="19">
        <f t="shared" ref="F138:AG138" si="66">IF(E136=0,0,F136/E136-1)</f>
        <v>-6.2305201677285149E-3</v>
      </c>
      <c r="G138" s="19">
        <f t="shared" si="66"/>
        <v>-2.728755198225008E-2</v>
      </c>
      <c r="H138" s="19">
        <f t="shared" si="66"/>
        <v>-8.3206596957980938E-3</v>
      </c>
      <c r="I138" s="19">
        <f t="shared" si="66"/>
        <v>-5.8611789433979933E-3</v>
      </c>
      <c r="J138" s="19">
        <f t="shared" si="66"/>
        <v>-2.0124579193506187E-2</v>
      </c>
      <c r="K138" s="19">
        <f t="shared" si="66"/>
        <v>6.8646195495185358E-2</v>
      </c>
      <c r="L138" s="19">
        <f t="shared" si="66"/>
        <v>2.6527665544858525E-2</v>
      </c>
      <c r="M138" s="19">
        <f t="shared" si="66"/>
        <v>3.3482805233325807E-2</v>
      </c>
      <c r="N138" s="19">
        <f t="shared" si="66"/>
        <v>9.3104557334199312E-2</v>
      </c>
      <c r="O138" s="19">
        <f t="shared" si="66"/>
        <v>1.9656309917375214E-2</v>
      </c>
      <c r="P138" s="19">
        <f t="shared" si="66"/>
        <v>7.2942326189077589E-2</v>
      </c>
      <c r="Q138" s="19">
        <f t="shared" si="66"/>
        <v>7.5505056309113305E-2</v>
      </c>
      <c r="R138" s="19">
        <f t="shared" si="66"/>
        <v>1.2311789877498924E-2</v>
      </c>
      <c r="S138" s="19">
        <f t="shared" si="66"/>
        <v>2.759784673246779E-3</v>
      </c>
      <c r="T138" s="19">
        <f t="shared" si="66"/>
        <v>-1.9067450054598645E-2</v>
      </c>
      <c r="U138" s="19">
        <f t="shared" si="66"/>
        <v>3.4308059870535867E-2</v>
      </c>
      <c r="V138" s="19">
        <f t="shared" si="66"/>
        <v>-7.5572777813410763E-3</v>
      </c>
      <c r="W138" s="19">
        <f t="shared" si="66"/>
        <v>2.9957885756642266E-2</v>
      </c>
      <c r="X138" s="19">
        <f t="shared" si="66"/>
        <v>3.4574878292399136E-2</v>
      </c>
      <c r="Y138" s="19">
        <f t="shared" si="66"/>
        <v>0.11709312073652001</v>
      </c>
      <c r="Z138" s="19">
        <f t="shared" si="66"/>
        <v>0.12774130876195211</v>
      </c>
      <c r="AA138" s="19">
        <f t="shared" si="66"/>
        <v>6.8245454703629527E-2</v>
      </c>
      <c r="AB138" s="19">
        <f t="shared" si="66"/>
        <v>9.2386640634199102E-2</v>
      </c>
      <c r="AC138" s="19">
        <f t="shared" si="66"/>
        <v>-0.16322736262436743</v>
      </c>
      <c r="AD138" s="19">
        <f t="shared" si="66"/>
        <v>-2.099478880055794E-3</v>
      </c>
      <c r="AE138" s="19">
        <f t="shared" si="66"/>
        <v>7.742991279325584E-2</v>
      </c>
      <c r="AF138" s="19">
        <f t="shared" si="66"/>
        <v>-5.7170391057681513E-4</v>
      </c>
      <c r="AG138" s="19">
        <f t="shared" si="66"/>
        <v>-3.9402229982581805E-2</v>
      </c>
      <c r="AH138" s="2"/>
    </row>
    <row r="139" spans="1:34" s="9" customFormat="1" x14ac:dyDescent="0.25">
      <c r="A139" s="15"/>
      <c r="B139" s="194"/>
      <c r="C139" s="184"/>
      <c r="D139" s="195"/>
      <c r="E139" s="184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/>
      <c r="AB139" s="184"/>
      <c r="AC139" s="184"/>
      <c r="AD139" s="184"/>
      <c r="AE139" s="184"/>
      <c r="AF139" s="184"/>
      <c r="AG139" s="184"/>
    </row>
    <row r="140" spans="1:34" s="9" customFormat="1" ht="18" x14ac:dyDescent="0.4">
      <c r="A140" s="15"/>
      <c r="B140" s="14"/>
      <c r="C140" s="1"/>
      <c r="D140" s="1"/>
      <c r="E140" s="13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1"/>
      <c r="AA140" s="11"/>
    </row>
    <row r="141" spans="1:34" s="9" customFormat="1" x14ac:dyDescent="0.25">
      <c r="A141" s="2"/>
      <c r="B141" s="2"/>
      <c r="C141" s="2"/>
      <c r="D141" s="2"/>
      <c r="E141" s="2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34" s="9" customFormat="1" x14ac:dyDescent="0.25">
      <c r="A142" s="2"/>
      <c r="B142" s="2"/>
      <c r="C142" s="2"/>
      <c r="D142" s="2"/>
      <c r="E142" s="2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79" spans="1:27" s="9" customFormat="1" x14ac:dyDescent="0.25">
      <c r="A179" s="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7"/>
      <c r="AA179" s="7"/>
    </row>
    <row r="180" spans="1:27" s="9" customFormat="1" x14ac:dyDescent="0.25">
      <c r="A180" s="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7"/>
      <c r="AA180" s="7"/>
    </row>
    <row r="181" spans="1:27" s="9" customFormat="1" x14ac:dyDescent="0.25">
      <c r="A181" s="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7"/>
      <c r="AA181" s="7"/>
    </row>
    <row r="182" spans="1:27" s="9" customFormat="1" x14ac:dyDescent="0.25">
      <c r="A182" s="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5"/>
      <c r="Y182" s="5"/>
    </row>
    <row r="183" spans="1:27" s="9" customFormat="1" x14ac:dyDescent="0.25">
      <c r="A183" s="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5"/>
      <c r="Y183" s="5"/>
    </row>
    <row r="184" spans="1:27" s="9" customFormat="1" x14ac:dyDescent="0.25">
      <c r="A184" s="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5"/>
      <c r="Y184" s="5"/>
    </row>
    <row r="185" spans="1:27" s="9" customFormat="1" x14ac:dyDescent="0.25">
      <c r="A185" s="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5"/>
      <c r="Y185" s="5"/>
    </row>
    <row r="186" spans="1:27" s="9" customFormat="1" x14ac:dyDescent="0.25">
      <c r="A186" s="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5"/>
      <c r="Y186" s="5"/>
    </row>
    <row r="187" spans="1:27" s="9" customFormat="1" x14ac:dyDescent="0.25">
      <c r="A187" s="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5"/>
      <c r="Y187" s="5"/>
    </row>
    <row r="188" spans="1:27" s="9" customFormat="1" x14ac:dyDescent="0.25">
      <c r="A188" s="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5"/>
      <c r="Y188" s="5"/>
    </row>
    <row r="189" spans="1:27" s="9" customFormat="1" x14ac:dyDescent="0.25">
      <c r="A189" s="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5"/>
      <c r="Y189" s="5"/>
    </row>
    <row r="190" spans="1:27" s="9" customFormat="1" x14ac:dyDescent="0.25">
      <c r="A190" s="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5"/>
      <c r="Y190" s="5"/>
    </row>
    <row r="191" spans="1:27" s="9" customFormat="1" x14ac:dyDescent="0.25">
      <c r="A191" s="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5"/>
      <c r="Y191" s="5"/>
    </row>
    <row r="192" spans="1:27" s="9" customFormat="1" x14ac:dyDescent="0.25">
      <c r="A192" s="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5"/>
      <c r="Y192" s="5"/>
    </row>
    <row r="193" spans="1:25" s="9" customFormat="1" x14ac:dyDescent="0.25">
      <c r="A193" s="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5"/>
      <c r="Y193" s="5"/>
    </row>
    <row r="194" spans="1:25" s="9" customFormat="1" x14ac:dyDescent="0.25">
      <c r="A194" s="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5"/>
      <c r="Y194" s="5"/>
    </row>
    <row r="195" spans="1:25" s="9" customFormat="1" x14ac:dyDescent="0.25">
      <c r="A195" s="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5"/>
      <c r="Y195" s="5"/>
    </row>
    <row r="196" spans="1:25" s="9" customFormat="1" x14ac:dyDescent="0.25">
      <c r="A196" s="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5"/>
      <c r="Y196" s="5"/>
    </row>
    <row r="197" spans="1:25" s="9" customFormat="1" x14ac:dyDescent="0.25">
      <c r="A197" s="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5"/>
      <c r="Y197" s="5"/>
    </row>
    <row r="198" spans="1:25" s="9" customFormat="1" x14ac:dyDescent="0.25">
      <c r="A198" s="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5"/>
      <c r="Y198" s="5"/>
    </row>
    <row r="199" spans="1:25" s="9" customFormat="1" x14ac:dyDescent="0.25">
      <c r="A199" s="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5"/>
      <c r="Y199" s="5"/>
    </row>
    <row r="200" spans="1:25" s="9" customFormat="1" x14ac:dyDescent="0.25">
      <c r="A200" s="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5"/>
      <c r="Y200" s="5"/>
    </row>
    <row r="201" spans="1:25" s="9" customFormat="1" x14ac:dyDescent="0.25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5"/>
      <c r="Y201" s="5"/>
    </row>
    <row r="202" spans="1:25" s="9" customFormat="1" x14ac:dyDescent="0.25">
      <c r="A202" s="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5"/>
      <c r="Y202" s="5"/>
    </row>
    <row r="203" spans="1:25" s="9" customFormat="1" x14ac:dyDescent="0.25">
      <c r="A203" s="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5"/>
      <c r="Y203" s="5"/>
    </row>
    <row r="204" spans="1:25" s="9" customFormat="1" x14ac:dyDescent="0.25">
      <c r="A204" s="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5"/>
      <c r="Y204" s="5"/>
    </row>
    <row r="205" spans="1:25" s="9" customFormat="1" x14ac:dyDescent="0.25">
      <c r="A205" s="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5"/>
      <c r="Y205" s="5"/>
    </row>
    <row r="206" spans="1:25" s="9" customFormat="1" x14ac:dyDescent="0.25">
      <c r="A206" s="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5"/>
      <c r="Y206" s="5"/>
    </row>
    <row r="207" spans="1:25" s="9" customFormat="1" x14ac:dyDescent="0.25">
      <c r="A207" s="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5"/>
      <c r="Y207" s="5"/>
    </row>
    <row r="208" spans="1:25" s="9" customFormat="1" x14ac:dyDescent="0.25">
      <c r="A208" s="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5"/>
      <c r="Y208" s="5"/>
    </row>
    <row r="209" spans="1:25" s="9" customFormat="1" x14ac:dyDescent="0.25">
      <c r="A209" s="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5"/>
      <c r="Y209" s="5"/>
    </row>
    <row r="210" spans="1:25" s="9" customFormat="1" x14ac:dyDescent="0.25">
      <c r="A210" s="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5"/>
      <c r="Y210" s="5"/>
    </row>
    <row r="211" spans="1:25" s="9" customFormat="1" x14ac:dyDescent="0.25">
      <c r="A211" s="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5"/>
      <c r="Y211" s="5"/>
    </row>
    <row r="212" spans="1:25" s="9" customFormat="1" x14ac:dyDescent="0.25">
      <c r="A212" s="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5"/>
      <c r="Y212" s="5"/>
    </row>
    <row r="213" spans="1:25" s="9" customFormat="1" x14ac:dyDescent="0.25">
      <c r="A213" s="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5"/>
      <c r="Y213" s="5"/>
    </row>
    <row r="214" spans="1:25" s="9" customFormat="1" x14ac:dyDescent="0.25">
      <c r="A214" s="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5"/>
      <c r="Y214" s="5"/>
    </row>
    <row r="215" spans="1:25" s="9" customFormat="1" x14ac:dyDescent="0.25">
      <c r="A215" s="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5"/>
      <c r="Y215" s="5"/>
    </row>
    <row r="216" spans="1:25" s="9" customFormat="1" x14ac:dyDescent="0.25">
      <c r="A216" s="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5"/>
      <c r="Y216" s="5"/>
    </row>
    <row r="217" spans="1:25" s="9" customFormat="1" x14ac:dyDescent="0.25">
      <c r="A217" s="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5"/>
      <c r="Y217" s="5"/>
    </row>
    <row r="218" spans="1:25" s="9" customFormat="1" x14ac:dyDescent="0.25">
      <c r="A218" s="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5"/>
      <c r="Y218" s="5"/>
    </row>
    <row r="219" spans="1:25" s="9" customFormat="1" x14ac:dyDescent="0.25">
      <c r="A219" s="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5"/>
      <c r="Y219" s="5"/>
    </row>
    <row r="220" spans="1:25" s="9" customFormat="1" x14ac:dyDescent="0.25">
      <c r="A220" s="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5"/>
      <c r="Y220" s="5"/>
    </row>
    <row r="221" spans="1:25" s="9" customFormat="1" x14ac:dyDescent="0.25">
      <c r="A221" s="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5"/>
      <c r="Y221" s="5"/>
    </row>
    <row r="222" spans="1:25" s="9" customFormat="1" x14ac:dyDescent="0.25">
      <c r="A222" s="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5"/>
      <c r="Y222" s="5"/>
    </row>
    <row r="223" spans="1:25" s="9" customFormat="1" x14ac:dyDescent="0.25">
      <c r="A223" s="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5"/>
      <c r="Y223" s="5"/>
    </row>
    <row r="224" spans="1:25" s="9" customFormat="1" x14ac:dyDescent="0.25">
      <c r="A224" s="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5"/>
      <c r="Y224" s="5"/>
    </row>
    <row r="225" spans="1:25" s="9" customFormat="1" x14ac:dyDescent="0.25">
      <c r="A225" s="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5"/>
      <c r="Y225" s="5"/>
    </row>
    <row r="226" spans="1:25" s="9" customFormat="1" x14ac:dyDescent="0.25">
      <c r="A226" s="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5"/>
      <c r="Y226" s="5"/>
    </row>
    <row r="227" spans="1:25" s="9" customFormat="1" x14ac:dyDescent="0.25">
      <c r="A227" s="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5"/>
      <c r="Y227" s="5"/>
    </row>
    <row r="228" spans="1:25" s="9" customFormat="1" x14ac:dyDescent="0.25">
      <c r="A228" s="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5"/>
      <c r="Y228" s="5"/>
    </row>
    <row r="229" spans="1:25" s="9" customFormat="1" x14ac:dyDescent="0.25">
      <c r="A229" s="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5"/>
      <c r="Y229" s="5"/>
    </row>
    <row r="230" spans="1:25" s="9" customFormat="1" x14ac:dyDescent="0.25">
      <c r="A230" s="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5"/>
      <c r="Y230" s="5"/>
    </row>
    <row r="231" spans="1:25" s="9" customFormat="1" x14ac:dyDescent="0.25">
      <c r="A231" s="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5"/>
      <c r="Y231" s="5"/>
    </row>
    <row r="232" spans="1:25" s="9" customFormat="1" x14ac:dyDescent="0.25">
      <c r="A232" s="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5"/>
      <c r="Y232" s="5"/>
    </row>
    <row r="233" spans="1:25" s="9" customFormat="1" x14ac:dyDescent="0.25">
      <c r="A233" s="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5"/>
      <c r="Y233" s="5"/>
    </row>
    <row r="234" spans="1:25" s="9" customFormat="1" x14ac:dyDescent="0.25">
      <c r="A234" s="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5"/>
      <c r="Y234" s="5"/>
    </row>
    <row r="235" spans="1:25" s="9" customFormat="1" x14ac:dyDescent="0.25">
      <c r="A235" s="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5"/>
      <c r="Y235" s="5"/>
    </row>
    <row r="236" spans="1:25" s="9" customFormat="1" x14ac:dyDescent="0.25">
      <c r="A236" s="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5"/>
      <c r="Y236" s="5"/>
    </row>
    <row r="237" spans="1:25" s="9" customFormat="1" x14ac:dyDescent="0.25">
      <c r="A237" s="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5"/>
      <c r="Y237" s="5"/>
    </row>
    <row r="238" spans="1:25" s="9" customFormat="1" x14ac:dyDescent="0.25">
      <c r="A238" s="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5"/>
      <c r="Y238" s="5"/>
    </row>
    <row r="239" spans="1:25" s="9" customFormat="1" x14ac:dyDescent="0.25">
      <c r="A239" s="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5"/>
      <c r="Y239" s="5"/>
    </row>
    <row r="240" spans="1:25" s="9" customFormat="1" x14ac:dyDescent="0.25">
      <c r="A240" s="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5"/>
      <c r="Y240" s="5"/>
    </row>
    <row r="241" spans="1:25" s="9" customFormat="1" x14ac:dyDescent="0.25">
      <c r="A241" s="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5"/>
      <c r="Y241" s="5"/>
    </row>
    <row r="242" spans="1:25" s="9" customFormat="1" x14ac:dyDescent="0.25">
      <c r="A242" s="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5"/>
      <c r="Y242" s="5"/>
    </row>
    <row r="243" spans="1:25" s="9" customFormat="1" x14ac:dyDescent="0.25">
      <c r="A243" s="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5"/>
      <c r="Y243" s="5"/>
    </row>
    <row r="244" spans="1:25" s="9" customFormat="1" x14ac:dyDescent="0.25">
      <c r="A244" s="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5"/>
      <c r="Y244" s="5"/>
    </row>
    <row r="245" spans="1:25" s="9" customFormat="1" x14ac:dyDescent="0.25">
      <c r="A245" s="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5"/>
      <c r="Y245" s="5"/>
    </row>
    <row r="246" spans="1:25" s="9" customFormat="1" x14ac:dyDescent="0.25">
      <c r="A246" s="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5"/>
      <c r="Y246" s="5"/>
    </row>
    <row r="247" spans="1:25" s="9" customFormat="1" x14ac:dyDescent="0.25">
      <c r="A247" s="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5"/>
      <c r="Y247" s="5"/>
    </row>
    <row r="248" spans="1:25" s="9" customFormat="1" x14ac:dyDescent="0.25">
      <c r="A248" s="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5"/>
      <c r="Y248" s="5"/>
    </row>
    <row r="249" spans="1:25" s="9" customFormat="1" x14ac:dyDescent="0.25">
      <c r="A249" s="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5"/>
      <c r="Y249" s="5"/>
    </row>
    <row r="250" spans="1:25" s="9" customFormat="1" x14ac:dyDescent="0.25">
      <c r="A250" s="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5"/>
      <c r="Y250" s="5"/>
    </row>
    <row r="251" spans="1:25" x14ac:dyDescent="0.25">
      <c r="A251" s="8"/>
    </row>
    <row r="252" spans="1:25" x14ac:dyDescent="0.25">
      <c r="A252" s="8"/>
    </row>
  </sheetData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 Res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2020-03-12T06:30:18Z</dcterms:created>
  <dcterms:modified xsi:type="dcterms:W3CDTF">2020-10-08T21:33:07Z</dcterms:modified>
</cp:coreProperties>
</file>