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ipart.local\ipart\FolderRedirection\gregm\Desktop\"/>
    </mc:Choice>
  </mc:AlternateContent>
  <xr:revisionPtr revIDLastSave="0" documentId="13_ncr:1_{B8B33D81-5A90-4CF6-822F-7D8915553E5C}" xr6:coauthVersionLast="47" xr6:coauthVersionMax="47" xr10:uidLastSave="{00000000-0000-0000-0000-000000000000}"/>
  <bookViews>
    <workbookView xWindow="15765" yWindow="-16320" windowWidth="29040" windowHeight="15840" tabRatio="722" xr2:uid="{00000000-000D-0000-FFFF-FFFF00000000}"/>
  </bookViews>
  <sheets>
    <sheet name="Cover" sheetId="12" r:id="rId1"/>
    <sheet name="Journal of changes" sheetId="27" r:id="rId2"/>
    <sheet name="Summary of result" sheetId="25" r:id="rId3"/>
    <sheet name="MP Calculations" sheetId="20" r:id="rId4"/>
    <sheet name="General inputs" sheetId="15" r:id="rId5"/>
    <sheet name="Pre-1996 assets" sheetId="14" r:id="rId6"/>
    <sheet name="Post-1996 commissioned assets" sheetId="16" r:id="rId7"/>
    <sheet name="Uncommissioned assets" sheetId="17" r:id="rId8"/>
    <sheet name="ET inputs" sheetId="19" r:id="rId9"/>
    <sheet name="Reduction amount" sheetId="22" r:id="rId10"/>
    <sheet name="Headwork assets" sheetId="23" r:id="rId11"/>
    <sheet name="Scheme cost allocation" sheetId="26" r:id="rId12"/>
    <sheet name="Asset exclusions" sheetId="24" r:id="rId13"/>
  </sheets>
  <definedNames>
    <definedName name="_xlnm.Print_Area" localSheetId="0">Cover!$B$1:$E$100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 i="26" l="1"/>
  <c r="K10" i="23"/>
  <c r="C15" i="22"/>
  <c r="B15" i="20" l="1"/>
  <c r="B14" i="20"/>
  <c r="C18" i="12"/>
  <c r="D60" i="12"/>
  <c r="C66" i="12"/>
  <c r="J10" i="26"/>
  <c r="D14" i="26"/>
  <c r="O22" i="14" l="1"/>
  <c r="O23" i="14"/>
  <c r="D218" i="17" l="1"/>
  <c r="D218" i="16"/>
  <c r="D218" i="14"/>
  <c r="C9" i="20" l="1"/>
  <c r="C20" i="12"/>
  <c r="C54" i="12"/>
  <c r="C42" i="12"/>
  <c r="D8" i="25"/>
  <c r="C7" i="17" l="1"/>
  <c r="C6" i="17"/>
  <c r="C7" i="16"/>
  <c r="C6" i="16"/>
  <c r="C6" i="14"/>
  <c r="L12" i="15" l="1"/>
  <c r="C7" i="14" l="1"/>
  <c r="O218" i="17" l="1"/>
  <c r="O217" i="17"/>
  <c r="O216" i="17"/>
  <c r="O215" i="17"/>
  <c r="O214" i="17"/>
  <c r="O213" i="17"/>
  <c r="O212" i="17"/>
  <c r="O211" i="17"/>
  <c r="O210" i="17"/>
  <c r="O209" i="17"/>
  <c r="O208" i="17"/>
  <c r="O207" i="17"/>
  <c r="O206" i="17"/>
  <c r="O205" i="17"/>
  <c r="O204" i="17"/>
  <c r="O203" i="17"/>
  <c r="O202" i="17"/>
  <c r="O201" i="17"/>
  <c r="O200" i="17"/>
  <c r="O199" i="17"/>
  <c r="O198" i="17"/>
  <c r="O197" i="17"/>
  <c r="O196" i="17"/>
  <c r="O195" i="17"/>
  <c r="O194" i="17"/>
  <c r="O193" i="17"/>
  <c r="O192" i="17"/>
  <c r="O191" i="17"/>
  <c r="O190" i="17"/>
  <c r="O189" i="17"/>
  <c r="O188" i="17"/>
  <c r="O187" i="17"/>
  <c r="O186" i="17"/>
  <c r="O185" i="17"/>
  <c r="O184" i="17"/>
  <c r="O183" i="17"/>
  <c r="O182" i="17"/>
  <c r="O181" i="17"/>
  <c r="O180" i="17"/>
  <c r="O179" i="17"/>
  <c r="O178" i="17"/>
  <c r="O177" i="17"/>
  <c r="O176" i="17"/>
  <c r="O175" i="17"/>
  <c r="O174" i="17"/>
  <c r="O173" i="17"/>
  <c r="O172" i="17"/>
  <c r="O171" i="17"/>
  <c r="O170" i="17"/>
  <c r="O169" i="17"/>
  <c r="O168" i="17"/>
  <c r="O167" i="17"/>
  <c r="O166" i="17"/>
  <c r="O165" i="17"/>
  <c r="O164" i="17"/>
  <c r="O163" i="17"/>
  <c r="O162" i="17"/>
  <c r="O161" i="17"/>
  <c r="O160" i="17"/>
  <c r="O159" i="17"/>
  <c r="O158" i="17"/>
  <c r="O157" i="17"/>
  <c r="O156" i="17"/>
  <c r="O155" i="17"/>
  <c r="O154" i="17"/>
  <c r="O153" i="17"/>
  <c r="O152" i="17"/>
  <c r="O151" i="17"/>
  <c r="O150" i="17"/>
  <c r="O149" i="17"/>
  <c r="O148" i="17"/>
  <c r="O147" i="17"/>
  <c r="O146" i="17"/>
  <c r="O145" i="17"/>
  <c r="O144" i="17"/>
  <c r="O143" i="17"/>
  <c r="O142" i="17"/>
  <c r="O141" i="17"/>
  <c r="O140" i="17"/>
  <c r="O139" i="17"/>
  <c r="O138" i="17"/>
  <c r="O137" i="17"/>
  <c r="O136" i="17"/>
  <c r="O135" i="17"/>
  <c r="O134" i="17"/>
  <c r="O133" i="17"/>
  <c r="O132" i="17"/>
  <c r="O131" i="17"/>
  <c r="O130" i="17"/>
  <c r="O129" i="17"/>
  <c r="O128" i="17"/>
  <c r="O127" i="17"/>
  <c r="O126" i="17"/>
  <c r="O125" i="17"/>
  <c r="O124" i="17"/>
  <c r="O123" i="17"/>
  <c r="O122" i="17"/>
  <c r="O121" i="17"/>
  <c r="O120" i="17"/>
  <c r="O119" i="17"/>
  <c r="O118" i="17"/>
  <c r="O117" i="17"/>
  <c r="O116" i="17"/>
  <c r="O115" i="17"/>
  <c r="O114" i="17"/>
  <c r="O113" i="17"/>
  <c r="O112" i="17"/>
  <c r="O111" i="17"/>
  <c r="O110" i="17"/>
  <c r="O109" i="17"/>
  <c r="O108" i="17"/>
  <c r="O107" i="17"/>
  <c r="O106" i="17"/>
  <c r="O105" i="17"/>
  <c r="O104" i="17"/>
  <c r="O103" i="17"/>
  <c r="O102" i="17"/>
  <c r="O101" i="17"/>
  <c r="O100" i="17"/>
  <c r="O99" i="17"/>
  <c r="O98" i="17"/>
  <c r="O97" i="17"/>
  <c r="O96" i="17"/>
  <c r="O95" i="17"/>
  <c r="O94" i="17"/>
  <c r="O93" i="17"/>
  <c r="O92" i="17"/>
  <c r="O91" i="17"/>
  <c r="O90" i="17"/>
  <c r="O89" i="17"/>
  <c r="O88" i="17"/>
  <c r="O87" i="17"/>
  <c r="O86" i="17"/>
  <c r="O85" i="17"/>
  <c r="O84" i="17"/>
  <c r="O83" i="17"/>
  <c r="O82" i="17"/>
  <c r="O81" i="17"/>
  <c r="O80" i="17"/>
  <c r="O79" i="17"/>
  <c r="O78" i="17"/>
  <c r="O77" i="17"/>
  <c r="O76" i="17"/>
  <c r="O75" i="17"/>
  <c r="O74" i="17"/>
  <c r="O73" i="17"/>
  <c r="O72" i="17"/>
  <c r="O71" i="17"/>
  <c r="O70" i="17"/>
  <c r="O69" i="17"/>
  <c r="O68" i="17"/>
  <c r="O67" i="17"/>
  <c r="O66" i="17"/>
  <c r="O65" i="17"/>
  <c r="O64" i="17"/>
  <c r="O63" i="17"/>
  <c r="O62" i="17"/>
  <c r="O61" i="17"/>
  <c r="O60" i="17"/>
  <c r="O59" i="17"/>
  <c r="O58" i="17"/>
  <c r="O57" i="17"/>
  <c r="O56" i="17"/>
  <c r="O55" i="17"/>
  <c r="O54" i="17"/>
  <c r="O53" i="17"/>
  <c r="O52" i="17"/>
  <c r="O51" i="17"/>
  <c r="O50" i="17"/>
  <c r="O49" i="17"/>
  <c r="O48" i="17"/>
  <c r="O47" i="17"/>
  <c r="O46" i="17"/>
  <c r="O45" i="17"/>
  <c r="O44" i="17"/>
  <c r="O43" i="17"/>
  <c r="O42" i="17"/>
  <c r="O41" i="17"/>
  <c r="O40" i="17"/>
  <c r="O39" i="17"/>
  <c r="O38" i="17"/>
  <c r="O37" i="17"/>
  <c r="O36" i="17"/>
  <c r="O35" i="17"/>
  <c r="O34" i="17"/>
  <c r="O33" i="17"/>
  <c r="O32" i="17"/>
  <c r="O31" i="17"/>
  <c r="O30" i="17"/>
  <c r="O29" i="17"/>
  <c r="O28" i="17"/>
  <c r="O27" i="17"/>
  <c r="O26" i="17"/>
  <c r="O25" i="17"/>
  <c r="O24" i="17"/>
  <c r="O23" i="17"/>
  <c r="O22" i="17"/>
  <c r="O218" i="16"/>
  <c r="O217" i="16"/>
  <c r="O216" i="16"/>
  <c r="O215" i="16"/>
  <c r="O214" i="16"/>
  <c r="O213" i="16"/>
  <c r="O212" i="16"/>
  <c r="O211" i="16"/>
  <c r="O210" i="16"/>
  <c r="O209" i="16"/>
  <c r="O208" i="16"/>
  <c r="O207" i="16"/>
  <c r="O206" i="16"/>
  <c r="O205" i="16"/>
  <c r="O204" i="16"/>
  <c r="O203" i="16"/>
  <c r="O202" i="16"/>
  <c r="O201" i="16"/>
  <c r="O200" i="16"/>
  <c r="O199" i="16"/>
  <c r="O198" i="16"/>
  <c r="O197" i="16"/>
  <c r="O196" i="16"/>
  <c r="O195" i="16"/>
  <c r="O194" i="16"/>
  <c r="O193" i="16"/>
  <c r="O192" i="16"/>
  <c r="O191" i="16"/>
  <c r="O190" i="16"/>
  <c r="O189" i="16"/>
  <c r="O188" i="16"/>
  <c r="O187" i="16"/>
  <c r="O186" i="16"/>
  <c r="O185" i="16"/>
  <c r="O184" i="16"/>
  <c r="O183" i="16"/>
  <c r="O182" i="16"/>
  <c r="O181" i="16"/>
  <c r="O180" i="16"/>
  <c r="O179" i="16"/>
  <c r="O178" i="16"/>
  <c r="O177" i="16"/>
  <c r="O176" i="16"/>
  <c r="O175" i="16"/>
  <c r="O174" i="16"/>
  <c r="O173" i="16"/>
  <c r="O172" i="16"/>
  <c r="O171" i="16"/>
  <c r="O170" i="16"/>
  <c r="O169" i="16"/>
  <c r="O168" i="16"/>
  <c r="O167" i="16"/>
  <c r="O166" i="16"/>
  <c r="O165" i="16"/>
  <c r="O164" i="16"/>
  <c r="O163" i="16"/>
  <c r="O162" i="16"/>
  <c r="O161" i="16"/>
  <c r="O160" i="16"/>
  <c r="O159" i="16"/>
  <c r="O158" i="16"/>
  <c r="O157" i="16"/>
  <c r="O156" i="16"/>
  <c r="O155" i="16"/>
  <c r="O154" i="16"/>
  <c r="O153" i="16"/>
  <c r="O152" i="16"/>
  <c r="O151" i="16"/>
  <c r="O150" i="16"/>
  <c r="O149" i="16"/>
  <c r="O148" i="16"/>
  <c r="O147" i="16"/>
  <c r="O146" i="16"/>
  <c r="O145" i="16"/>
  <c r="O144" i="16"/>
  <c r="O143" i="16"/>
  <c r="O142" i="16"/>
  <c r="O141" i="16"/>
  <c r="O140" i="16"/>
  <c r="O139" i="16"/>
  <c r="O138" i="16"/>
  <c r="O137" i="16"/>
  <c r="O136" i="16"/>
  <c r="O135" i="16"/>
  <c r="O134" i="16"/>
  <c r="O133" i="16"/>
  <c r="O132" i="16"/>
  <c r="O131" i="16"/>
  <c r="O130" i="16"/>
  <c r="O129" i="16"/>
  <c r="O128" i="16"/>
  <c r="O127" i="16"/>
  <c r="O126" i="16"/>
  <c r="O125" i="16"/>
  <c r="O124" i="16"/>
  <c r="O123" i="16"/>
  <c r="O122" i="16"/>
  <c r="O121" i="16"/>
  <c r="O120" i="16"/>
  <c r="O119" i="16"/>
  <c r="O118" i="16"/>
  <c r="O117" i="16"/>
  <c r="O116" i="16"/>
  <c r="O115" i="16"/>
  <c r="O114" i="16"/>
  <c r="O113" i="16"/>
  <c r="O112" i="16"/>
  <c r="O111" i="16"/>
  <c r="O110" i="16"/>
  <c r="O109" i="16"/>
  <c r="O108" i="16"/>
  <c r="O107" i="16"/>
  <c r="O106" i="16"/>
  <c r="O105" i="16"/>
  <c r="O104" i="16"/>
  <c r="O103" i="16"/>
  <c r="O102" i="16"/>
  <c r="O101" i="16"/>
  <c r="O100" i="16"/>
  <c r="O99" i="16"/>
  <c r="O98" i="16"/>
  <c r="O97" i="16"/>
  <c r="O96" i="16"/>
  <c r="O95" i="16"/>
  <c r="O94" i="16"/>
  <c r="O93" i="16"/>
  <c r="O92" i="16"/>
  <c r="O91" i="16"/>
  <c r="O90" i="16"/>
  <c r="O89" i="16"/>
  <c r="O88" i="16"/>
  <c r="O87" i="16"/>
  <c r="O86" i="16"/>
  <c r="O85" i="16"/>
  <c r="O84" i="16"/>
  <c r="O83" i="16"/>
  <c r="O82" i="16"/>
  <c r="O81" i="16"/>
  <c r="O80" i="16"/>
  <c r="O79" i="16"/>
  <c r="O78" i="16"/>
  <c r="O77" i="16"/>
  <c r="O76" i="16"/>
  <c r="O75" i="16"/>
  <c r="O74" i="16"/>
  <c r="O73" i="16"/>
  <c r="O72" i="16"/>
  <c r="O71" i="16"/>
  <c r="O70" i="16"/>
  <c r="O69" i="16"/>
  <c r="O68" i="16"/>
  <c r="O67" i="16"/>
  <c r="O66" i="16"/>
  <c r="O65" i="16"/>
  <c r="O64" i="16"/>
  <c r="O63" i="16"/>
  <c r="O62" i="16"/>
  <c r="O61" i="16"/>
  <c r="O60" i="16"/>
  <c r="O59" i="16"/>
  <c r="O58" i="16"/>
  <c r="O57" i="16"/>
  <c r="O56" i="16"/>
  <c r="O55" i="16"/>
  <c r="O54" i="16"/>
  <c r="O53" i="16"/>
  <c r="O52" i="16"/>
  <c r="O51" i="16"/>
  <c r="O50" i="16"/>
  <c r="O49" i="16"/>
  <c r="O48" i="16"/>
  <c r="O47" i="16"/>
  <c r="O46" i="16"/>
  <c r="O45" i="16"/>
  <c r="O44" i="16"/>
  <c r="O43" i="16"/>
  <c r="O42" i="16"/>
  <c r="O41" i="16"/>
  <c r="O40" i="16"/>
  <c r="O39" i="16"/>
  <c r="O38" i="16"/>
  <c r="O37" i="16"/>
  <c r="O36" i="16"/>
  <c r="O35" i="16"/>
  <c r="O34" i="16"/>
  <c r="O33" i="16"/>
  <c r="O32" i="16"/>
  <c r="O31" i="16"/>
  <c r="O30" i="16"/>
  <c r="O29" i="16"/>
  <c r="O28" i="16"/>
  <c r="O27" i="16"/>
  <c r="O26" i="16"/>
  <c r="O25" i="16"/>
  <c r="O24" i="16"/>
  <c r="O23" i="16"/>
  <c r="O22" i="16"/>
  <c r="O218" i="14"/>
  <c r="O217" i="14"/>
  <c r="O216" i="14"/>
  <c r="O215" i="14"/>
  <c r="O214" i="14"/>
  <c r="O213" i="14"/>
  <c r="O212" i="14"/>
  <c r="O211" i="14"/>
  <c r="O210" i="14"/>
  <c r="O209" i="14"/>
  <c r="O208" i="14"/>
  <c r="O207" i="14"/>
  <c r="O206" i="14"/>
  <c r="O205" i="14"/>
  <c r="O204" i="14"/>
  <c r="O203" i="14"/>
  <c r="O202" i="14"/>
  <c r="O201" i="14"/>
  <c r="O200" i="14"/>
  <c r="O199" i="14"/>
  <c r="O198" i="14"/>
  <c r="O197" i="14"/>
  <c r="O196" i="14"/>
  <c r="O195" i="14"/>
  <c r="O194" i="14"/>
  <c r="O193" i="14"/>
  <c r="O192" i="14"/>
  <c r="O191" i="14"/>
  <c r="O190" i="14"/>
  <c r="O189" i="14"/>
  <c r="O188" i="14"/>
  <c r="O187" i="14"/>
  <c r="O186" i="14"/>
  <c r="O185" i="14"/>
  <c r="O184" i="14"/>
  <c r="O183" i="14"/>
  <c r="O182" i="14"/>
  <c r="O181" i="14"/>
  <c r="O180" i="14"/>
  <c r="O179" i="14"/>
  <c r="O178" i="14"/>
  <c r="O177" i="14"/>
  <c r="O176" i="14"/>
  <c r="O175" i="14"/>
  <c r="O174" i="14"/>
  <c r="O173" i="14"/>
  <c r="O172" i="14"/>
  <c r="O171" i="14"/>
  <c r="O170" i="14"/>
  <c r="O169" i="14"/>
  <c r="O168" i="14"/>
  <c r="O167" i="14"/>
  <c r="O166" i="14"/>
  <c r="O165" i="14"/>
  <c r="O164" i="14"/>
  <c r="O163" i="14"/>
  <c r="O162" i="14"/>
  <c r="O161" i="14"/>
  <c r="O160" i="14"/>
  <c r="O159" i="14"/>
  <c r="O158" i="14"/>
  <c r="O157" i="14"/>
  <c r="O156" i="14"/>
  <c r="O155" i="14"/>
  <c r="O154" i="14"/>
  <c r="O153" i="14"/>
  <c r="O152" i="14"/>
  <c r="O151" i="14"/>
  <c r="O150" i="14"/>
  <c r="O149" i="14"/>
  <c r="O148" i="14"/>
  <c r="O147" i="14"/>
  <c r="O146" i="14"/>
  <c r="O145" i="14"/>
  <c r="O144" i="14"/>
  <c r="O143" i="14"/>
  <c r="O142" i="14"/>
  <c r="O141" i="14"/>
  <c r="O140" i="14"/>
  <c r="O139" i="14"/>
  <c r="O138" i="14"/>
  <c r="O137" i="14"/>
  <c r="O136" i="14"/>
  <c r="O135" i="14"/>
  <c r="O134" i="14"/>
  <c r="O133" i="14"/>
  <c r="O132" i="14"/>
  <c r="O131" i="14"/>
  <c r="O130" i="14"/>
  <c r="O129" i="14"/>
  <c r="O128" i="14"/>
  <c r="O127" i="14"/>
  <c r="O126" i="14"/>
  <c r="O125" i="14"/>
  <c r="O124" i="14"/>
  <c r="O123" i="14"/>
  <c r="O122" i="14"/>
  <c r="O121" i="14"/>
  <c r="O120" i="14"/>
  <c r="O119" i="14"/>
  <c r="O118" i="14"/>
  <c r="O117" i="14"/>
  <c r="O116" i="14"/>
  <c r="O115" i="14"/>
  <c r="O114" i="14"/>
  <c r="O113" i="14"/>
  <c r="O112" i="14"/>
  <c r="O111" i="14"/>
  <c r="O110" i="14"/>
  <c r="O109" i="14"/>
  <c r="O108" i="14"/>
  <c r="O107" i="14"/>
  <c r="O106" i="14"/>
  <c r="O105" i="14"/>
  <c r="O104" i="14"/>
  <c r="O103" i="14"/>
  <c r="O102" i="14"/>
  <c r="O101" i="14"/>
  <c r="O100" i="14"/>
  <c r="O99" i="14"/>
  <c r="O98" i="14"/>
  <c r="O97" i="14"/>
  <c r="O96" i="14"/>
  <c r="O95" i="14"/>
  <c r="O94" i="14"/>
  <c r="O93" i="14"/>
  <c r="O92" i="14"/>
  <c r="O91" i="14"/>
  <c r="O90" i="14"/>
  <c r="O89" i="14"/>
  <c r="O88" i="14"/>
  <c r="O87" i="14"/>
  <c r="O86" i="14"/>
  <c r="O85" i="14"/>
  <c r="O84" i="14"/>
  <c r="O83" i="14"/>
  <c r="O82" i="14"/>
  <c r="O81" i="14"/>
  <c r="O80" i="14"/>
  <c r="O79" i="14"/>
  <c r="O78" i="14"/>
  <c r="O77" i="14"/>
  <c r="O76" i="14"/>
  <c r="O75" i="14"/>
  <c r="O74" i="14"/>
  <c r="O73" i="14"/>
  <c r="O72" i="14"/>
  <c r="O71" i="14"/>
  <c r="O70" i="14"/>
  <c r="O69" i="14"/>
  <c r="O68" i="14"/>
  <c r="O67" i="14"/>
  <c r="O66" i="14"/>
  <c r="O65" i="14"/>
  <c r="O64" i="14"/>
  <c r="O63" i="14"/>
  <c r="O62" i="14"/>
  <c r="O61" i="14"/>
  <c r="O60" i="14"/>
  <c r="O59" i="14"/>
  <c r="O58" i="14"/>
  <c r="O57" i="14"/>
  <c r="O56" i="14"/>
  <c r="O55" i="14"/>
  <c r="O54" i="14"/>
  <c r="O53" i="14"/>
  <c r="O52" i="14"/>
  <c r="O51" i="14"/>
  <c r="O50" i="14"/>
  <c r="O49" i="14"/>
  <c r="O48" i="14"/>
  <c r="O47" i="14"/>
  <c r="O46" i="14"/>
  <c r="O45" i="14"/>
  <c r="O44" i="14"/>
  <c r="O43" i="14"/>
  <c r="O42" i="14"/>
  <c r="O41" i="14"/>
  <c r="O40" i="14"/>
  <c r="O39" i="14"/>
  <c r="O38" i="14"/>
  <c r="O37" i="14"/>
  <c r="O36" i="14"/>
  <c r="O35" i="14"/>
  <c r="O34" i="14"/>
  <c r="O33" i="14"/>
  <c r="O32" i="14"/>
  <c r="O31" i="14"/>
  <c r="O30" i="14"/>
  <c r="O29" i="14"/>
  <c r="O28" i="14"/>
  <c r="O27" i="14"/>
  <c r="O26" i="14"/>
  <c r="O25" i="14"/>
  <c r="O24" i="14"/>
  <c r="J10" i="23"/>
  <c r="D39" i="20" l="1"/>
  <c r="H39" i="20" s="1"/>
  <c r="L5" i="15" l="1"/>
  <c r="P26" i="14" l="1"/>
  <c r="I18" i="15"/>
  <c r="H30" i="15"/>
  <c r="N39" i="20" l="1"/>
  <c r="L11" i="19"/>
  <c r="G6" i="19"/>
  <c r="D24" i="22" l="1"/>
  <c r="P217" i="14" l="1"/>
  <c r="F217" i="14"/>
  <c r="P216" i="14"/>
  <c r="F216" i="14"/>
  <c r="P215" i="14"/>
  <c r="F215" i="14"/>
  <c r="P214" i="14"/>
  <c r="F214" i="14"/>
  <c r="P213" i="14"/>
  <c r="F213" i="14"/>
  <c r="P212" i="14"/>
  <c r="F212" i="14"/>
  <c r="P211" i="14"/>
  <c r="F211" i="14"/>
  <c r="P210" i="14"/>
  <c r="F210" i="14"/>
  <c r="P209" i="14"/>
  <c r="F209" i="14"/>
  <c r="P208" i="14"/>
  <c r="F208" i="14"/>
  <c r="P207" i="14"/>
  <c r="F207" i="14"/>
  <c r="P206" i="14"/>
  <c r="F206" i="14"/>
  <c r="P205" i="14"/>
  <c r="F205" i="14"/>
  <c r="P204" i="14"/>
  <c r="F204" i="14"/>
  <c r="P203" i="14"/>
  <c r="F203" i="14"/>
  <c r="P202" i="14"/>
  <c r="F202" i="14"/>
  <c r="P201" i="14"/>
  <c r="F201" i="14"/>
  <c r="P200" i="14"/>
  <c r="F200" i="14"/>
  <c r="P199" i="14"/>
  <c r="F199" i="14"/>
  <c r="P198" i="14"/>
  <c r="F198" i="14"/>
  <c r="P197" i="14"/>
  <c r="F197" i="14"/>
  <c r="P196" i="14"/>
  <c r="F196" i="14"/>
  <c r="P195" i="14"/>
  <c r="F195" i="14"/>
  <c r="P194" i="14"/>
  <c r="F194" i="14"/>
  <c r="P193" i="14"/>
  <c r="F193" i="14"/>
  <c r="P192" i="14"/>
  <c r="F192" i="14"/>
  <c r="P191" i="14"/>
  <c r="F191" i="14"/>
  <c r="P190" i="14"/>
  <c r="F190" i="14"/>
  <c r="P189" i="14"/>
  <c r="F189" i="14"/>
  <c r="P188" i="14"/>
  <c r="F188" i="14"/>
  <c r="P187" i="14"/>
  <c r="F187" i="14"/>
  <c r="P186" i="14"/>
  <c r="F186" i="14"/>
  <c r="P185" i="14"/>
  <c r="F185" i="14"/>
  <c r="P184" i="14"/>
  <c r="F184" i="14"/>
  <c r="P183" i="14"/>
  <c r="F183" i="14"/>
  <c r="P182" i="14"/>
  <c r="F182" i="14"/>
  <c r="P181" i="14"/>
  <c r="F181" i="14"/>
  <c r="P180" i="14"/>
  <c r="F180" i="14"/>
  <c r="P179" i="14"/>
  <c r="F179" i="14"/>
  <c r="P178" i="14"/>
  <c r="F178" i="14"/>
  <c r="P177" i="14"/>
  <c r="F177" i="14"/>
  <c r="P176" i="14"/>
  <c r="F176" i="14"/>
  <c r="P175" i="14"/>
  <c r="F175" i="14"/>
  <c r="P174" i="14"/>
  <c r="F174" i="14"/>
  <c r="P173" i="14"/>
  <c r="F173" i="14"/>
  <c r="P172" i="14"/>
  <c r="F172" i="14"/>
  <c r="P171" i="14"/>
  <c r="F171" i="14"/>
  <c r="P170" i="14"/>
  <c r="F170" i="14"/>
  <c r="P169" i="14"/>
  <c r="F169" i="14"/>
  <c r="P168" i="14"/>
  <c r="F168" i="14"/>
  <c r="P167" i="14"/>
  <c r="F167" i="14"/>
  <c r="P166" i="14"/>
  <c r="F166" i="14"/>
  <c r="P165" i="14"/>
  <c r="F165" i="14"/>
  <c r="P164" i="14"/>
  <c r="F164" i="14"/>
  <c r="P163" i="14"/>
  <c r="F163" i="14"/>
  <c r="P162" i="14"/>
  <c r="F162" i="14"/>
  <c r="P161" i="14"/>
  <c r="F161" i="14"/>
  <c r="P160" i="14"/>
  <c r="F160" i="14"/>
  <c r="P159" i="14"/>
  <c r="F159" i="14"/>
  <c r="P158" i="14"/>
  <c r="F158" i="14"/>
  <c r="P157" i="14"/>
  <c r="F157" i="14"/>
  <c r="P156" i="14"/>
  <c r="F156" i="14"/>
  <c r="P155" i="14"/>
  <c r="F155" i="14"/>
  <c r="P154" i="14"/>
  <c r="F154" i="14"/>
  <c r="P153" i="14"/>
  <c r="F153" i="14"/>
  <c r="P152" i="14"/>
  <c r="F152" i="14"/>
  <c r="P151" i="14"/>
  <c r="F151" i="14"/>
  <c r="P150" i="14"/>
  <c r="F150" i="14"/>
  <c r="P149" i="14"/>
  <c r="F149" i="14"/>
  <c r="P148" i="14"/>
  <c r="F148" i="14"/>
  <c r="P147" i="14"/>
  <c r="F147" i="14"/>
  <c r="P146" i="14"/>
  <c r="F146" i="14"/>
  <c r="P145" i="14"/>
  <c r="F145" i="14"/>
  <c r="P144" i="14"/>
  <c r="F144" i="14"/>
  <c r="P143" i="14"/>
  <c r="F143" i="14"/>
  <c r="P142" i="14"/>
  <c r="F142" i="14"/>
  <c r="P141" i="14"/>
  <c r="F141" i="14"/>
  <c r="P140" i="14"/>
  <c r="F140" i="14"/>
  <c r="P139" i="14"/>
  <c r="F139" i="14"/>
  <c r="P138" i="14"/>
  <c r="F138" i="14"/>
  <c r="P137" i="14"/>
  <c r="F137" i="14"/>
  <c r="P136" i="14"/>
  <c r="F136" i="14"/>
  <c r="P135" i="14"/>
  <c r="F135" i="14"/>
  <c r="P134" i="14"/>
  <c r="F134" i="14"/>
  <c r="P133" i="14"/>
  <c r="F133" i="14"/>
  <c r="P132" i="14"/>
  <c r="F132" i="14"/>
  <c r="P131" i="14"/>
  <c r="F131" i="14"/>
  <c r="P130" i="14"/>
  <c r="F130" i="14"/>
  <c r="P129" i="14"/>
  <c r="F129" i="14"/>
  <c r="P128" i="14"/>
  <c r="F128" i="14"/>
  <c r="P127" i="14"/>
  <c r="F127" i="14"/>
  <c r="P126" i="14"/>
  <c r="F126" i="14"/>
  <c r="P125" i="14"/>
  <c r="F125" i="14"/>
  <c r="P124" i="14"/>
  <c r="F124" i="14"/>
  <c r="P123" i="14"/>
  <c r="F123" i="14"/>
  <c r="P122" i="14"/>
  <c r="F122" i="14"/>
  <c r="P121" i="14"/>
  <c r="F121" i="14"/>
  <c r="P120" i="14"/>
  <c r="F120" i="14"/>
  <c r="P217" i="16"/>
  <c r="F217" i="16"/>
  <c r="P216" i="16"/>
  <c r="F216" i="16"/>
  <c r="P215" i="16"/>
  <c r="F215" i="16"/>
  <c r="P214" i="16"/>
  <c r="F214" i="16"/>
  <c r="P213" i="16"/>
  <c r="F213" i="16"/>
  <c r="P212" i="16"/>
  <c r="F212" i="16"/>
  <c r="P211" i="16"/>
  <c r="F211" i="16"/>
  <c r="P210" i="16"/>
  <c r="F210" i="16"/>
  <c r="P209" i="16"/>
  <c r="F209" i="16"/>
  <c r="P208" i="16"/>
  <c r="F208" i="16"/>
  <c r="P207" i="16"/>
  <c r="F207" i="16"/>
  <c r="P206" i="16"/>
  <c r="F206" i="16"/>
  <c r="P205" i="16"/>
  <c r="F205" i="16"/>
  <c r="P204" i="16"/>
  <c r="F204" i="16"/>
  <c r="P203" i="16"/>
  <c r="F203" i="16"/>
  <c r="P202" i="16"/>
  <c r="F202" i="16"/>
  <c r="P201" i="16"/>
  <c r="F201" i="16"/>
  <c r="P200" i="16"/>
  <c r="F200" i="16"/>
  <c r="P199" i="16"/>
  <c r="F199" i="16"/>
  <c r="P198" i="16"/>
  <c r="F198" i="16"/>
  <c r="P197" i="16"/>
  <c r="F197" i="16"/>
  <c r="P196" i="16"/>
  <c r="F196" i="16"/>
  <c r="P195" i="16"/>
  <c r="F195" i="16"/>
  <c r="P194" i="16"/>
  <c r="F194" i="16"/>
  <c r="P193" i="16"/>
  <c r="F193" i="16"/>
  <c r="P192" i="16"/>
  <c r="F192" i="16"/>
  <c r="P191" i="16"/>
  <c r="F191" i="16"/>
  <c r="P190" i="16"/>
  <c r="F190" i="16"/>
  <c r="P189" i="16"/>
  <c r="F189" i="16"/>
  <c r="P188" i="16"/>
  <c r="F188" i="16"/>
  <c r="P187" i="16"/>
  <c r="F187" i="16"/>
  <c r="P186" i="16"/>
  <c r="F186" i="16"/>
  <c r="P185" i="16"/>
  <c r="F185" i="16"/>
  <c r="P184" i="16"/>
  <c r="F184" i="16"/>
  <c r="P183" i="16"/>
  <c r="F183" i="16"/>
  <c r="P182" i="16"/>
  <c r="F182" i="16"/>
  <c r="P181" i="16"/>
  <c r="F181" i="16"/>
  <c r="P180" i="16"/>
  <c r="F180" i="16"/>
  <c r="P179" i="16"/>
  <c r="F179" i="16"/>
  <c r="P178" i="16"/>
  <c r="F178" i="16"/>
  <c r="P177" i="16"/>
  <c r="F177" i="16"/>
  <c r="P176" i="16"/>
  <c r="F176" i="16"/>
  <c r="P175" i="16"/>
  <c r="F175" i="16"/>
  <c r="P174" i="16"/>
  <c r="F174" i="16"/>
  <c r="P173" i="16"/>
  <c r="F173" i="16"/>
  <c r="P172" i="16"/>
  <c r="F172" i="16"/>
  <c r="P171" i="16"/>
  <c r="F171" i="16"/>
  <c r="P170" i="16"/>
  <c r="F170" i="16"/>
  <c r="P169" i="16"/>
  <c r="F169" i="16"/>
  <c r="P168" i="16"/>
  <c r="F168" i="16"/>
  <c r="P167" i="16"/>
  <c r="F167" i="16"/>
  <c r="P166" i="16"/>
  <c r="F166" i="16"/>
  <c r="P165" i="16"/>
  <c r="F165" i="16"/>
  <c r="P164" i="16"/>
  <c r="F164" i="16"/>
  <c r="P163" i="16"/>
  <c r="F163" i="16"/>
  <c r="P162" i="16"/>
  <c r="F162" i="16"/>
  <c r="P161" i="16"/>
  <c r="F161" i="16"/>
  <c r="P160" i="16"/>
  <c r="F160" i="16"/>
  <c r="P159" i="16"/>
  <c r="F159" i="16"/>
  <c r="P158" i="16"/>
  <c r="F158" i="16"/>
  <c r="P157" i="16"/>
  <c r="F157" i="16"/>
  <c r="P156" i="16"/>
  <c r="F156" i="16"/>
  <c r="P155" i="16"/>
  <c r="F155" i="16"/>
  <c r="P154" i="16"/>
  <c r="F154" i="16"/>
  <c r="P153" i="16"/>
  <c r="F153" i="16"/>
  <c r="P152" i="16"/>
  <c r="F152" i="16"/>
  <c r="P151" i="16"/>
  <c r="F151" i="16"/>
  <c r="P150" i="16"/>
  <c r="F150" i="16"/>
  <c r="P149" i="16"/>
  <c r="F149" i="16"/>
  <c r="P148" i="16"/>
  <c r="F148" i="16"/>
  <c r="P147" i="16"/>
  <c r="F147" i="16"/>
  <c r="P146" i="16"/>
  <c r="F146" i="16"/>
  <c r="P145" i="16"/>
  <c r="F145" i="16"/>
  <c r="P144" i="16"/>
  <c r="F144" i="16"/>
  <c r="P143" i="16"/>
  <c r="F143" i="16"/>
  <c r="P142" i="16"/>
  <c r="F142" i="16"/>
  <c r="P141" i="16"/>
  <c r="F141" i="16"/>
  <c r="P140" i="16"/>
  <c r="F140" i="16"/>
  <c r="P139" i="16"/>
  <c r="F139" i="16"/>
  <c r="P138" i="16"/>
  <c r="F138" i="16"/>
  <c r="P137" i="16"/>
  <c r="F137" i="16"/>
  <c r="P136" i="16"/>
  <c r="F136" i="16"/>
  <c r="P135" i="16"/>
  <c r="F135" i="16"/>
  <c r="P134" i="16"/>
  <c r="F134" i="16"/>
  <c r="P133" i="16"/>
  <c r="F133" i="16"/>
  <c r="P132" i="16"/>
  <c r="F132" i="16"/>
  <c r="P131" i="16"/>
  <c r="F131" i="16"/>
  <c r="P130" i="16"/>
  <c r="F130" i="16"/>
  <c r="P129" i="16"/>
  <c r="F129" i="16"/>
  <c r="P128" i="16"/>
  <c r="F128" i="16"/>
  <c r="P127" i="16"/>
  <c r="F127" i="16"/>
  <c r="P126" i="16"/>
  <c r="F126" i="16"/>
  <c r="P125" i="16"/>
  <c r="F125" i="16"/>
  <c r="P124" i="16"/>
  <c r="F124" i="16"/>
  <c r="P123" i="16"/>
  <c r="F123" i="16"/>
  <c r="P122" i="16"/>
  <c r="F122" i="16"/>
  <c r="P121" i="16"/>
  <c r="F121" i="16"/>
  <c r="P120" i="16"/>
  <c r="F120" i="16"/>
  <c r="P217" i="17"/>
  <c r="F217" i="17"/>
  <c r="P216" i="17"/>
  <c r="F216" i="17"/>
  <c r="P215" i="17"/>
  <c r="F215" i="17"/>
  <c r="P214" i="17"/>
  <c r="F214" i="17"/>
  <c r="P213" i="17"/>
  <c r="F213" i="17"/>
  <c r="P212" i="17"/>
  <c r="F212" i="17"/>
  <c r="P211" i="17"/>
  <c r="F211" i="17"/>
  <c r="P210" i="17"/>
  <c r="F210" i="17"/>
  <c r="P209" i="17"/>
  <c r="F209" i="17"/>
  <c r="P208" i="17"/>
  <c r="F208" i="17"/>
  <c r="P207" i="17"/>
  <c r="F207" i="17"/>
  <c r="P206" i="17"/>
  <c r="F206" i="17"/>
  <c r="P205" i="17"/>
  <c r="F205" i="17"/>
  <c r="P204" i="17"/>
  <c r="F204" i="17"/>
  <c r="P203" i="17"/>
  <c r="F203" i="17"/>
  <c r="P202" i="17"/>
  <c r="F202" i="17"/>
  <c r="P201" i="17"/>
  <c r="F201" i="17"/>
  <c r="P200" i="17"/>
  <c r="F200" i="17"/>
  <c r="P199" i="17"/>
  <c r="F199" i="17"/>
  <c r="P198" i="17"/>
  <c r="F198" i="17"/>
  <c r="P197" i="17"/>
  <c r="F197" i="17"/>
  <c r="P196" i="17"/>
  <c r="F196" i="17"/>
  <c r="P195" i="17"/>
  <c r="F195" i="17"/>
  <c r="P194" i="17"/>
  <c r="F194" i="17"/>
  <c r="P193" i="17"/>
  <c r="F193" i="17"/>
  <c r="P192" i="17"/>
  <c r="F192" i="17"/>
  <c r="P191" i="17"/>
  <c r="F191" i="17"/>
  <c r="P190" i="17"/>
  <c r="F190" i="17"/>
  <c r="P189" i="17"/>
  <c r="F189" i="17"/>
  <c r="P188" i="17"/>
  <c r="F188" i="17"/>
  <c r="P187" i="17"/>
  <c r="F187" i="17"/>
  <c r="P186" i="17"/>
  <c r="F186" i="17"/>
  <c r="P185" i="17"/>
  <c r="F185" i="17"/>
  <c r="P184" i="17"/>
  <c r="F184" i="17"/>
  <c r="P183" i="17"/>
  <c r="F183" i="17"/>
  <c r="P182" i="17"/>
  <c r="F182" i="17"/>
  <c r="P181" i="17"/>
  <c r="F181" i="17"/>
  <c r="P180" i="17"/>
  <c r="F180" i="17"/>
  <c r="P179" i="17"/>
  <c r="F179" i="17"/>
  <c r="P178" i="17"/>
  <c r="F178" i="17"/>
  <c r="P177" i="17"/>
  <c r="F177" i="17"/>
  <c r="P176" i="17"/>
  <c r="F176" i="17"/>
  <c r="P175" i="17"/>
  <c r="F175" i="17"/>
  <c r="P174" i="17"/>
  <c r="F174" i="17"/>
  <c r="P173" i="17"/>
  <c r="F173" i="17"/>
  <c r="P172" i="17"/>
  <c r="F172" i="17"/>
  <c r="P171" i="17"/>
  <c r="F171" i="17"/>
  <c r="P170" i="17"/>
  <c r="F170" i="17"/>
  <c r="P169" i="17"/>
  <c r="F169" i="17"/>
  <c r="P168" i="17"/>
  <c r="F168" i="17"/>
  <c r="P167" i="17"/>
  <c r="F167" i="17"/>
  <c r="P166" i="17"/>
  <c r="F166" i="17"/>
  <c r="P165" i="17"/>
  <c r="F165" i="17"/>
  <c r="P164" i="17"/>
  <c r="F164" i="17"/>
  <c r="P163" i="17"/>
  <c r="F163" i="17"/>
  <c r="P162" i="17"/>
  <c r="F162" i="17"/>
  <c r="P161" i="17"/>
  <c r="F161" i="17"/>
  <c r="P160" i="17"/>
  <c r="F160" i="17"/>
  <c r="P159" i="17"/>
  <c r="F159" i="17"/>
  <c r="P158" i="17"/>
  <c r="F158" i="17"/>
  <c r="P157" i="17"/>
  <c r="F157" i="17"/>
  <c r="P156" i="17"/>
  <c r="F156" i="17"/>
  <c r="P155" i="17"/>
  <c r="F155" i="17"/>
  <c r="P154" i="17"/>
  <c r="F154" i="17"/>
  <c r="P153" i="17"/>
  <c r="F153" i="17"/>
  <c r="P152" i="17"/>
  <c r="F152" i="17"/>
  <c r="P151" i="17"/>
  <c r="F151" i="17"/>
  <c r="P150" i="17"/>
  <c r="F150" i="17"/>
  <c r="P149" i="17"/>
  <c r="F149" i="17"/>
  <c r="P148" i="17"/>
  <c r="F148" i="17"/>
  <c r="P147" i="17"/>
  <c r="F147" i="17"/>
  <c r="P146" i="17"/>
  <c r="F146" i="17"/>
  <c r="P145" i="17"/>
  <c r="F145" i="17"/>
  <c r="P144" i="17"/>
  <c r="F144" i="17"/>
  <c r="P143" i="17"/>
  <c r="F143" i="17"/>
  <c r="P142" i="17"/>
  <c r="F142" i="17"/>
  <c r="P141" i="17"/>
  <c r="F141" i="17"/>
  <c r="P140" i="17"/>
  <c r="F140" i="17"/>
  <c r="P139" i="17"/>
  <c r="F139" i="17"/>
  <c r="P138" i="17"/>
  <c r="F138" i="17"/>
  <c r="P137" i="17"/>
  <c r="F137" i="17"/>
  <c r="P136" i="17"/>
  <c r="F136" i="17"/>
  <c r="P135" i="17"/>
  <c r="F135" i="17"/>
  <c r="P134" i="17"/>
  <c r="F134" i="17"/>
  <c r="P133" i="17"/>
  <c r="F133" i="17"/>
  <c r="P132" i="17"/>
  <c r="F132" i="17"/>
  <c r="P131" i="17"/>
  <c r="F131" i="17"/>
  <c r="P130" i="17"/>
  <c r="F130" i="17"/>
  <c r="P129" i="17"/>
  <c r="F129" i="17"/>
  <c r="P128" i="17"/>
  <c r="F128" i="17"/>
  <c r="P127" i="17"/>
  <c r="F127" i="17"/>
  <c r="P126" i="17"/>
  <c r="F126" i="17"/>
  <c r="P125" i="17"/>
  <c r="F125" i="17"/>
  <c r="P124" i="17"/>
  <c r="F124" i="17"/>
  <c r="P123" i="17"/>
  <c r="F123" i="17"/>
  <c r="P122" i="17"/>
  <c r="F122" i="17"/>
  <c r="P121" i="17"/>
  <c r="F121" i="17"/>
  <c r="P120" i="17"/>
  <c r="F120" i="17"/>
  <c r="AL15" i="19" l="1"/>
  <c r="D38" i="12" l="1"/>
  <c r="C40" i="12"/>
  <c r="D81" i="12"/>
  <c r="D73" i="12"/>
  <c r="D72" i="12"/>
  <c r="D48" i="12"/>
  <c r="F218" i="17" l="1"/>
  <c r="F119" i="17"/>
  <c r="F118" i="17"/>
  <c r="F117" i="17"/>
  <c r="F116" i="17"/>
  <c r="F115" i="17"/>
  <c r="F114" i="17"/>
  <c r="F113" i="17"/>
  <c r="F112" i="17"/>
  <c r="F111" i="17"/>
  <c r="F110" i="17"/>
  <c r="F109" i="17"/>
  <c r="F108" i="17"/>
  <c r="F107" i="17"/>
  <c r="F106" i="17"/>
  <c r="F105" i="17"/>
  <c r="F104" i="17"/>
  <c r="F103" i="17"/>
  <c r="F102" i="17"/>
  <c r="F101" i="17"/>
  <c r="F100" i="17"/>
  <c r="F99" i="17"/>
  <c r="F98" i="17"/>
  <c r="F97" i="17"/>
  <c r="F96" i="17"/>
  <c r="F95" i="17"/>
  <c r="F94" i="17"/>
  <c r="F93" i="17"/>
  <c r="F92" i="17"/>
  <c r="F91" i="17"/>
  <c r="F90" i="17"/>
  <c r="F89" i="17"/>
  <c r="F88" i="17"/>
  <c r="F87" i="17"/>
  <c r="F86" i="17"/>
  <c r="F85" i="17"/>
  <c r="F84" i="17"/>
  <c r="F83" i="17"/>
  <c r="F82" i="17"/>
  <c r="F81" i="17"/>
  <c r="F80" i="17"/>
  <c r="F79" i="17"/>
  <c r="F78" i="17"/>
  <c r="F77" i="17"/>
  <c r="F76" i="17"/>
  <c r="F75" i="17"/>
  <c r="F74" i="17"/>
  <c r="F73" i="17"/>
  <c r="F72" i="17"/>
  <c r="F71" i="17"/>
  <c r="F70" i="17"/>
  <c r="F69" i="17"/>
  <c r="F68" i="17"/>
  <c r="F67" i="17"/>
  <c r="F66" i="17"/>
  <c r="F65" i="17"/>
  <c r="F64" i="17"/>
  <c r="F63" i="17"/>
  <c r="F62" i="17"/>
  <c r="F61" i="17"/>
  <c r="F60" i="17"/>
  <c r="F59" i="17"/>
  <c r="F58" i="17"/>
  <c r="F57" i="17"/>
  <c r="F56" i="17"/>
  <c r="F55" i="17"/>
  <c r="F54" i="17"/>
  <c r="F53" i="17"/>
  <c r="F52" i="17"/>
  <c r="F51" i="17"/>
  <c r="F50" i="17"/>
  <c r="F49" i="17"/>
  <c r="F48" i="17"/>
  <c r="F47" i="17"/>
  <c r="F46" i="17"/>
  <c r="F45" i="17"/>
  <c r="F44" i="17"/>
  <c r="F43" i="17"/>
  <c r="F42" i="17"/>
  <c r="F41" i="17"/>
  <c r="F40" i="17"/>
  <c r="F39" i="17"/>
  <c r="F38" i="17"/>
  <c r="F37" i="17"/>
  <c r="F36" i="17"/>
  <c r="F35" i="17"/>
  <c r="F34" i="17"/>
  <c r="F33" i="17"/>
  <c r="F32" i="17"/>
  <c r="F31" i="17"/>
  <c r="F30" i="17"/>
  <c r="F29" i="17"/>
  <c r="F28" i="17"/>
  <c r="F27" i="17"/>
  <c r="F26" i="17"/>
  <c r="F25" i="17"/>
  <c r="F24" i="17"/>
  <c r="P218" i="17"/>
  <c r="P119" i="17"/>
  <c r="P118" i="17"/>
  <c r="P117" i="17"/>
  <c r="P116" i="17"/>
  <c r="P115" i="17"/>
  <c r="P114" i="17"/>
  <c r="P113" i="17"/>
  <c r="P112" i="17"/>
  <c r="P111" i="17"/>
  <c r="P110" i="17"/>
  <c r="P109" i="17"/>
  <c r="P108" i="17"/>
  <c r="P107" i="17"/>
  <c r="P106" i="17"/>
  <c r="P105" i="17"/>
  <c r="P104" i="17"/>
  <c r="P103" i="17"/>
  <c r="P102" i="17"/>
  <c r="P101" i="17"/>
  <c r="P100" i="17"/>
  <c r="P99" i="17"/>
  <c r="P98" i="17"/>
  <c r="P97" i="17"/>
  <c r="P96" i="17"/>
  <c r="P95" i="17"/>
  <c r="P94" i="17"/>
  <c r="P93" i="17"/>
  <c r="P92" i="17"/>
  <c r="P91" i="17"/>
  <c r="P90" i="17"/>
  <c r="P89" i="17"/>
  <c r="P88" i="17"/>
  <c r="P87" i="17"/>
  <c r="P86" i="17"/>
  <c r="P85" i="17"/>
  <c r="P84" i="17"/>
  <c r="P83" i="17"/>
  <c r="P82" i="17"/>
  <c r="P81" i="17"/>
  <c r="P80" i="17"/>
  <c r="P79" i="17"/>
  <c r="P78" i="17"/>
  <c r="P77" i="17"/>
  <c r="P76" i="17"/>
  <c r="P75" i="17"/>
  <c r="P74" i="17"/>
  <c r="P73" i="17"/>
  <c r="P72" i="17"/>
  <c r="P71" i="17"/>
  <c r="P70" i="17"/>
  <c r="P69" i="17"/>
  <c r="P68" i="17"/>
  <c r="P67" i="17"/>
  <c r="P66" i="17"/>
  <c r="P65" i="17"/>
  <c r="P64" i="17"/>
  <c r="P63" i="17"/>
  <c r="P62" i="17"/>
  <c r="P61" i="17"/>
  <c r="P60" i="17"/>
  <c r="P59" i="17"/>
  <c r="P58" i="17"/>
  <c r="P57" i="17"/>
  <c r="P56" i="17"/>
  <c r="P55" i="17"/>
  <c r="P54" i="17"/>
  <c r="P53" i="17"/>
  <c r="P52" i="17"/>
  <c r="P51" i="17"/>
  <c r="P50" i="17"/>
  <c r="P49" i="17"/>
  <c r="P48" i="17"/>
  <c r="P47" i="17"/>
  <c r="P46" i="17"/>
  <c r="P45" i="17"/>
  <c r="P44" i="17"/>
  <c r="P43" i="17"/>
  <c r="P42" i="17"/>
  <c r="P41" i="17"/>
  <c r="P40" i="17"/>
  <c r="P39" i="17"/>
  <c r="P38" i="17"/>
  <c r="P37" i="17"/>
  <c r="P36" i="17"/>
  <c r="P35" i="17"/>
  <c r="P34" i="17"/>
  <c r="P33" i="17"/>
  <c r="P32" i="17"/>
  <c r="P31" i="17"/>
  <c r="P30" i="17"/>
  <c r="P29" i="17"/>
  <c r="P28" i="17"/>
  <c r="P27" i="17"/>
  <c r="P26" i="17"/>
  <c r="P25" i="17"/>
  <c r="P24" i="17"/>
  <c r="P218" i="16"/>
  <c r="P119" i="16"/>
  <c r="P118" i="16"/>
  <c r="P117" i="16"/>
  <c r="P116" i="16"/>
  <c r="P115" i="16"/>
  <c r="P114" i="16"/>
  <c r="P113" i="16"/>
  <c r="P112" i="16"/>
  <c r="P111" i="16"/>
  <c r="P110" i="16"/>
  <c r="P109" i="16"/>
  <c r="P108" i="16"/>
  <c r="P107" i="16"/>
  <c r="P106" i="16"/>
  <c r="P105" i="16"/>
  <c r="P104" i="16"/>
  <c r="P103" i="16"/>
  <c r="P102" i="16"/>
  <c r="P101" i="16"/>
  <c r="P100" i="16"/>
  <c r="P99" i="16"/>
  <c r="P98" i="16"/>
  <c r="P97" i="16"/>
  <c r="P96" i="16"/>
  <c r="P95" i="16"/>
  <c r="P94" i="16"/>
  <c r="P93" i="16"/>
  <c r="P92" i="16"/>
  <c r="P91" i="16"/>
  <c r="P90" i="16"/>
  <c r="P89" i="16"/>
  <c r="P88" i="16"/>
  <c r="P87" i="16"/>
  <c r="P86" i="16"/>
  <c r="P85" i="16"/>
  <c r="P84" i="16"/>
  <c r="P83" i="16"/>
  <c r="P82" i="16"/>
  <c r="P81" i="16"/>
  <c r="P80" i="16"/>
  <c r="P79" i="16"/>
  <c r="P78" i="16"/>
  <c r="P77" i="16"/>
  <c r="P76" i="16"/>
  <c r="P75" i="16"/>
  <c r="P74" i="16"/>
  <c r="P73" i="16"/>
  <c r="P72" i="16"/>
  <c r="P71" i="16"/>
  <c r="P70" i="16"/>
  <c r="P69" i="16"/>
  <c r="P68" i="16"/>
  <c r="P67" i="16"/>
  <c r="P66" i="16"/>
  <c r="P65" i="16"/>
  <c r="P64" i="16"/>
  <c r="P63" i="16"/>
  <c r="P62" i="16"/>
  <c r="P61" i="16"/>
  <c r="P60" i="16"/>
  <c r="P59" i="16"/>
  <c r="P58" i="16"/>
  <c r="P57" i="16"/>
  <c r="P56" i="16"/>
  <c r="P55" i="16"/>
  <c r="P54" i="16"/>
  <c r="P53" i="16"/>
  <c r="P52" i="16"/>
  <c r="P51" i="16"/>
  <c r="P50" i="16"/>
  <c r="P49" i="16"/>
  <c r="P48" i="16"/>
  <c r="P47" i="16"/>
  <c r="P46" i="16"/>
  <c r="P45" i="16"/>
  <c r="P44" i="16"/>
  <c r="P43" i="16"/>
  <c r="P42" i="16"/>
  <c r="P41" i="16"/>
  <c r="P40" i="16"/>
  <c r="P39" i="16"/>
  <c r="P38" i="16"/>
  <c r="P37" i="16"/>
  <c r="P36" i="16"/>
  <c r="P35" i="16"/>
  <c r="P34" i="16"/>
  <c r="P33" i="16"/>
  <c r="P32" i="16"/>
  <c r="P31" i="16"/>
  <c r="P30" i="16"/>
  <c r="P29" i="16"/>
  <c r="P28" i="16"/>
  <c r="P27" i="16"/>
  <c r="P26" i="16"/>
  <c r="P25" i="16"/>
  <c r="P24" i="16"/>
  <c r="F218" i="16"/>
  <c r="F119" i="16"/>
  <c r="F118" i="16"/>
  <c r="F117" i="16"/>
  <c r="F116" i="16"/>
  <c r="F115" i="16"/>
  <c r="F114" i="16"/>
  <c r="F113" i="16"/>
  <c r="F112" i="16"/>
  <c r="F111" i="16"/>
  <c r="F110" i="16"/>
  <c r="F109" i="16"/>
  <c r="F108" i="16"/>
  <c r="F107" i="16"/>
  <c r="F106" i="16"/>
  <c r="F105" i="16"/>
  <c r="F104" i="16"/>
  <c r="F103" i="16"/>
  <c r="F102" i="16"/>
  <c r="F101" i="16"/>
  <c r="F100" i="16"/>
  <c r="F99" i="16"/>
  <c r="F98" i="16"/>
  <c r="F97" i="16"/>
  <c r="F96" i="16"/>
  <c r="F95" i="16"/>
  <c r="F94" i="16"/>
  <c r="F93" i="16"/>
  <c r="F92" i="16"/>
  <c r="F91" i="16"/>
  <c r="F90" i="16"/>
  <c r="F89" i="16"/>
  <c r="F88" i="16"/>
  <c r="F87" i="16"/>
  <c r="F86" i="16"/>
  <c r="F85" i="16"/>
  <c r="F84" i="16"/>
  <c r="F83" i="16"/>
  <c r="F82" i="16"/>
  <c r="F81" i="16"/>
  <c r="F80" i="16"/>
  <c r="F79" i="16"/>
  <c r="F78" i="16"/>
  <c r="F77" i="16"/>
  <c r="F76" i="16"/>
  <c r="F75" i="16"/>
  <c r="F74" i="16"/>
  <c r="F73" i="16"/>
  <c r="F72" i="16"/>
  <c r="F71" i="16"/>
  <c r="F70" i="16"/>
  <c r="F69" i="16"/>
  <c r="F68" i="16"/>
  <c r="F67" i="16"/>
  <c r="F66" i="16"/>
  <c r="F65" i="16"/>
  <c r="F64" i="16"/>
  <c r="F63" i="16"/>
  <c r="F62" i="16"/>
  <c r="F61" i="16"/>
  <c r="F60" i="16"/>
  <c r="F59" i="16"/>
  <c r="F58" i="16"/>
  <c r="F57" i="16"/>
  <c r="F56" i="16"/>
  <c r="F55" i="16"/>
  <c r="F54" i="16"/>
  <c r="F53" i="16"/>
  <c r="F52" i="16"/>
  <c r="F51" i="16"/>
  <c r="F50" i="16"/>
  <c r="F49" i="16"/>
  <c r="F48" i="16"/>
  <c r="F47" i="16"/>
  <c r="F46" i="16"/>
  <c r="F45" i="16"/>
  <c r="F44" i="16"/>
  <c r="F43" i="16"/>
  <c r="F42" i="16"/>
  <c r="F41" i="16"/>
  <c r="F40" i="16"/>
  <c r="F39" i="16"/>
  <c r="F38" i="16"/>
  <c r="F37" i="16"/>
  <c r="F36" i="16"/>
  <c r="F35" i="16"/>
  <c r="F34" i="16"/>
  <c r="F33" i="16"/>
  <c r="F32" i="16"/>
  <c r="F31" i="16"/>
  <c r="F30" i="16"/>
  <c r="F29" i="16"/>
  <c r="F28" i="16"/>
  <c r="F27" i="16"/>
  <c r="F26" i="16"/>
  <c r="F25" i="16"/>
  <c r="F24" i="16"/>
  <c r="P218" i="14"/>
  <c r="P119" i="14"/>
  <c r="P118" i="14"/>
  <c r="P117" i="14"/>
  <c r="P116" i="14"/>
  <c r="P115" i="14"/>
  <c r="P114" i="14"/>
  <c r="P113" i="14"/>
  <c r="P112" i="14"/>
  <c r="P111" i="14"/>
  <c r="P110" i="14"/>
  <c r="P109" i="14"/>
  <c r="P108" i="14"/>
  <c r="P107" i="14"/>
  <c r="P106" i="14"/>
  <c r="P105" i="14"/>
  <c r="P104" i="14"/>
  <c r="P103" i="14"/>
  <c r="P102" i="14"/>
  <c r="P101" i="14"/>
  <c r="P100" i="14"/>
  <c r="P99" i="14"/>
  <c r="P98" i="14"/>
  <c r="P97" i="14"/>
  <c r="P96" i="14"/>
  <c r="P95" i="14"/>
  <c r="P94" i="14"/>
  <c r="P93" i="14"/>
  <c r="P92" i="14"/>
  <c r="P91" i="14"/>
  <c r="P90" i="14"/>
  <c r="P89" i="14"/>
  <c r="P88" i="14"/>
  <c r="P87" i="14"/>
  <c r="P86" i="14"/>
  <c r="P85" i="14"/>
  <c r="P84" i="14"/>
  <c r="P83" i="14"/>
  <c r="P82" i="14"/>
  <c r="P81" i="14"/>
  <c r="P80" i="14"/>
  <c r="P79" i="14"/>
  <c r="P78" i="14"/>
  <c r="P77" i="14"/>
  <c r="P76" i="14"/>
  <c r="P75" i="14"/>
  <c r="P74" i="14"/>
  <c r="P73" i="14"/>
  <c r="P72" i="14"/>
  <c r="P71" i="14"/>
  <c r="P70" i="14"/>
  <c r="P69" i="14"/>
  <c r="P68" i="14"/>
  <c r="P67" i="14"/>
  <c r="P66" i="14"/>
  <c r="P65" i="14"/>
  <c r="P64" i="14"/>
  <c r="P63" i="14"/>
  <c r="P62" i="14"/>
  <c r="P61" i="14"/>
  <c r="P60" i="14"/>
  <c r="P59" i="14"/>
  <c r="P58" i="14"/>
  <c r="P57" i="14"/>
  <c r="P56" i="14"/>
  <c r="P55" i="14"/>
  <c r="P54" i="14"/>
  <c r="P53" i="14"/>
  <c r="P52" i="14"/>
  <c r="P51" i="14"/>
  <c r="P50" i="14"/>
  <c r="P49" i="14"/>
  <c r="P48" i="14"/>
  <c r="P47" i="14"/>
  <c r="P46" i="14"/>
  <c r="P45" i="14"/>
  <c r="P44" i="14"/>
  <c r="P43" i="14"/>
  <c r="P42" i="14"/>
  <c r="P41" i="14"/>
  <c r="P40" i="14"/>
  <c r="P39" i="14"/>
  <c r="P38" i="14"/>
  <c r="P37" i="14"/>
  <c r="P36" i="14"/>
  <c r="P35" i="14"/>
  <c r="P34" i="14"/>
  <c r="P33" i="14"/>
  <c r="P32" i="14"/>
  <c r="P31" i="14"/>
  <c r="P30" i="14"/>
  <c r="P29" i="14"/>
  <c r="P28" i="14"/>
  <c r="P27" i="14"/>
  <c r="P25" i="14"/>
  <c r="P24" i="14"/>
  <c r="F218" i="14"/>
  <c r="F119" i="14"/>
  <c r="F118" i="14"/>
  <c r="F117" i="14"/>
  <c r="F116" i="14"/>
  <c r="F115" i="14"/>
  <c r="F114" i="14"/>
  <c r="F113" i="14"/>
  <c r="F112" i="14"/>
  <c r="F111" i="14"/>
  <c r="F110" i="14"/>
  <c r="F109" i="14"/>
  <c r="F108" i="14"/>
  <c r="F107" i="14"/>
  <c r="F106" i="14"/>
  <c r="F105" i="14"/>
  <c r="F104" i="14"/>
  <c r="F103" i="14"/>
  <c r="F102" i="14"/>
  <c r="F101" i="14"/>
  <c r="F100" i="14"/>
  <c r="F99" i="14"/>
  <c r="F98" i="14"/>
  <c r="F97" i="14"/>
  <c r="F96" i="14"/>
  <c r="F95" i="14"/>
  <c r="F94" i="14"/>
  <c r="F93" i="14"/>
  <c r="F92" i="14"/>
  <c r="F91" i="14"/>
  <c r="F90" i="14"/>
  <c r="F89" i="14"/>
  <c r="F88" i="14"/>
  <c r="F87" i="14"/>
  <c r="F86" i="14"/>
  <c r="F85" i="14"/>
  <c r="F84" i="14"/>
  <c r="F83" i="14"/>
  <c r="F82" i="14"/>
  <c r="F81" i="14"/>
  <c r="F80" i="14"/>
  <c r="F79" i="14"/>
  <c r="F78" i="14"/>
  <c r="F77" i="14"/>
  <c r="F76" i="14"/>
  <c r="F75" i="14"/>
  <c r="F74" i="14"/>
  <c r="F73" i="14"/>
  <c r="F72" i="14"/>
  <c r="F71" i="14"/>
  <c r="F70" i="14"/>
  <c r="F69" i="14"/>
  <c r="F68" i="14"/>
  <c r="F67" i="14"/>
  <c r="F66" i="14"/>
  <c r="F65" i="14"/>
  <c r="F64" i="14"/>
  <c r="F63" i="14"/>
  <c r="F62" i="14"/>
  <c r="F61" i="14"/>
  <c r="F60" i="14"/>
  <c r="F59" i="14"/>
  <c r="F58" i="14"/>
  <c r="F57" i="14"/>
  <c r="F56" i="14"/>
  <c r="F55" i="14"/>
  <c r="F54" i="14"/>
  <c r="F53" i="14"/>
  <c r="F52" i="14"/>
  <c r="F51" i="14"/>
  <c r="F50" i="14"/>
  <c r="F49" i="14"/>
  <c r="F48" i="14"/>
  <c r="F47" i="14"/>
  <c r="F46" i="14"/>
  <c r="F45" i="14"/>
  <c r="F44" i="14"/>
  <c r="F43" i="14"/>
  <c r="F42" i="14"/>
  <c r="F41" i="14"/>
  <c r="F40" i="14"/>
  <c r="F39" i="14"/>
  <c r="F38" i="14"/>
  <c r="F37" i="14"/>
  <c r="F36" i="14"/>
  <c r="F35" i="14"/>
  <c r="F34" i="14"/>
  <c r="F33" i="14"/>
  <c r="F32" i="14"/>
  <c r="F31" i="14"/>
  <c r="F30" i="14"/>
  <c r="F29" i="14"/>
  <c r="F28" i="14"/>
  <c r="F27" i="14"/>
  <c r="F24" i="14"/>
  <c r="AG11" i="19" l="1"/>
  <c r="AD11" i="19"/>
  <c r="AA11" i="19"/>
  <c r="X11" i="19"/>
  <c r="U11" i="19"/>
  <c r="R11" i="19"/>
  <c r="P21" i="14" l="1"/>
  <c r="O21" i="14"/>
  <c r="N21" i="14"/>
  <c r="P21" i="17"/>
  <c r="O21" i="17"/>
  <c r="N21" i="17"/>
  <c r="O21" i="16"/>
  <c r="N21" i="16"/>
  <c r="F6" i="19"/>
  <c r="J33" i="19" l="1"/>
  <c r="J34" i="19"/>
  <c r="M19" i="19"/>
  <c r="G12" i="19"/>
  <c r="M39" i="19"/>
  <c r="J37" i="19"/>
  <c r="D14" i="23"/>
  <c r="L18" i="15" l="1"/>
  <c r="H20" i="22"/>
  <c r="K20" i="22" s="1"/>
  <c r="D32" i="12" l="1"/>
  <c r="D31" i="12"/>
  <c r="D30" i="12"/>
  <c r="D28" i="12"/>
  <c r="D29" i="12"/>
  <c r="K8" i="25" l="1"/>
  <c r="D17" i="25"/>
  <c r="P21" i="16"/>
  <c r="AJ19" i="19"/>
  <c r="O11" i="19" s="1"/>
  <c r="O39" i="20" l="1"/>
  <c r="L36" i="15"/>
  <c r="G102" i="19"/>
  <c r="G101" i="19"/>
  <c r="G100" i="19"/>
  <c r="G99" i="19"/>
  <c r="G98" i="19"/>
  <c r="G97" i="19"/>
  <c r="G96" i="19"/>
  <c r="G95" i="19"/>
  <c r="G94" i="19"/>
  <c r="G93" i="19"/>
  <c r="G92" i="19"/>
  <c r="G91" i="19"/>
  <c r="G90" i="19"/>
  <c r="G89" i="19"/>
  <c r="G88" i="19"/>
  <c r="G87" i="19"/>
  <c r="G86" i="19"/>
  <c r="G85" i="19"/>
  <c r="G84" i="19"/>
  <c r="G83" i="19"/>
  <c r="G82" i="19"/>
  <c r="G81" i="19"/>
  <c r="G80" i="19"/>
  <c r="G79" i="19"/>
  <c r="G78" i="19"/>
  <c r="G77" i="19"/>
  <c r="G76" i="19"/>
  <c r="G75" i="19"/>
  <c r="G74" i="19"/>
  <c r="G73" i="19"/>
  <c r="G72" i="19"/>
  <c r="G71" i="19"/>
  <c r="G70" i="19"/>
  <c r="G69" i="19"/>
  <c r="G68" i="19"/>
  <c r="G67" i="19"/>
  <c r="G66" i="19"/>
  <c r="G65" i="19"/>
  <c r="G64" i="19"/>
  <c r="G63" i="19"/>
  <c r="G62" i="19"/>
  <c r="G61" i="19"/>
  <c r="G60" i="19"/>
  <c r="G59" i="19"/>
  <c r="G58" i="19"/>
  <c r="G57" i="19"/>
  <c r="G56" i="19"/>
  <c r="G55" i="19"/>
  <c r="G54" i="19"/>
  <c r="G53" i="19"/>
  <c r="G52" i="19"/>
  <c r="G51" i="19"/>
  <c r="G50" i="19"/>
  <c r="G49" i="19"/>
  <c r="G48" i="19"/>
  <c r="G47" i="19"/>
  <c r="G46" i="19"/>
  <c r="G45" i="19"/>
  <c r="G44" i="19"/>
  <c r="G43" i="19"/>
  <c r="G42" i="19"/>
  <c r="G41" i="19"/>
  <c r="G40" i="19"/>
  <c r="G39" i="19"/>
  <c r="G38" i="19"/>
  <c r="G37" i="19"/>
  <c r="G36" i="19"/>
  <c r="G35" i="19"/>
  <c r="G34" i="19"/>
  <c r="G33" i="19"/>
  <c r="G32" i="19"/>
  <c r="G31" i="19"/>
  <c r="G30" i="19"/>
  <c r="G29" i="19"/>
  <c r="G28" i="19"/>
  <c r="G27" i="19"/>
  <c r="G26" i="19"/>
  <c r="G25" i="19"/>
  <c r="G24" i="19"/>
  <c r="G23" i="19"/>
  <c r="G22" i="19"/>
  <c r="G21" i="19"/>
  <c r="G20" i="19"/>
  <c r="G19" i="19"/>
  <c r="G18" i="19"/>
  <c r="G17" i="19"/>
  <c r="G16" i="19"/>
  <c r="G15" i="19"/>
  <c r="G14" i="19"/>
  <c r="G13" i="19"/>
  <c r="AI13" i="19"/>
  <c r="AI14" i="19" s="1"/>
  <c r="AI15" i="19" s="1"/>
  <c r="AI16" i="19" s="1"/>
  <c r="AI17" i="19" s="1"/>
  <c r="AI18" i="19" s="1"/>
  <c r="J11" i="20" l="1"/>
  <c r="J10" i="20"/>
  <c r="J9" i="20"/>
  <c r="C17" i="20"/>
  <c r="A10" i="20"/>
  <c r="C10" i="20" s="1"/>
  <c r="C26" i="20" l="1"/>
  <c r="A11" i="20"/>
  <c r="C11" i="20" s="1"/>
  <c r="C35" i="20" l="1"/>
  <c r="S47" i="19" l="1"/>
  <c r="E15" i="17"/>
  <c r="E16" i="16"/>
  <c r="E15" i="16"/>
  <c r="E16" i="14"/>
  <c r="E15" i="14"/>
  <c r="F25" i="14" l="1"/>
  <c r="F26" i="14"/>
  <c r="F22" i="14"/>
  <c r="F23" i="14"/>
  <c r="F23" i="16"/>
  <c r="F22" i="16"/>
  <c r="F23" i="17"/>
  <c r="F22" i="17"/>
  <c r="Y94" i="19"/>
  <c r="AH16" i="19"/>
  <c r="AE79" i="19"/>
  <c r="P49" i="19"/>
  <c r="AH70" i="19"/>
  <c r="Y77" i="19"/>
  <c r="AB23" i="19"/>
  <c r="Y62" i="19"/>
  <c r="AH86" i="19"/>
  <c r="M38" i="19"/>
  <c r="AB76" i="19"/>
  <c r="AE55" i="19"/>
  <c r="AH87" i="19"/>
  <c r="P60" i="19"/>
  <c r="AB96" i="19"/>
  <c r="M57" i="19"/>
  <c r="AE72" i="19"/>
  <c r="P67" i="19"/>
  <c r="V25" i="19"/>
  <c r="Y54" i="19"/>
  <c r="Y67" i="19"/>
  <c r="P84" i="19"/>
  <c r="V54" i="19"/>
  <c r="Y22" i="19"/>
  <c r="AE33" i="19"/>
  <c r="P27" i="19"/>
  <c r="V81" i="19"/>
  <c r="S64" i="19"/>
  <c r="Y96" i="19"/>
  <c r="AH66" i="19"/>
  <c r="AE98" i="19"/>
  <c r="AB51" i="19"/>
  <c r="S71" i="19"/>
  <c r="Y31" i="19"/>
  <c r="AE82" i="19"/>
  <c r="AE99" i="19"/>
  <c r="Y72" i="19"/>
  <c r="M30" i="19"/>
  <c r="S50" i="19"/>
  <c r="P46" i="19"/>
  <c r="P86" i="19"/>
  <c r="P51" i="19"/>
  <c r="AH50" i="19"/>
  <c r="AB65" i="19"/>
  <c r="AB55" i="19"/>
  <c r="AB77" i="19"/>
  <c r="AB100" i="19"/>
  <c r="V29" i="19"/>
  <c r="V57" i="19"/>
  <c r="V86" i="19"/>
  <c r="S75" i="19"/>
  <c r="S21" i="19"/>
  <c r="Y88" i="19"/>
  <c r="Y53" i="19"/>
  <c r="AE48" i="19"/>
  <c r="M12" i="19"/>
  <c r="AH71" i="19"/>
  <c r="AH90" i="19"/>
  <c r="AE64" i="19"/>
  <c r="AE25" i="19"/>
  <c r="AE83" i="19"/>
  <c r="AE102" i="19"/>
  <c r="AE61" i="19"/>
  <c r="AH28" i="19"/>
  <c r="S18" i="19"/>
  <c r="P54" i="19"/>
  <c r="P92" i="19"/>
  <c r="P57" i="19"/>
  <c r="P97" i="19"/>
  <c r="AB34" i="19"/>
  <c r="AB59" i="19"/>
  <c r="AB80" i="19"/>
  <c r="S57" i="19"/>
  <c r="V33" i="19"/>
  <c r="V61" i="19"/>
  <c r="V89" i="19"/>
  <c r="S85" i="19"/>
  <c r="S45" i="19"/>
  <c r="Y86" i="19"/>
  <c r="M26" i="19"/>
  <c r="AE40" i="19"/>
  <c r="AH55" i="19"/>
  <c r="AH74" i="19"/>
  <c r="AH91" i="19"/>
  <c r="Y59" i="19"/>
  <c r="Y23" i="19"/>
  <c r="AE86" i="19"/>
  <c r="Y95" i="19"/>
  <c r="Y60" i="19"/>
  <c r="M22" i="19"/>
  <c r="S16" i="19"/>
  <c r="P29" i="19"/>
  <c r="P94" i="19"/>
  <c r="P69" i="19"/>
  <c r="AB52" i="19"/>
  <c r="AB42" i="19"/>
  <c r="AB71" i="19"/>
  <c r="AB84" i="19"/>
  <c r="S43" i="19"/>
  <c r="V37" i="19"/>
  <c r="V65" i="19"/>
  <c r="V93" i="19"/>
  <c r="S91" i="19"/>
  <c r="S70" i="19"/>
  <c r="AH58" i="19"/>
  <c r="AE56" i="19"/>
  <c r="Y93" i="19"/>
  <c r="P37" i="19"/>
  <c r="S31" i="19"/>
  <c r="AB85" i="19"/>
  <c r="S99" i="19"/>
  <c r="AE71" i="19"/>
  <c r="M14" i="19"/>
  <c r="AE32" i="19"/>
  <c r="AH59" i="19"/>
  <c r="AH78" i="19"/>
  <c r="AH95" i="19"/>
  <c r="AE49" i="19"/>
  <c r="AE13" i="19"/>
  <c r="AE91" i="19"/>
  <c r="Y87" i="19"/>
  <c r="AH52" i="19"/>
  <c r="Y16" i="19"/>
  <c r="P48" i="19"/>
  <c r="P58" i="19"/>
  <c r="P28" i="19"/>
  <c r="S65" i="19"/>
  <c r="S17" i="19"/>
  <c r="AB72" i="19"/>
  <c r="AB22" i="19"/>
  <c r="AB88" i="19"/>
  <c r="S42" i="19"/>
  <c r="V45" i="19"/>
  <c r="V70" i="19"/>
  <c r="V101" i="19"/>
  <c r="S40" i="19"/>
  <c r="S88" i="19"/>
  <c r="Y38" i="19"/>
  <c r="AH94" i="19"/>
  <c r="AE90" i="19"/>
  <c r="AH20" i="19"/>
  <c r="P100" i="19"/>
  <c r="AB33" i="19"/>
  <c r="V97" i="19"/>
  <c r="Y70" i="19"/>
  <c r="M73" i="19"/>
  <c r="Y30" i="19"/>
  <c r="AH62" i="19"/>
  <c r="AH79" i="19"/>
  <c r="AH98" i="19"/>
  <c r="AE41" i="19"/>
  <c r="AE75" i="19"/>
  <c r="AE94" i="19"/>
  <c r="Y85" i="19"/>
  <c r="M46" i="19"/>
  <c r="Y15" i="19"/>
  <c r="P39" i="19"/>
  <c r="P76" i="19"/>
  <c r="P36" i="19"/>
  <c r="P91" i="19"/>
  <c r="S15" i="19"/>
  <c r="AB40" i="19"/>
  <c r="AB30" i="19"/>
  <c r="AB92" i="19"/>
  <c r="V12" i="19"/>
  <c r="V46" i="19"/>
  <c r="V77" i="19"/>
  <c r="V102" i="19"/>
  <c r="S30" i="19"/>
  <c r="S96" i="19"/>
  <c r="Y80" i="19"/>
  <c r="M15" i="19"/>
  <c r="AH75" i="19"/>
  <c r="AE17" i="19"/>
  <c r="M54" i="19"/>
  <c r="P40" i="19"/>
  <c r="AE69" i="19"/>
  <c r="AB64" i="19"/>
  <c r="Y102" i="19"/>
  <c r="V38" i="19"/>
  <c r="V69" i="19"/>
  <c r="S80" i="19"/>
  <c r="AE63" i="19"/>
  <c r="M69" i="19"/>
  <c r="AE24" i="19"/>
  <c r="AH63" i="19"/>
  <c r="AH82" i="19"/>
  <c r="AH102" i="19"/>
  <c r="Y39" i="19"/>
  <c r="AE78" i="19"/>
  <c r="AE95" i="19"/>
  <c r="Y79" i="19"/>
  <c r="AH44" i="19"/>
  <c r="P101" i="19"/>
  <c r="P63" i="19"/>
  <c r="P78" i="19"/>
  <c r="P19" i="19"/>
  <c r="P83" i="19"/>
  <c r="AB43" i="19"/>
  <c r="AB48" i="19"/>
  <c r="AB54" i="19"/>
  <c r="AB93" i="19"/>
  <c r="V22" i="19"/>
  <c r="V49" i="19"/>
  <c r="V78" i="19"/>
  <c r="S60" i="19"/>
  <c r="S38" i="19"/>
  <c r="J100" i="19"/>
  <c r="AH48" i="19"/>
  <c r="AE47" i="19"/>
  <c r="Y45" i="19"/>
  <c r="AH40" i="19"/>
  <c r="AE39" i="19"/>
  <c r="Y37" i="19"/>
  <c r="AH32" i="19"/>
  <c r="AE31" i="19"/>
  <c r="Y29" i="19"/>
  <c r="AH24" i="19"/>
  <c r="AE23" i="19"/>
  <c r="Y21" i="19"/>
  <c r="AH12" i="19"/>
  <c r="M86" i="19"/>
  <c r="M62" i="19"/>
  <c r="AH51" i="19"/>
  <c r="M45" i="19"/>
  <c r="Y40" i="19"/>
  <c r="M37" i="19"/>
  <c r="M102" i="19"/>
  <c r="M96" i="19"/>
  <c r="M92" i="19"/>
  <c r="M88" i="19"/>
  <c r="M82" i="19"/>
  <c r="M78" i="19"/>
  <c r="M66" i="19"/>
  <c r="M53" i="19"/>
  <c r="Y48" i="19"/>
  <c r="AH43" i="19"/>
  <c r="AH35" i="19"/>
  <c r="M100" i="19"/>
  <c r="M98" i="19"/>
  <c r="M94" i="19"/>
  <c r="M90" i="19"/>
  <c r="M84" i="19"/>
  <c r="M80" i="19"/>
  <c r="M76" i="19"/>
  <c r="M70" i="19"/>
  <c r="M58" i="19"/>
  <c r="AE50" i="19"/>
  <c r="AE42" i="19"/>
  <c r="AE73" i="19"/>
  <c r="M71" i="19"/>
  <c r="M67" i="19"/>
  <c r="M63" i="19"/>
  <c r="M59" i="19"/>
  <c r="M55" i="19"/>
  <c r="AH53" i="19"/>
  <c r="AE52" i="19"/>
  <c r="Y50" i="19"/>
  <c r="M47" i="19"/>
  <c r="AH45" i="19"/>
  <c r="AE44" i="19"/>
  <c r="Y42" i="19"/>
  <c r="AH37" i="19"/>
  <c r="AE36" i="19"/>
  <c r="Y34" i="19"/>
  <c r="M31" i="19"/>
  <c r="AH29" i="19"/>
  <c r="AE70" i="19"/>
  <c r="Y65" i="19"/>
  <c r="AH54" i="19"/>
  <c r="AE45" i="19"/>
  <c r="AB36" i="19"/>
  <c r="M33" i="19"/>
  <c r="AE29" i="19"/>
  <c r="Y27" i="19"/>
  <c r="AH22" i="19"/>
  <c r="AB20" i="19"/>
  <c r="AB12" i="19"/>
  <c r="M83" i="19"/>
  <c r="M64" i="19"/>
  <c r="M49" i="19"/>
  <c r="AE28" i="19"/>
  <c r="P24" i="19"/>
  <c r="V17" i="19"/>
  <c r="M56" i="19"/>
  <c r="P30" i="19"/>
  <c r="AE20" i="19"/>
  <c r="V14" i="19"/>
  <c r="M101" i="19"/>
  <c r="M93" i="19"/>
  <c r="M85" i="19"/>
  <c r="M77" i="19"/>
  <c r="AB70" i="19"/>
  <c r="M60" i="19"/>
  <c r="AE54" i="19"/>
  <c r="AB45" i="19"/>
  <c r="M41" i="19"/>
  <c r="Y36" i="19"/>
  <c r="Y32" i="19"/>
  <c r="AB29" i="19"/>
  <c r="M25" i="19"/>
  <c r="AE22" i="19"/>
  <c r="Y20" i="19"/>
  <c r="P18" i="19"/>
  <c r="P16" i="19"/>
  <c r="P14" i="19"/>
  <c r="AE12" i="19"/>
  <c r="M91" i="19"/>
  <c r="M75" i="19"/>
  <c r="AB58" i="19"/>
  <c r="Y44" i="19"/>
  <c r="AH31" i="19"/>
  <c r="AH21" i="19"/>
  <c r="V15" i="19"/>
  <c r="M72" i="19"/>
  <c r="P42" i="19"/>
  <c r="M23" i="19"/>
  <c r="Y12" i="19"/>
  <c r="Y69" i="19"/>
  <c r="AE58" i="19"/>
  <c r="AE53" i="19"/>
  <c r="AB44" i="19"/>
  <c r="M40" i="19"/>
  <c r="Y35" i="19"/>
  <c r="M32" i="19"/>
  <c r="M29" i="19"/>
  <c r="AE26" i="19"/>
  <c r="Y24" i="19"/>
  <c r="P22" i="19"/>
  <c r="AH19" i="19"/>
  <c r="AB17" i="19"/>
  <c r="AB15" i="19"/>
  <c r="AB13" i="19"/>
  <c r="M99" i="19"/>
  <c r="AB53" i="19"/>
  <c r="AH39" i="19"/>
  <c r="Y26" i="19"/>
  <c r="AB19" i="19"/>
  <c r="V13" i="19"/>
  <c r="AB37" i="19"/>
  <c r="AB27" i="19"/>
  <c r="V16" i="19"/>
  <c r="Y73" i="19"/>
  <c r="AE62" i="19"/>
  <c r="Y57" i="19"/>
  <c r="M48" i="19"/>
  <c r="Y43" i="19"/>
  <c r="AH38" i="19"/>
  <c r="AE34" i="19"/>
  <c r="M24" i="19"/>
  <c r="AE21" i="19"/>
  <c r="Y19" i="19"/>
  <c r="M97" i="19"/>
  <c r="M89" i="19"/>
  <c r="M81" i="19"/>
  <c r="M68" i="19"/>
  <c r="AB62" i="19"/>
  <c r="Y52" i="19"/>
  <c r="AH47" i="19"/>
  <c r="AE38" i="19"/>
  <c r="AH30" i="19"/>
  <c r="Y28" i="19"/>
  <c r="AH23" i="19"/>
  <c r="AB21" i="19"/>
  <c r="P95" i="19"/>
  <c r="P87" i="19"/>
  <c r="P79" i="19"/>
  <c r="P72" i="19"/>
  <c r="AE66" i="19"/>
  <c r="Y61" i="19"/>
  <c r="P56" i="19"/>
  <c r="Y51" i="19"/>
  <c r="AH46" i="19"/>
  <c r="AE37" i="19"/>
  <c r="P34" i="19"/>
  <c r="AE30" i="19"/>
  <c r="AH27" i="19"/>
  <c r="AB25" i="19"/>
  <c r="M21" i="19"/>
  <c r="AE18" i="19"/>
  <c r="AB16" i="19"/>
  <c r="AB14" i="19"/>
  <c r="M95" i="19"/>
  <c r="M87" i="19"/>
  <c r="M79" i="19"/>
  <c r="AB66" i="19"/>
  <c r="AE46" i="19"/>
  <c r="P33" i="19"/>
  <c r="Y18" i="19"/>
  <c r="P50" i="19"/>
  <c r="S102" i="19"/>
  <c r="S86" i="19"/>
  <c r="S62" i="19"/>
  <c r="S63" i="19"/>
  <c r="S22" i="19"/>
  <c r="S97" i="19"/>
  <c r="S81" i="19"/>
  <c r="S56" i="19"/>
  <c r="V100" i="19"/>
  <c r="V92" i="19"/>
  <c r="V84" i="19"/>
  <c r="V76" i="19"/>
  <c r="V68" i="19"/>
  <c r="V60" i="19"/>
  <c r="V52" i="19"/>
  <c r="V44" i="19"/>
  <c r="V36" i="19"/>
  <c r="V28" i="19"/>
  <c r="V20" i="19"/>
  <c r="P13" i="19"/>
  <c r="S73" i="19"/>
  <c r="AB95" i="19"/>
  <c r="AB87" i="19"/>
  <c r="AB79" i="19"/>
  <c r="AB46" i="19"/>
  <c r="AB67" i="19"/>
  <c r="AB68" i="19"/>
  <c r="AB60" i="19"/>
  <c r="AB61" i="19"/>
  <c r="S26" i="19"/>
  <c r="S61" i="19"/>
  <c r="P99" i="19"/>
  <c r="P65" i="19"/>
  <c r="P52" i="19"/>
  <c r="P98" i="19"/>
  <c r="P82" i="19"/>
  <c r="P53" i="19"/>
  <c r="P38" i="19"/>
  <c r="P31" i="19"/>
  <c r="P25" i="19"/>
  <c r="Y13" i="19"/>
  <c r="Y25" i="19"/>
  <c r="Y41" i="19"/>
  <c r="Y56" i="19"/>
  <c r="M74" i="19"/>
  <c r="Y89" i="19"/>
  <c r="AE101" i="19"/>
  <c r="AE93" i="19"/>
  <c r="AE85" i="19"/>
  <c r="AE77" i="19"/>
  <c r="AH18" i="19"/>
  <c r="AH34" i="19"/>
  <c r="M52" i="19"/>
  <c r="AE68" i="19"/>
  <c r="AH97" i="19"/>
  <c r="AH89" i="19"/>
  <c r="AH81" i="19"/>
  <c r="AH73" i="19"/>
  <c r="AH65" i="19"/>
  <c r="AH57" i="19"/>
  <c r="AH17" i="19"/>
  <c r="AH33" i="19"/>
  <c r="AH49" i="19"/>
  <c r="Y74" i="19"/>
  <c r="M34" i="19"/>
  <c r="Y66" i="19"/>
  <c r="Y82" i="19"/>
  <c r="Y98" i="19"/>
  <c r="S98" i="19"/>
  <c r="S93" i="19"/>
  <c r="V98" i="19"/>
  <c r="V82" i="19"/>
  <c r="V66" i="19"/>
  <c r="V50" i="19"/>
  <c r="V34" i="19"/>
  <c r="V18" i="19"/>
  <c r="AB101" i="19"/>
  <c r="S52" i="19"/>
  <c r="S100" i="19"/>
  <c r="S84" i="19"/>
  <c r="S58" i="19"/>
  <c r="S59" i="19"/>
  <c r="S67" i="19"/>
  <c r="S95" i="19"/>
  <c r="S79" i="19"/>
  <c r="S49" i="19"/>
  <c r="V99" i="19"/>
  <c r="V91" i="19"/>
  <c r="V83" i="19"/>
  <c r="V75" i="19"/>
  <c r="V67" i="19"/>
  <c r="V59" i="19"/>
  <c r="V51" i="19"/>
  <c r="V43" i="19"/>
  <c r="V35" i="19"/>
  <c r="V27" i="19"/>
  <c r="V19" i="19"/>
  <c r="P15" i="19"/>
  <c r="AB102" i="19"/>
  <c r="AB94" i="19"/>
  <c r="AB86" i="19"/>
  <c r="AB78" i="19"/>
  <c r="AB38" i="19"/>
  <c r="AB63" i="19"/>
  <c r="AB56" i="19"/>
  <c r="AB50" i="19"/>
  <c r="AB57" i="19"/>
  <c r="AB28" i="19"/>
  <c r="S69" i="19"/>
  <c r="S27" i="19"/>
  <c r="P61" i="19"/>
  <c r="P44" i="19"/>
  <c r="P96" i="19"/>
  <c r="P80" i="19"/>
  <c r="P45" i="19"/>
  <c r="P71" i="19"/>
  <c r="P23" i="19"/>
  <c r="P41" i="19"/>
  <c r="Y14" i="19"/>
  <c r="AE27" i="19"/>
  <c r="AE43" i="19"/>
  <c r="AE57" i="19"/>
  <c r="Y75" i="19"/>
  <c r="Y91" i="19"/>
  <c r="AE100" i="19"/>
  <c r="AE92" i="19"/>
  <c r="AE84" i="19"/>
  <c r="AE76" i="19"/>
  <c r="M20" i="19"/>
  <c r="M36" i="19"/>
  <c r="Y55" i="19"/>
  <c r="Y71" i="19"/>
  <c r="AH96" i="19"/>
  <c r="AH88" i="19"/>
  <c r="AH80" i="19"/>
  <c r="AH72" i="19"/>
  <c r="AH64" i="19"/>
  <c r="AH56" i="19"/>
  <c r="M35" i="19"/>
  <c r="M51" i="19"/>
  <c r="M13" i="19"/>
  <c r="M42" i="19"/>
  <c r="AE67" i="19"/>
  <c r="Y84" i="19"/>
  <c r="Y100" i="19"/>
  <c r="S44" i="19"/>
  <c r="S82" i="19"/>
  <c r="S53" i="19"/>
  <c r="S39" i="19"/>
  <c r="S48" i="19"/>
  <c r="S77" i="19"/>
  <c r="S41" i="19"/>
  <c r="V90" i="19"/>
  <c r="V74" i="19"/>
  <c r="V58" i="19"/>
  <c r="V42" i="19"/>
  <c r="V26" i="19"/>
  <c r="P17" i="19"/>
  <c r="S28" i="19"/>
  <c r="S94" i="19"/>
  <c r="S78" i="19"/>
  <c r="S37" i="19"/>
  <c r="S54" i="19"/>
  <c r="S32" i="19"/>
  <c r="S89" i="19"/>
  <c r="S72" i="19"/>
  <c r="S25" i="19"/>
  <c r="V96" i="19"/>
  <c r="V88" i="19"/>
  <c r="V80" i="19"/>
  <c r="V72" i="19"/>
  <c r="V64" i="19"/>
  <c r="V56" i="19"/>
  <c r="V48" i="19"/>
  <c r="V40" i="19"/>
  <c r="V32" i="19"/>
  <c r="V24" i="19"/>
  <c r="S12" i="19"/>
  <c r="P26" i="19"/>
  <c r="AB99" i="19"/>
  <c r="AB91" i="19"/>
  <c r="AB83" i="19"/>
  <c r="AB75" i="19"/>
  <c r="AB49" i="19"/>
  <c r="AB47" i="19"/>
  <c r="AB32" i="19"/>
  <c r="AB26" i="19"/>
  <c r="AB35" i="19"/>
  <c r="P68" i="19"/>
  <c r="P64" i="19"/>
  <c r="S35" i="19"/>
  <c r="P43" i="19"/>
  <c r="P20" i="19"/>
  <c r="P90" i="19"/>
  <c r="P70" i="19"/>
  <c r="P21" i="19"/>
  <c r="P59" i="19"/>
  <c r="P32" i="19"/>
  <c r="P77" i="19"/>
  <c r="Y17" i="19"/>
  <c r="Y33" i="19"/>
  <c r="Y49" i="19"/>
  <c r="Y64" i="19"/>
  <c r="Y81" i="19"/>
  <c r="Y97" i="19"/>
  <c r="AE97" i="19"/>
  <c r="AE89" i="19"/>
  <c r="AE81" i="19"/>
  <c r="AE14" i="19"/>
  <c r="AH26" i="19"/>
  <c r="AH42" i="19"/>
  <c r="AE60" i="19"/>
  <c r="AH101" i="19"/>
  <c r="AH93" i="19"/>
  <c r="AH85" i="19"/>
  <c r="AH77" i="19"/>
  <c r="AH69" i="19"/>
  <c r="AH61" i="19"/>
  <c r="AH13" i="19"/>
  <c r="AH25" i="19"/>
  <c r="AH41" i="19"/>
  <c r="M61" i="19"/>
  <c r="M16" i="19"/>
  <c r="Y58" i="19"/>
  <c r="AE74" i="19"/>
  <c r="Y90" i="19"/>
  <c r="S20" i="19"/>
  <c r="S92" i="19"/>
  <c r="S76" i="19"/>
  <c r="S29" i="19"/>
  <c r="S46" i="19"/>
  <c r="S24" i="19"/>
  <c r="S87" i="19"/>
  <c r="S68" i="19"/>
  <c r="S51" i="19"/>
  <c r="V95" i="19"/>
  <c r="V87" i="19"/>
  <c r="V79" i="19"/>
  <c r="V71" i="19"/>
  <c r="V63" i="19"/>
  <c r="V55" i="19"/>
  <c r="V47" i="19"/>
  <c r="V39" i="19"/>
  <c r="V31" i="19"/>
  <c r="V23" i="19"/>
  <c r="S23" i="19"/>
  <c r="S34" i="19"/>
  <c r="AB98" i="19"/>
  <c r="AB90" i="19"/>
  <c r="AB82" i="19"/>
  <c r="AB74" i="19"/>
  <c r="AB41" i="19"/>
  <c r="AB39" i="19"/>
  <c r="AB24" i="19"/>
  <c r="AB18" i="19"/>
  <c r="S13" i="19"/>
  <c r="P81" i="19"/>
  <c r="P75" i="19"/>
  <c r="M50" i="19"/>
  <c r="P35" i="19"/>
  <c r="P74" i="19"/>
  <c r="P88" i="19"/>
  <c r="P66" i="19"/>
  <c r="P12" i="19"/>
  <c r="P55" i="19"/>
  <c r="S14" i="19"/>
  <c r="P85" i="19"/>
  <c r="AE19" i="19"/>
  <c r="AE35" i="19"/>
  <c r="AE51" i="19"/>
  <c r="AE65" i="19"/>
  <c r="Y83" i="19"/>
  <c r="Y99" i="19"/>
  <c r="AE96" i="19"/>
  <c r="AE88" i="19"/>
  <c r="AE80" i="19"/>
  <c r="AE15" i="19"/>
  <c r="M28" i="19"/>
  <c r="M44" i="19"/>
  <c r="Y63" i="19"/>
  <c r="AH100" i="19"/>
  <c r="AH92" i="19"/>
  <c r="AH84" i="19"/>
  <c r="AH76" i="19"/>
  <c r="AH68" i="19"/>
  <c r="AH60" i="19"/>
  <c r="AH14" i="19"/>
  <c r="M27" i="19"/>
  <c r="M43" i="19"/>
  <c r="M65" i="19"/>
  <c r="M17" i="19"/>
  <c r="AE59" i="19"/>
  <c r="Y76" i="19"/>
  <c r="Y92" i="19"/>
  <c r="Y78" i="19"/>
  <c r="M18" i="19"/>
  <c r="Y46" i="19"/>
  <c r="AH15" i="19"/>
  <c r="AH67" i="19"/>
  <c r="AH83" i="19"/>
  <c r="AH99" i="19"/>
  <c r="Y47" i="19"/>
  <c r="AE16" i="19"/>
  <c r="AE87" i="19"/>
  <c r="Y101" i="19"/>
  <c r="Y68" i="19"/>
  <c r="AH36" i="19"/>
  <c r="P93" i="19"/>
  <c r="P47" i="19"/>
  <c r="P62" i="19"/>
  <c r="P102" i="19"/>
  <c r="P73" i="19"/>
  <c r="P89" i="19"/>
  <c r="AB69" i="19"/>
  <c r="AB31" i="19"/>
  <c r="AB73" i="19"/>
  <c r="AB89" i="19"/>
  <c r="S19" i="19"/>
  <c r="V30" i="19"/>
  <c r="V53" i="19"/>
  <c r="V73" i="19"/>
  <c r="V94" i="19"/>
  <c r="S83" i="19"/>
  <c r="S74" i="19"/>
  <c r="S90" i="19"/>
  <c r="S55" i="19"/>
  <c r="AB81" i="19"/>
  <c r="AB97" i="19"/>
  <c r="V21" i="19"/>
  <c r="V41" i="19"/>
  <c r="V62" i="19"/>
  <c r="V85" i="19"/>
  <c r="S33" i="19"/>
  <c r="S101" i="19"/>
  <c r="S66" i="19"/>
  <c r="S36" i="19"/>
  <c r="J22" i="19"/>
  <c r="J50" i="19"/>
  <c r="J13" i="19"/>
  <c r="J17" i="19"/>
  <c r="J21" i="19"/>
  <c r="J25" i="19"/>
  <c r="J29" i="19"/>
  <c r="J41" i="19"/>
  <c r="J45" i="19"/>
  <c r="J49" i="19"/>
  <c r="J53" i="19"/>
  <c r="J57" i="19"/>
  <c r="J61" i="19"/>
  <c r="J65" i="19"/>
  <c r="J69" i="19"/>
  <c r="J73" i="19"/>
  <c r="J77" i="19"/>
  <c r="J81" i="19"/>
  <c r="J85" i="19"/>
  <c r="J89" i="19"/>
  <c r="J93" i="19"/>
  <c r="J97" i="19"/>
  <c r="J101" i="19"/>
  <c r="J90" i="19"/>
  <c r="J26" i="19"/>
  <c r="J42" i="19"/>
  <c r="J58" i="19"/>
  <c r="J70" i="19"/>
  <c r="J82" i="19"/>
  <c r="J98" i="19"/>
  <c r="J23" i="19"/>
  <c r="J39" i="19"/>
  <c r="J55" i="19"/>
  <c r="J71" i="19"/>
  <c r="J91" i="19"/>
  <c r="J14" i="19"/>
  <c r="J18" i="19"/>
  <c r="J30" i="19"/>
  <c r="J38" i="19"/>
  <c r="J46" i="19"/>
  <c r="J54" i="19"/>
  <c r="J62" i="19"/>
  <c r="J66" i="19"/>
  <c r="J74" i="19"/>
  <c r="J78" i="19"/>
  <c r="J86" i="19"/>
  <c r="J94" i="19"/>
  <c r="J102" i="19"/>
  <c r="J15" i="19"/>
  <c r="J19" i="19"/>
  <c r="J27" i="19"/>
  <c r="J31" i="19"/>
  <c r="J35" i="19"/>
  <c r="J43" i="19"/>
  <c r="J47" i="19"/>
  <c r="J51" i="19"/>
  <c r="J59" i="19"/>
  <c r="J63" i="19"/>
  <c r="J67" i="19"/>
  <c r="J75" i="19"/>
  <c r="J79" i="19"/>
  <c r="J83" i="19"/>
  <c r="J87" i="19"/>
  <c r="J95" i="19"/>
  <c r="J99" i="19"/>
  <c r="J12" i="19"/>
  <c r="J16" i="19"/>
  <c r="J20" i="19"/>
  <c r="J24" i="19"/>
  <c r="J28" i="19"/>
  <c r="J32" i="19"/>
  <c r="J36" i="19"/>
  <c r="J40" i="19"/>
  <c r="J44" i="19"/>
  <c r="J48" i="19"/>
  <c r="J52" i="19"/>
  <c r="J56" i="19"/>
  <c r="J60" i="19"/>
  <c r="J64" i="19"/>
  <c r="J68" i="19"/>
  <c r="J72" i="19"/>
  <c r="J76" i="19"/>
  <c r="J80" i="19"/>
  <c r="J84" i="19"/>
  <c r="J88" i="19"/>
  <c r="J92" i="19"/>
  <c r="J96" i="19"/>
  <c r="C12" i="19" l="1"/>
  <c r="D12" i="19" s="1"/>
  <c r="D40" i="20"/>
  <c r="N40" i="20" l="1"/>
  <c r="O40" i="20" s="1"/>
  <c r="H40" i="20"/>
  <c r="E39" i="20"/>
  <c r="C13" i="19"/>
  <c r="D13" i="19" s="1"/>
  <c r="D41" i="20"/>
  <c r="N41" i="20" l="1"/>
  <c r="O41" i="20" s="1"/>
  <c r="H41" i="20"/>
  <c r="E40" i="20"/>
  <c r="L41" i="20"/>
  <c r="C14" i="19"/>
  <c r="D14" i="19" s="1"/>
  <c r="D42" i="20"/>
  <c r="N42" i="20" l="1"/>
  <c r="O42" i="20" s="1"/>
  <c r="H42" i="20"/>
  <c r="E41" i="20"/>
  <c r="C15" i="19"/>
  <c r="D15" i="19" s="1"/>
  <c r="E42" i="20" s="1"/>
  <c r="D43" i="20"/>
  <c r="N43" i="20" l="1"/>
  <c r="O43" i="20" s="1"/>
  <c r="H43" i="20"/>
  <c r="L43" i="20"/>
  <c r="C16" i="19"/>
  <c r="D44" i="20"/>
  <c r="N44" i="20" l="1"/>
  <c r="O44" i="20" s="1"/>
  <c r="H44" i="20"/>
  <c r="D16" i="19"/>
  <c r="E43" i="20" s="1"/>
  <c r="L44" i="20"/>
  <c r="C17" i="19"/>
  <c r="D17" i="19" s="1"/>
  <c r="E44" i="20" s="1"/>
  <c r="D45" i="20"/>
  <c r="N45" i="20" l="1"/>
  <c r="O45" i="20" s="1"/>
  <c r="H45" i="20"/>
  <c r="L45" i="20"/>
  <c r="D46" i="20"/>
  <c r="C18" i="19"/>
  <c r="D18" i="19" s="1"/>
  <c r="E45" i="20" s="1"/>
  <c r="N46" i="20" l="1"/>
  <c r="O46" i="20" s="1"/>
  <c r="H46" i="20"/>
  <c r="L46" i="20"/>
  <c r="D47" i="20"/>
  <c r="C19" i="19"/>
  <c r="D19" i="19" s="1"/>
  <c r="E46" i="20" s="1"/>
  <c r="N47" i="20" l="1"/>
  <c r="O47" i="20" s="1"/>
  <c r="H47" i="20"/>
  <c r="L47" i="20"/>
  <c r="D48" i="20"/>
  <c r="C20" i="19"/>
  <c r="D20" i="19" s="1"/>
  <c r="E47" i="20" s="1"/>
  <c r="N48" i="20" l="1"/>
  <c r="O48" i="20" s="1"/>
  <c r="H48" i="20"/>
  <c r="L48" i="20"/>
  <c r="D49" i="20"/>
  <c r="C21" i="19"/>
  <c r="D21" i="19" s="1"/>
  <c r="E48" i="20" s="1"/>
  <c r="N49" i="20" l="1"/>
  <c r="O49" i="20" s="1"/>
  <c r="H49" i="20"/>
  <c r="D50" i="20"/>
  <c r="C22" i="19"/>
  <c r="D22" i="19" s="1"/>
  <c r="N50" i="20" l="1"/>
  <c r="O50" i="20" s="1"/>
  <c r="H50" i="20"/>
  <c r="E49" i="20"/>
  <c r="L50" i="20"/>
  <c r="C23" i="19"/>
  <c r="D23" i="19" s="1"/>
  <c r="E50" i="20" s="1"/>
  <c r="D51" i="20"/>
  <c r="N51" i="20" l="1"/>
  <c r="O51" i="20" s="1"/>
  <c r="H51" i="20"/>
  <c r="L51" i="20"/>
  <c r="D52" i="20"/>
  <c r="C24" i="19"/>
  <c r="D24" i="19" s="1"/>
  <c r="N52" i="20" l="1"/>
  <c r="O52" i="20" s="1"/>
  <c r="H52" i="20"/>
  <c r="L52" i="20"/>
  <c r="E51" i="20"/>
  <c r="D53" i="20"/>
  <c r="C25" i="19"/>
  <c r="D25" i="19" s="1"/>
  <c r="N53" i="20" l="1"/>
  <c r="O53" i="20" s="1"/>
  <c r="H53" i="20"/>
  <c r="E52" i="20"/>
  <c r="L53" i="20"/>
  <c r="D54" i="20"/>
  <c r="C26" i="19"/>
  <c r="D26" i="19" s="1"/>
  <c r="E53" i="20" s="1"/>
  <c r="N54" i="20" l="1"/>
  <c r="O54" i="20" s="1"/>
  <c r="H54" i="20"/>
  <c r="L54" i="20"/>
  <c r="C27" i="19"/>
  <c r="D27" i="19" s="1"/>
  <c r="D55" i="20"/>
  <c r="N55" i="20" l="1"/>
  <c r="O55" i="20" s="1"/>
  <c r="H55" i="20"/>
  <c r="L55" i="20"/>
  <c r="E54" i="20"/>
  <c r="C28" i="19"/>
  <c r="D28" i="19" s="1"/>
  <c r="D56" i="20"/>
  <c r="N56" i="20" l="1"/>
  <c r="O56" i="20" s="1"/>
  <c r="H56" i="20"/>
  <c r="L56" i="20"/>
  <c r="E55" i="20"/>
  <c r="D57" i="20"/>
  <c r="C29" i="19"/>
  <c r="D29" i="19" s="1"/>
  <c r="N57" i="20" l="1"/>
  <c r="O57" i="20" s="1"/>
  <c r="H57" i="20"/>
  <c r="E56" i="20"/>
  <c r="L57" i="20"/>
  <c r="C30" i="19"/>
  <c r="D30" i="19" s="1"/>
  <c r="E57" i="20" s="1"/>
  <c r="D58" i="20"/>
  <c r="N58" i="20" l="1"/>
  <c r="O58" i="20" s="1"/>
  <c r="H58" i="20"/>
  <c r="L58" i="20"/>
  <c r="D59" i="20"/>
  <c r="C31" i="19"/>
  <c r="D31" i="19" s="1"/>
  <c r="E58" i="20" s="1"/>
  <c r="N59" i="20" l="1"/>
  <c r="O59" i="20" s="1"/>
  <c r="H59" i="20"/>
  <c r="L59" i="20"/>
  <c r="C32" i="19"/>
  <c r="D32" i="19" s="1"/>
  <c r="D60" i="20"/>
  <c r="N60" i="20" l="1"/>
  <c r="H60" i="20"/>
  <c r="L60" i="20"/>
  <c r="E59" i="20"/>
  <c r="C33" i="19"/>
  <c r="D33" i="19" s="1"/>
  <c r="D61" i="20"/>
  <c r="N61" i="20" l="1"/>
  <c r="H61" i="20"/>
  <c r="E60" i="20"/>
  <c r="C34" i="19"/>
  <c r="D34" i="19" s="1"/>
  <c r="E61" i="20" s="1"/>
  <c r="D62" i="20"/>
  <c r="L62" i="20" l="1"/>
  <c r="M62" i="20" s="1"/>
  <c r="D63" i="20"/>
  <c r="N63" i="20" s="1"/>
  <c r="C35" i="19"/>
  <c r="D35" i="19" s="1"/>
  <c r="L63" i="20" l="1"/>
  <c r="M63" i="20" s="1"/>
  <c r="E62" i="20"/>
  <c r="D64" i="20"/>
  <c r="N64" i="20" s="1"/>
  <c r="C36" i="19"/>
  <c r="D36" i="19" s="1"/>
  <c r="L64" i="20" l="1"/>
  <c r="M64" i="20" s="1"/>
  <c r="E63" i="20"/>
  <c r="C37" i="19"/>
  <c r="D37" i="19" s="1"/>
  <c r="E64" i="20" s="1"/>
  <c r="D65" i="20"/>
  <c r="N65" i="20" s="1"/>
  <c r="L65" i="20" l="1"/>
  <c r="M65" i="20" s="1"/>
  <c r="D66" i="20"/>
  <c r="N66" i="20" s="1"/>
  <c r="C38" i="19"/>
  <c r="D38" i="19" s="1"/>
  <c r="L66" i="20" l="1"/>
  <c r="M66" i="20" s="1"/>
  <c r="E65" i="20"/>
  <c r="D67" i="20"/>
  <c r="N67" i="20" s="1"/>
  <c r="C39" i="19"/>
  <c r="D39" i="19" s="1"/>
  <c r="L67" i="20" l="1"/>
  <c r="M67" i="20" s="1"/>
  <c r="E66" i="20"/>
  <c r="D68" i="20"/>
  <c r="N68" i="20" s="1"/>
  <c r="C40" i="19"/>
  <c r="D40" i="19" s="1"/>
  <c r="L68" i="20" l="1"/>
  <c r="M68" i="20" s="1"/>
  <c r="E67" i="20"/>
  <c r="D69" i="20"/>
  <c r="C41" i="19"/>
  <c r="D41" i="19" s="1"/>
  <c r="E68" i="20" s="1"/>
  <c r="L69" i="20" l="1"/>
  <c r="M69" i="20" s="1"/>
  <c r="D70" i="20"/>
  <c r="N70" i="20" s="1"/>
  <c r="C42" i="19"/>
  <c r="D42" i="19" s="1"/>
  <c r="E69" i="20" s="1"/>
  <c r="L70" i="20" l="1"/>
  <c r="M70" i="20" s="1"/>
  <c r="C43" i="19"/>
  <c r="D43" i="19" s="1"/>
  <c r="D71" i="20"/>
  <c r="N71" i="20" s="1"/>
  <c r="L71" i="20" l="1"/>
  <c r="M71" i="20" s="1"/>
  <c r="E70" i="20"/>
  <c r="D72" i="20"/>
  <c r="N72" i="20" s="1"/>
  <c r="C44" i="19"/>
  <c r="D44" i="19" s="1"/>
  <c r="L72" i="20" l="1"/>
  <c r="M72" i="20" s="1"/>
  <c r="E71" i="20"/>
  <c r="C45" i="19"/>
  <c r="D45" i="19" s="1"/>
  <c r="D73" i="20"/>
  <c r="N73" i="20" s="1"/>
  <c r="E72" i="20" l="1"/>
  <c r="L73" i="20"/>
  <c r="M73" i="20" s="1"/>
  <c r="D74" i="20"/>
  <c r="N74" i="20" s="1"/>
  <c r="C46" i="19"/>
  <c r="D46" i="19" s="1"/>
  <c r="E73" i="20" s="1"/>
  <c r="L74" i="20" l="1"/>
  <c r="M74" i="20" s="1"/>
  <c r="D75" i="20"/>
  <c r="N75" i="20" s="1"/>
  <c r="C47" i="19"/>
  <c r="D47" i="19" s="1"/>
  <c r="E74" i="20" l="1"/>
  <c r="L75" i="20"/>
  <c r="M75" i="20" s="1"/>
  <c r="D76" i="20"/>
  <c r="N76" i="20" s="1"/>
  <c r="C48" i="19"/>
  <c r="D48" i="19" s="1"/>
  <c r="E75" i="20" s="1"/>
  <c r="L76" i="20" l="1"/>
  <c r="M76" i="20" s="1"/>
  <c r="D77" i="20"/>
  <c r="N77" i="20" s="1"/>
  <c r="C49" i="19"/>
  <c r="D49" i="19" s="1"/>
  <c r="E76" i="20" s="1"/>
  <c r="L77" i="20" l="1"/>
  <c r="M77" i="20" s="1"/>
  <c r="D78" i="20"/>
  <c r="N78" i="20" s="1"/>
  <c r="C50" i="19"/>
  <c r="D50" i="19" s="1"/>
  <c r="E77" i="20" s="1"/>
  <c r="L78" i="20" l="1"/>
  <c r="M78" i="20" s="1"/>
  <c r="C51" i="19"/>
  <c r="D51" i="19" s="1"/>
  <c r="E78" i="20" s="1"/>
  <c r="D79" i="20"/>
  <c r="N79" i="20" s="1"/>
  <c r="L79" i="20" l="1"/>
  <c r="M79" i="20" s="1"/>
  <c r="D80" i="20"/>
  <c r="N80" i="20" s="1"/>
  <c r="C52" i="19"/>
  <c r="D52" i="19" s="1"/>
  <c r="L80" i="20" l="1"/>
  <c r="M80" i="20" s="1"/>
  <c r="E79" i="20"/>
  <c r="D81" i="20"/>
  <c r="N81" i="20" s="1"/>
  <c r="C53" i="19"/>
  <c r="D53" i="19" s="1"/>
  <c r="E80" i="20" s="1"/>
  <c r="L81" i="20" l="1"/>
  <c r="M81" i="20" s="1"/>
  <c r="D82" i="20"/>
  <c r="N82" i="20" s="1"/>
  <c r="C54" i="19"/>
  <c r="D54" i="19" s="1"/>
  <c r="E81" i="20" s="1"/>
  <c r="L82" i="20" l="1"/>
  <c r="M82" i="20" s="1"/>
  <c r="D83" i="20"/>
  <c r="N83" i="20" s="1"/>
  <c r="C55" i="19"/>
  <c r="D55" i="19" s="1"/>
  <c r="L83" i="20" l="1"/>
  <c r="M83" i="20" s="1"/>
  <c r="E82" i="20"/>
  <c r="D84" i="20"/>
  <c r="N84" i="20" s="1"/>
  <c r="C56" i="19"/>
  <c r="D56" i="19" s="1"/>
  <c r="L84" i="20" l="1"/>
  <c r="M84" i="20" s="1"/>
  <c r="E83" i="20"/>
  <c r="D85" i="20"/>
  <c r="N85" i="20" s="1"/>
  <c r="C57" i="19"/>
  <c r="D57" i="19" s="1"/>
  <c r="E84" i="20" s="1"/>
  <c r="L85" i="20" l="1"/>
  <c r="M85" i="20" s="1"/>
  <c r="D86" i="20"/>
  <c r="N86" i="20" s="1"/>
  <c r="C58" i="19"/>
  <c r="D58" i="19" s="1"/>
  <c r="L86" i="20" l="1"/>
  <c r="M86" i="20" s="1"/>
  <c r="E85" i="20"/>
  <c r="D87" i="20"/>
  <c r="N87" i="20" s="1"/>
  <c r="C59" i="19"/>
  <c r="D59" i="19" s="1"/>
  <c r="E86" i="20" s="1"/>
  <c r="L87" i="20" l="1"/>
  <c r="M87" i="20" s="1"/>
  <c r="D88" i="20"/>
  <c r="N88" i="20" s="1"/>
  <c r="C60" i="19"/>
  <c r="D60" i="19" s="1"/>
  <c r="E87" i="20" s="1"/>
  <c r="L88" i="20" l="1"/>
  <c r="M88" i="20" s="1"/>
  <c r="C61" i="19"/>
  <c r="D61" i="19" s="1"/>
  <c r="E88" i="20" s="1"/>
  <c r="D89" i="20"/>
  <c r="N89" i="20" s="1"/>
  <c r="L89" i="20" l="1"/>
  <c r="M89" i="20" s="1"/>
  <c r="D90" i="20"/>
  <c r="N90" i="20" s="1"/>
  <c r="C62" i="19"/>
  <c r="D62" i="19" s="1"/>
  <c r="E89" i="20" s="1"/>
  <c r="L90" i="20" l="1"/>
  <c r="M90" i="20" s="1"/>
  <c r="D91" i="20"/>
  <c r="N91" i="20" s="1"/>
  <c r="C63" i="19"/>
  <c r="D63" i="19" s="1"/>
  <c r="E90" i="20" s="1"/>
  <c r="L91" i="20" l="1"/>
  <c r="M91" i="20" s="1"/>
  <c r="D92" i="20"/>
  <c r="N92" i="20" s="1"/>
  <c r="C64" i="19"/>
  <c r="D64" i="19" s="1"/>
  <c r="L92" i="20" l="1"/>
  <c r="M92" i="20" s="1"/>
  <c r="E91" i="20"/>
  <c r="D93" i="20"/>
  <c r="C65" i="19"/>
  <c r="D65" i="19" s="1"/>
  <c r="E92" i="20" s="1"/>
  <c r="N93" i="20" l="1"/>
  <c r="H93" i="20"/>
  <c r="L93" i="20"/>
  <c r="M93" i="20" s="1"/>
  <c r="C66" i="19"/>
  <c r="D94" i="20"/>
  <c r="N94" i="20" l="1"/>
  <c r="H94" i="20"/>
  <c r="D66" i="19"/>
  <c r="E93" i="20" s="1"/>
  <c r="L94" i="20"/>
  <c r="M94" i="20" s="1"/>
  <c r="D95" i="20"/>
  <c r="C67" i="19"/>
  <c r="N95" i="20" l="1"/>
  <c r="H95" i="20"/>
  <c r="D67" i="19"/>
  <c r="E94" i="20" s="1"/>
  <c r="L95" i="20"/>
  <c r="M95" i="20" s="1"/>
  <c r="C68" i="19"/>
  <c r="D68" i="19" s="1"/>
  <c r="E95" i="20" s="1"/>
  <c r="D96" i="20"/>
  <c r="N96" i="20" l="1"/>
  <c r="H96" i="20"/>
  <c r="L96" i="20"/>
  <c r="M96" i="20" s="1"/>
  <c r="D97" i="20"/>
  <c r="C69" i="19"/>
  <c r="D69" i="19" s="1"/>
  <c r="E96" i="20" s="1"/>
  <c r="N97" i="20" l="1"/>
  <c r="H97" i="20"/>
  <c r="L97" i="20"/>
  <c r="M97" i="20" s="1"/>
  <c r="D98" i="20"/>
  <c r="C70" i="19"/>
  <c r="D70" i="19" s="1"/>
  <c r="E97" i="20" s="1"/>
  <c r="N98" i="20" l="1"/>
  <c r="H98" i="20"/>
  <c r="L98" i="20"/>
  <c r="M98" i="20" s="1"/>
  <c r="F98" i="20"/>
  <c r="E98" i="20"/>
  <c r="R98" i="20"/>
  <c r="U98" i="20"/>
  <c r="G98" i="20"/>
  <c r="D99" i="20"/>
  <c r="C71" i="19"/>
  <c r="D71" i="19" s="1"/>
  <c r="N99" i="20" l="1"/>
  <c r="H99" i="20"/>
  <c r="L99" i="20"/>
  <c r="M99" i="20" s="1"/>
  <c r="R99" i="20"/>
  <c r="U99" i="20"/>
  <c r="G99" i="20"/>
  <c r="F99" i="20"/>
  <c r="E99" i="20"/>
  <c r="C72" i="19"/>
  <c r="D72" i="19" s="1"/>
  <c r="D100" i="20"/>
  <c r="N100" i="20" l="1"/>
  <c r="H100" i="20"/>
  <c r="L100" i="20"/>
  <c r="M100" i="20" s="1"/>
  <c r="F100" i="20"/>
  <c r="R100" i="20"/>
  <c r="G100" i="20"/>
  <c r="E100" i="20"/>
  <c r="U100" i="20"/>
  <c r="C73" i="19"/>
  <c r="D73" i="19" s="1"/>
  <c r="D101" i="20"/>
  <c r="N101" i="20" l="1"/>
  <c r="H101" i="20"/>
  <c r="L101" i="20"/>
  <c r="M101" i="20" s="1"/>
  <c r="R101" i="20"/>
  <c r="G101" i="20"/>
  <c r="U101" i="20"/>
  <c r="E101" i="20"/>
  <c r="F101" i="20"/>
  <c r="C74" i="19"/>
  <c r="D74" i="19" s="1"/>
  <c r="D102" i="20"/>
  <c r="N102" i="20" l="1"/>
  <c r="H102" i="20"/>
  <c r="L102" i="20"/>
  <c r="M102" i="20" s="1"/>
  <c r="F102" i="20"/>
  <c r="R102" i="20"/>
  <c r="E102" i="20"/>
  <c r="U102" i="20"/>
  <c r="G102" i="20"/>
  <c r="C75" i="19"/>
  <c r="D75" i="19" s="1"/>
  <c r="D103" i="20"/>
  <c r="N103" i="20" l="1"/>
  <c r="H103" i="20"/>
  <c r="L103" i="20"/>
  <c r="M103" i="20" s="1"/>
  <c r="U103" i="20"/>
  <c r="G103" i="20"/>
  <c r="R103" i="20"/>
  <c r="E103" i="20"/>
  <c r="F103" i="20"/>
  <c r="C76" i="19"/>
  <c r="D76" i="19" s="1"/>
  <c r="D104" i="20"/>
  <c r="N104" i="20" l="1"/>
  <c r="H104" i="20"/>
  <c r="L104" i="20"/>
  <c r="M104" i="20" s="1"/>
  <c r="F104" i="20"/>
  <c r="U104" i="20"/>
  <c r="E104" i="20"/>
  <c r="R104" i="20"/>
  <c r="G104" i="20"/>
  <c r="C77" i="19"/>
  <c r="D77" i="19" s="1"/>
  <c r="D105" i="20"/>
  <c r="N105" i="20" l="1"/>
  <c r="H105" i="20"/>
  <c r="L105" i="20"/>
  <c r="M105" i="20" s="1"/>
  <c r="U105" i="20"/>
  <c r="G105" i="20"/>
  <c r="R105" i="20"/>
  <c r="F105" i="20"/>
  <c r="E105" i="20"/>
  <c r="C78" i="19"/>
  <c r="D78" i="19" s="1"/>
  <c r="D106" i="20"/>
  <c r="N106" i="20" l="1"/>
  <c r="H106" i="20"/>
  <c r="L106" i="20"/>
  <c r="M106" i="20" s="1"/>
  <c r="F106" i="20"/>
  <c r="G106" i="20"/>
  <c r="E106" i="20"/>
  <c r="R106" i="20"/>
  <c r="U106" i="20"/>
  <c r="C79" i="19"/>
  <c r="D79" i="19" s="1"/>
  <c r="D107" i="20"/>
  <c r="H107" i="20" s="1"/>
  <c r="D17" i="22" l="1"/>
  <c r="N107" i="20"/>
  <c r="L107" i="20"/>
  <c r="M107" i="20" s="1"/>
  <c r="R107" i="20"/>
  <c r="G107" i="20"/>
  <c r="E107" i="20"/>
  <c r="U107" i="20"/>
  <c r="F107" i="20"/>
  <c r="C80" i="19"/>
  <c r="D80" i="19" s="1"/>
  <c r="D108" i="20"/>
  <c r="N108" i="20" l="1"/>
  <c r="H108" i="20"/>
  <c r="L108" i="20"/>
  <c r="M108" i="20" s="1"/>
  <c r="F108" i="20"/>
  <c r="R108" i="20"/>
  <c r="E108" i="20"/>
  <c r="G108" i="20"/>
  <c r="U108" i="20"/>
  <c r="C81" i="19"/>
  <c r="D81" i="19" s="1"/>
  <c r="D109" i="20"/>
  <c r="N109" i="20" l="1"/>
  <c r="H109" i="20"/>
  <c r="L109" i="20"/>
  <c r="M109" i="20" s="1"/>
  <c r="E109" i="20"/>
  <c r="G109" i="20"/>
  <c r="U109" i="20"/>
  <c r="F109" i="20"/>
  <c r="R109" i="20"/>
  <c r="C82" i="19"/>
  <c r="D82" i="19" s="1"/>
  <c r="D110" i="20"/>
  <c r="N110" i="20" l="1"/>
  <c r="H110" i="20"/>
  <c r="L110" i="20"/>
  <c r="M110" i="20" s="1"/>
  <c r="F110" i="20"/>
  <c r="E110" i="20"/>
  <c r="U110" i="20"/>
  <c r="G110" i="20"/>
  <c r="R110" i="20"/>
  <c r="C83" i="19"/>
  <c r="D83" i="19" s="1"/>
  <c r="D111" i="20"/>
  <c r="N111" i="20" l="1"/>
  <c r="H111" i="20"/>
  <c r="L111" i="20"/>
  <c r="M111" i="20" s="1"/>
  <c r="U111" i="20"/>
  <c r="G111" i="20"/>
  <c r="E111" i="20"/>
  <c r="R111" i="20"/>
  <c r="F111" i="20"/>
  <c r="C84" i="19"/>
  <c r="D84" i="19" s="1"/>
  <c r="D112" i="20"/>
  <c r="N112" i="20" l="1"/>
  <c r="H112" i="20"/>
  <c r="L112" i="20"/>
  <c r="M112" i="20" s="1"/>
  <c r="F112" i="20"/>
  <c r="U112" i="20"/>
  <c r="E112" i="20"/>
  <c r="R112" i="20"/>
  <c r="G112" i="20"/>
  <c r="C85" i="19"/>
  <c r="D85" i="19" s="1"/>
  <c r="D113" i="20"/>
  <c r="N113" i="20" l="1"/>
  <c r="H113" i="20"/>
  <c r="L113" i="20"/>
  <c r="M113" i="20" s="1"/>
  <c r="R113" i="20"/>
  <c r="E113" i="20"/>
  <c r="G113" i="20"/>
  <c r="U113" i="20"/>
  <c r="F113" i="20"/>
  <c r="C86" i="19"/>
  <c r="D86" i="19" s="1"/>
  <c r="D114" i="20"/>
  <c r="N114" i="20" l="1"/>
  <c r="H114" i="20"/>
  <c r="L114" i="20"/>
  <c r="M114" i="20" s="1"/>
  <c r="F114" i="20"/>
  <c r="U114" i="20"/>
  <c r="G114" i="20"/>
  <c r="E114" i="20"/>
  <c r="R114" i="20"/>
  <c r="C87" i="19"/>
  <c r="D87" i="19" s="1"/>
  <c r="D115" i="20"/>
  <c r="N115" i="20" l="1"/>
  <c r="H115" i="20"/>
  <c r="L115" i="20"/>
  <c r="M115" i="20" s="1"/>
  <c r="R115" i="20"/>
  <c r="G115" i="20"/>
  <c r="E115" i="20"/>
  <c r="F115" i="20"/>
  <c r="U115" i="20"/>
  <c r="C88" i="19"/>
  <c r="D88" i="19" s="1"/>
  <c r="D116" i="20"/>
  <c r="N116" i="20" l="1"/>
  <c r="H116" i="20"/>
  <c r="L116" i="20"/>
  <c r="M116" i="20" s="1"/>
  <c r="F116" i="20"/>
  <c r="R116" i="20"/>
  <c r="E116" i="20"/>
  <c r="G116" i="20"/>
  <c r="U116" i="20"/>
  <c r="C89" i="19"/>
  <c r="D89" i="19" s="1"/>
  <c r="D117" i="20"/>
  <c r="N117" i="20" l="1"/>
  <c r="H117" i="20"/>
  <c r="L117" i="20"/>
  <c r="M117" i="20" s="1"/>
  <c r="G117" i="20"/>
  <c r="U117" i="20"/>
  <c r="R117" i="20"/>
  <c r="F117" i="20"/>
  <c r="E117" i="20"/>
  <c r="C90" i="19"/>
  <c r="D90" i="19" s="1"/>
  <c r="D118" i="20"/>
  <c r="N118" i="20" l="1"/>
  <c r="H118" i="20"/>
  <c r="L118" i="20"/>
  <c r="M118" i="20" s="1"/>
  <c r="F118" i="20"/>
  <c r="E118" i="20"/>
  <c r="U118" i="20"/>
  <c r="R118" i="20"/>
  <c r="G118" i="20"/>
  <c r="C91" i="19"/>
  <c r="D91" i="19" s="1"/>
  <c r="D119" i="20"/>
  <c r="N119" i="20" l="1"/>
  <c r="H119" i="20"/>
  <c r="L119" i="20"/>
  <c r="M119" i="20" s="1"/>
  <c r="U119" i="20"/>
  <c r="R119" i="20"/>
  <c r="G119" i="20"/>
  <c r="E119" i="20"/>
  <c r="F119" i="20"/>
  <c r="C92" i="19"/>
  <c r="D92" i="19" s="1"/>
  <c r="D120" i="20"/>
  <c r="N120" i="20" l="1"/>
  <c r="H120" i="20"/>
  <c r="L120" i="20"/>
  <c r="M120" i="20" s="1"/>
  <c r="F120" i="20"/>
  <c r="U120" i="20"/>
  <c r="E120" i="20"/>
  <c r="G120" i="20"/>
  <c r="R120" i="20"/>
  <c r="C93" i="19"/>
  <c r="D93" i="19" s="1"/>
  <c r="D121" i="20"/>
  <c r="N121" i="20" l="1"/>
  <c r="H121" i="20"/>
  <c r="L121" i="20"/>
  <c r="M121" i="20" s="1"/>
  <c r="U121" i="20"/>
  <c r="G121" i="20"/>
  <c r="R121" i="20"/>
  <c r="E121" i="20"/>
  <c r="F121" i="20"/>
  <c r="C94" i="19"/>
  <c r="D94" i="19" s="1"/>
  <c r="D122" i="20"/>
  <c r="N122" i="20" l="1"/>
  <c r="H122" i="20"/>
  <c r="L122" i="20"/>
  <c r="M122" i="20" s="1"/>
  <c r="F122" i="20"/>
  <c r="E122" i="20"/>
  <c r="R122" i="20"/>
  <c r="U122" i="20"/>
  <c r="G122" i="20"/>
  <c r="C95" i="19"/>
  <c r="D95" i="19" s="1"/>
  <c r="D123" i="20"/>
  <c r="N123" i="20" l="1"/>
  <c r="H123" i="20"/>
  <c r="L123" i="20"/>
  <c r="M123" i="20" s="1"/>
  <c r="R123" i="20"/>
  <c r="U123" i="20"/>
  <c r="G123" i="20"/>
  <c r="E123" i="20"/>
  <c r="F123" i="20"/>
  <c r="C96" i="19"/>
  <c r="D96" i="19" s="1"/>
  <c r="D124" i="20"/>
  <c r="N124" i="20" l="1"/>
  <c r="H124" i="20"/>
  <c r="L124" i="20"/>
  <c r="M124" i="20" s="1"/>
  <c r="F124" i="20"/>
  <c r="R124" i="20"/>
  <c r="G124" i="20"/>
  <c r="E124" i="20"/>
  <c r="U124" i="20"/>
  <c r="C97" i="19"/>
  <c r="D97" i="19" s="1"/>
  <c r="D125" i="20"/>
  <c r="N125" i="20" l="1"/>
  <c r="H125" i="20"/>
  <c r="L125" i="20"/>
  <c r="M125" i="20" s="1"/>
  <c r="U125" i="20"/>
  <c r="G125" i="20"/>
  <c r="E125" i="20"/>
  <c r="R125" i="20"/>
  <c r="F125" i="20"/>
  <c r="C98" i="19"/>
  <c r="D98" i="19" s="1"/>
  <c r="D126" i="20"/>
  <c r="N126" i="20" l="1"/>
  <c r="H126" i="20"/>
  <c r="L126" i="20"/>
  <c r="M126" i="20" s="1"/>
  <c r="F126" i="20"/>
  <c r="R126" i="20"/>
  <c r="E126" i="20"/>
  <c r="U126" i="20"/>
  <c r="G126" i="20"/>
  <c r="C99" i="19"/>
  <c r="D99" i="19" s="1"/>
  <c r="D127" i="20"/>
  <c r="N127" i="20" l="1"/>
  <c r="H127" i="20"/>
  <c r="L127" i="20"/>
  <c r="M127" i="20" s="1"/>
  <c r="U127" i="20"/>
  <c r="G127" i="20"/>
  <c r="E127" i="20"/>
  <c r="F127" i="20"/>
  <c r="R127" i="20"/>
  <c r="C100" i="19"/>
  <c r="D100" i="19" s="1"/>
  <c r="D128" i="20"/>
  <c r="N128" i="20" l="1"/>
  <c r="H128" i="20"/>
  <c r="L128" i="20"/>
  <c r="M128" i="20" s="1"/>
  <c r="F128" i="20"/>
  <c r="U128" i="20"/>
  <c r="E128" i="20"/>
  <c r="R128" i="20"/>
  <c r="G128" i="20"/>
  <c r="C101" i="19"/>
  <c r="D101" i="19" s="1"/>
  <c r="D129" i="20"/>
  <c r="N129" i="20" l="1"/>
  <c r="H129" i="20"/>
  <c r="D18" i="22"/>
  <c r="T36" i="20" s="1"/>
  <c r="L129" i="20"/>
  <c r="M129" i="20" s="1"/>
  <c r="R129" i="20"/>
  <c r="G129" i="20"/>
  <c r="E129" i="20"/>
  <c r="E29" i="20" s="1"/>
  <c r="J22" i="14" s="1"/>
  <c r="P22" i="14" s="1"/>
  <c r="F129" i="20"/>
  <c r="U129" i="20"/>
  <c r="C102" i="19"/>
  <c r="D102" i="19" s="1"/>
  <c r="Q36" i="20" l="1"/>
  <c r="B33" i="20"/>
  <c r="J156" i="14"/>
  <c r="J148" i="14"/>
  <c r="J140" i="14"/>
  <c r="J132" i="14"/>
  <c r="J124" i="14"/>
  <c r="J214" i="16"/>
  <c r="J206" i="16"/>
  <c r="J198" i="16"/>
  <c r="J190" i="16"/>
  <c r="J182" i="16"/>
  <c r="J163" i="17"/>
  <c r="J155" i="17"/>
  <c r="J217" i="14"/>
  <c r="J215" i="14"/>
  <c r="J213" i="14"/>
  <c r="J211" i="14"/>
  <c r="J209" i="14"/>
  <c r="J207" i="14"/>
  <c r="J205" i="14"/>
  <c r="J203" i="14"/>
  <c r="J201" i="14"/>
  <c r="J199" i="14"/>
  <c r="J197" i="14"/>
  <c r="J195" i="14"/>
  <c r="J193" i="14"/>
  <c r="J191" i="14"/>
  <c r="J189" i="14"/>
  <c r="J187" i="14"/>
  <c r="J185" i="14"/>
  <c r="J183" i="14"/>
  <c r="J181" i="14"/>
  <c r="J179" i="14"/>
  <c r="J177" i="14"/>
  <c r="J175" i="14"/>
  <c r="J173" i="14"/>
  <c r="J171" i="14"/>
  <c r="J169" i="14"/>
  <c r="J167" i="14"/>
  <c r="J165" i="14"/>
  <c r="J163" i="14"/>
  <c r="J161" i="14"/>
  <c r="J153" i="14"/>
  <c r="J145" i="14"/>
  <c r="J137" i="14"/>
  <c r="J129" i="14"/>
  <c r="J121" i="14"/>
  <c r="J211" i="16"/>
  <c r="J203" i="16"/>
  <c r="J195" i="16"/>
  <c r="J187" i="16"/>
  <c r="J179" i="16"/>
  <c r="J174" i="16"/>
  <c r="J172" i="16"/>
  <c r="J170" i="16"/>
  <c r="J168" i="16"/>
  <c r="J166" i="16"/>
  <c r="J164" i="16"/>
  <c r="J162" i="16"/>
  <c r="J160" i="16"/>
  <c r="J158" i="16"/>
  <c r="J156" i="16"/>
  <c r="J154" i="16"/>
  <c r="J152" i="16"/>
  <c r="J150" i="16"/>
  <c r="J148" i="16"/>
  <c r="J146" i="16"/>
  <c r="J144" i="16"/>
  <c r="J142" i="16"/>
  <c r="J140" i="16"/>
  <c r="J138" i="16"/>
  <c r="J136" i="16"/>
  <c r="J134" i="16"/>
  <c r="J132" i="16"/>
  <c r="J130" i="16"/>
  <c r="J128" i="16"/>
  <c r="J126" i="16"/>
  <c r="J124" i="16"/>
  <c r="J122" i="16"/>
  <c r="J120" i="16"/>
  <c r="J216" i="17"/>
  <c r="J214" i="17"/>
  <c r="J212" i="17"/>
  <c r="J210" i="17"/>
  <c r="J208" i="17"/>
  <c r="J206" i="17"/>
  <c r="J204" i="17"/>
  <c r="J202" i="17"/>
  <c r="J200" i="17"/>
  <c r="J198" i="17"/>
  <c r="J196" i="17"/>
  <c r="J194" i="17"/>
  <c r="J192" i="17"/>
  <c r="J190" i="17"/>
  <c r="J188" i="17"/>
  <c r="J186" i="17"/>
  <c r="J184" i="17"/>
  <c r="J158" i="14"/>
  <c r="J150" i="14"/>
  <c r="J142" i="14"/>
  <c r="J134" i="14"/>
  <c r="J126" i="14"/>
  <c r="J216" i="16"/>
  <c r="J208" i="16"/>
  <c r="J200" i="16"/>
  <c r="J192" i="16"/>
  <c r="J216" i="14"/>
  <c r="J214" i="14"/>
  <c r="J212" i="14"/>
  <c r="J210" i="14"/>
  <c r="J208" i="14"/>
  <c r="J206" i="14"/>
  <c r="J204" i="14"/>
  <c r="J202" i="14"/>
  <c r="J200" i="14"/>
  <c r="J198" i="14"/>
  <c r="J196" i="14"/>
  <c r="J194" i="14"/>
  <c r="J192" i="14"/>
  <c r="J190" i="14"/>
  <c r="J188" i="14"/>
  <c r="J186" i="14"/>
  <c r="J184" i="14"/>
  <c r="J182" i="14"/>
  <c r="J180" i="14"/>
  <c r="J178" i="14"/>
  <c r="J176" i="14"/>
  <c r="J174" i="14"/>
  <c r="J172" i="14"/>
  <c r="J170" i="14"/>
  <c r="J168" i="14"/>
  <c r="J166" i="14"/>
  <c r="J164" i="14"/>
  <c r="J162" i="14"/>
  <c r="J157" i="14"/>
  <c r="J149" i="14"/>
  <c r="J141" i="14"/>
  <c r="J133" i="14"/>
  <c r="J125" i="14"/>
  <c r="J215" i="16"/>
  <c r="J207" i="16"/>
  <c r="J199" i="16"/>
  <c r="J191" i="16"/>
  <c r="J183" i="16"/>
  <c r="J175" i="16"/>
  <c r="J173" i="16"/>
  <c r="J171" i="16"/>
  <c r="J169" i="16"/>
  <c r="J167" i="16"/>
  <c r="J165" i="16"/>
  <c r="J163" i="16"/>
  <c r="J161" i="16"/>
  <c r="J159" i="16"/>
  <c r="J157" i="16"/>
  <c r="J155" i="16"/>
  <c r="J153" i="16"/>
  <c r="J151" i="16"/>
  <c r="J149" i="16"/>
  <c r="J147" i="16"/>
  <c r="J145" i="16"/>
  <c r="J143" i="16"/>
  <c r="J141" i="16"/>
  <c r="J139" i="16"/>
  <c r="J137" i="16"/>
  <c r="J135" i="16"/>
  <c r="J133" i="16"/>
  <c r="J131" i="16"/>
  <c r="J129" i="16"/>
  <c r="J127" i="16"/>
  <c r="J125" i="16"/>
  <c r="J123" i="16"/>
  <c r="J121" i="16"/>
  <c r="J217" i="17"/>
  <c r="J215" i="17"/>
  <c r="J213" i="17"/>
  <c r="J211" i="17"/>
  <c r="J209" i="17"/>
  <c r="J207" i="17"/>
  <c r="J205" i="17"/>
  <c r="J203" i="17"/>
  <c r="J201" i="17"/>
  <c r="J199" i="17"/>
  <c r="J197" i="17"/>
  <c r="J195" i="17"/>
  <c r="J193" i="17"/>
  <c r="J191" i="17"/>
  <c r="J189" i="17"/>
  <c r="J187" i="17"/>
  <c r="J185" i="17"/>
  <c r="J183" i="17"/>
  <c r="J181" i="17"/>
  <c r="J167" i="17"/>
  <c r="J156" i="17"/>
  <c r="J153" i="17"/>
  <c r="J145" i="17"/>
  <c r="J137" i="17"/>
  <c r="J129" i="17"/>
  <c r="J121" i="17"/>
  <c r="J213" i="16"/>
  <c r="J166" i="17"/>
  <c r="J144" i="17"/>
  <c r="J120" i="17"/>
  <c r="J178" i="16"/>
  <c r="J133" i="17"/>
  <c r="J148" i="17"/>
  <c r="J179" i="17"/>
  <c r="J177" i="17"/>
  <c r="J175" i="17"/>
  <c r="J173" i="17"/>
  <c r="J171" i="17"/>
  <c r="J169" i="17"/>
  <c r="J164" i="17"/>
  <c r="J161" i="17"/>
  <c r="J150" i="17"/>
  <c r="J142" i="17"/>
  <c r="J134" i="17"/>
  <c r="J126" i="17"/>
  <c r="J131" i="17"/>
  <c r="J147" i="14"/>
  <c r="J144" i="14"/>
  <c r="J131" i="14"/>
  <c r="J128" i="14"/>
  <c r="J210" i="16"/>
  <c r="J128" i="17"/>
  <c r="J181" i="16"/>
  <c r="J160" i="17"/>
  <c r="J149" i="17"/>
  <c r="J125" i="17"/>
  <c r="J124" i="17"/>
  <c r="J154" i="14"/>
  <c r="J151" i="14"/>
  <c r="J138" i="14"/>
  <c r="J135" i="14"/>
  <c r="J122" i="14"/>
  <c r="J217" i="16"/>
  <c r="J204" i="16"/>
  <c r="J201" i="16"/>
  <c r="J188" i="16"/>
  <c r="J185" i="16"/>
  <c r="J176" i="16"/>
  <c r="J158" i="17"/>
  <c r="J147" i="17"/>
  <c r="J139" i="17"/>
  <c r="J123" i="17"/>
  <c r="J160" i="14"/>
  <c r="J197" i="16"/>
  <c r="J194" i="16"/>
  <c r="J152" i="17"/>
  <c r="J136" i="17"/>
  <c r="J141" i="17"/>
  <c r="J132" i="17"/>
  <c r="J184" i="16"/>
  <c r="J180" i="17"/>
  <c r="J178" i="17"/>
  <c r="J176" i="17"/>
  <c r="J174" i="17"/>
  <c r="J172" i="17"/>
  <c r="J170" i="17"/>
  <c r="J168" i="17"/>
  <c r="J157" i="17"/>
  <c r="J154" i="17"/>
  <c r="J146" i="17"/>
  <c r="J138" i="17"/>
  <c r="J130" i="17"/>
  <c r="J122" i="17"/>
  <c r="J159" i="14"/>
  <c r="J146" i="14"/>
  <c r="J143" i="14"/>
  <c r="J130" i="14"/>
  <c r="J127" i="14"/>
  <c r="J212" i="16"/>
  <c r="J209" i="16"/>
  <c r="J196" i="16"/>
  <c r="J193" i="16"/>
  <c r="J182" i="17"/>
  <c r="J165" i="17"/>
  <c r="J162" i="17"/>
  <c r="J151" i="17"/>
  <c r="J143" i="17"/>
  <c r="J135" i="17"/>
  <c r="J127" i="17"/>
  <c r="J155" i="14"/>
  <c r="J152" i="14"/>
  <c r="J139" i="14"/>
  <c r="J136" i="14"/>
  <c r="J123" i="14"/>
  <c r="J120" i="14"/>
  <c r="J205" i="16"/>
  <c r="J202" i="16"/>
  <c r="J189" i="16"/>
  <c r="J186" i="16"/>
  <c r="J180" i="16"/>
  <c r="J177" i="16"/>
  <c r="J159" i="17"/>
  <c r="J140" i="17"/>
  <c r="J218" i="17"/>
  <c r="J119" i="17"/>
  <c r="J117" i="17"/>
  <c r="J115" i="17"/>
  <c r="J113" i="17"/>
  <c r="J111" i="17"/>
  <c r="J109" i="17"/>
  <c r="J107" i="17"/>
  <c r="J105" i="17"/>
  <c r="J103" i="17"/>
  <c r="J101" i="17"/>
  <c r="J99" i="17"/>
  <c r="J97" i="17"/>
  <c r="J95" i="17"/>
  <c r="J93" i="17"/>
  <c r="J91" i="17"/>
  <c r="J89" i="17"/>
  <c r="J87" i="17"/>
  <c r="J85" i="17"/>
  <c r="J83" i="17"/>
  <c r="J81" i="17"/>
  <c r="J79" i="17"/>
  <c r="J77" i="17"/>
  <c r="J75" i="17"/>
  <c r="J73" i="17"/>
  <c r="J71" i="17"/>
  <c r="J69" i="17"/>
  <c r="J67" i="17"/>
  <c r="J65" i="17"/>
  <c r="J63" i="17"/>
  <c r="J61" i="17"/>
  <c r="J59" i="17"/>
  <c r="J57" i="17"/>
  <c r="J55" i="17"/>
  <c r="J53" i="17"/>
  <c r="J51" i="17"/>
  <c r="J49" i="17"/>
  <c r="J47" i="17"/>
  <c r="J45" i="17"/>
  <c r="J43" i="17"/>
  <c r="J41" i="17"/>
  <c r="J39" i="17"/>
  <c r="J37" i="17"/>
  <c r="J35" i="17"/>
  <c r="J33" i="17"/>
  <c r="J31" i="17"/>
  <c r="J29" i="17"/>
  <c r="J27" i="17"/>
  <c r="J25" i="17"/>
  <c r="J23" i="17"/>
  <c r="P23" i="17" s="1"/>
  <c r="N69" i="20" s="1"/>
  <c r="J22" i="17"/>
  <c r="P22" i="17" s="1"/>
  <c r="N62" i="20" s="1"/>
  <c r="J118" i="16"/>
  <c r="J116" i="16"/>
  <c r="J114" i="16"/>
  <c r="J112" i="16"/>
  <c r="J110" i="16"/>
  <c r="J108" i="16"/>
  <c r="J106" i="16"/>
  <c r="J104" i="16"/>
  <c r="J102" i="16"/>
  <c r="J118" i="17"/>
  <c r="J114" i="17"/>
  <c r="J110" i="17"/>
  <c r="J106" i="17"/>
  <c r="J102" i="17"/>
  <c r="J98" i="17"/>
  <c r="J94" i="17"/>
  <c r="J90" i="17"/>
  <c r="J86" i="17"/>
  <c r="J82" i="17"/>
  <c r="J78" i="17"/>
  <c r="J74" i="17"/>
  <c r="J70" i="17"/>
  <c r="J66" i="17"/>
  <c r="J62" i="17"/>
  <c r="J58" i="17"/>
  <c r="J54" i="17"/>
  <c r="J50" i="17"/>
  <c r="J46" i="17"/>
  <c r="J42" i="17"/>
  <c r="J38" i="17"/>
  <c r="J34" i="17"/>
  <c r="J30" i="17"/>
  <c r="J26" i="17"/>
  <c r="J119" i="16"/>
  <c r="J115" i="16"/>
  <c r="J111" i="16"/>
  <c r="J107" i="16"/>
  <c r="J103" i="16"/>
  <c r="J100" i="16"/>
  <c r="J98" i="16"/>
  <c r="J96" i="16"/>
  <c r="J94" i="16"/>
  <c r="J92" i="16"/>
  <c r="J90" i="16"/>
  <c r="J88" i="16"/>
  <c r="J86" i="16"/>
  <c r="J84" i="16"/>
  <c r="J82" i="16"/>
  <c r="J80" i="16"/>
  <c r="J78" i="16"/>
  <c r="J76" i="16"/>
  <c r="J74" i="16"/>
  <c r="J72" i="16"/>
  <c r="J70" i="16"/>
  <c r="J68" i="16"/>
  <c r="J66" i="16"/>
  <c r="J64" i="16"/>
  <c r="J62" i="16"/>
  <c r="J60" i="16"/>
  <c r="J58" i="16"/>
  <c r="J56" i="16"/>
  <c r="J54" i="16"/>
  <c r="J52" i="16"/>
  <c r="J50" i="16"/>
  <c r="J48" i="16"/>
  <c r="J46" i="16"/>
  <c r="J44" i="16"/>
  <c r="J42" i="16"/>
  <c r="J40" i="16"/>
  <c r="J38" i="16"/>
  <c r="J36" i="16"/>
  <c r="J34" i="16"/>
  <c r="J32" i="16"/>
  <c r="J30" i="16"/>
  <c r="J28" i="16"/>
  <c r="J26" i="16"/>
  <c r="J24" i="16"/>
  <c r="J22" i="16"/>
  <c r="P22" i="16" s="1"/>
  <c r="J116" i="17"/>
  <c r="J108" i="17"/>
  <c r="J100" i="17"/>
  <c r="J92" i="17"/>
  <c r="J84" i="17"/>
  <c r="J76" i="17"/>
  <c r="J68" i="17"/>
  <c r="J60" i="17"/>
  <c r="J52" i="17"/>
  <c r="J44" i="17"/>
  <c r="J36" i="17"/>
  <c r="J28" i="17"/>
  <c r="J218" i="16"/>
  <c r="J113" i="16"/>
  <c r="J105" i="16"/>
  <c r="J99" i="16"/>
  <c r="J95" i="16"/>
  <c r="J91" i="16"/>
  <c r="J87" i="16"/>
  <c r="J83" i="16"/>
  <c r="J79" i="16"/>
  <c r="J75" i="16"/>
  <c r="J71" i="16"/>
  <c r="J67" i="16"/>
  <c r="J63" i="16"/>
  <c r="J59" i="16"/>
  <c r="J55" i="16"/>
  <c r="J51" i="16"/>
  <c r="J47" i="16"/>
  <c r="J43" i="16"/>
  <c r="J39" i="16"/>
  <c r="J35" i="16"/>
  <c r="J31" i="16"/>
  <c r="J27" i="16"/>
  <c r="J23" i="16"/>
  <c r="P23" i="16" s="1"/>
  <c r="L61" i="20" s="1"/>
  <c r="J118" i="14"/>
  <c r="J116" i="14"/>
  <c r="J114" i="14"/>
  <c r="J112" i="14"/>
  <c r="J110" i="14"/>
  <c r="J108" i="14"/>
  <c r="J106" i="14"/>
  <c r="J104" i="14"/>
  <c r="J102" i="14"/>
  <c r="J100" i="14"/>
  <c r="J98" i="14"/>
  <c r="J96" i="14"/>
  <c r="J94" i="14"/>
  <c r="J92" i="14"/>
  <c r="J90" i="14"/>
  <c r="J88" i="14"/>
  <c r="J86" i="14"/>
  <c r="J84" i="14"/>
  <c r="J82" i="14"/>
  <c r="J80" i="14"/>
  <c r="J78" i="14"/>
  <c r="J76" i="14"/>
  <c r="J74" i="14"/>
  <c r="J72" i="14"/>
  <c r="J70" i="14"/>
  <c r="J68" i="14"/>
  <c r="J66" i="14"/>
  <c r="J64" i="14"/>
  <c r="J62" i="14"/>
  <c r="J60" i="14"/>
  <c r="J58" i="14"/>
  <c r="J56" i="14"/>
  <c r="J54" i="14"/>
  <c r="J52" i="14"/>
  <c r="J50" i="14"/>
  <c r="J48" i="14"/>
  <c r="J46" i="14"/>
  <c r="J44" i="14"/>
  <c r="J42" i="14"/>
  <c r="J40" i="14"/>
  <c r="J38" i="14"/>
  <c r="J36" i="14"/>
  <c r="J34" i="14"/>
  <c r="J32" i="14"/>
  <c r="J30" i="14"/>
  <c r="J28" i="14"/>
  <c r="J26" i="14"/>
  <c r="J24" i="14"/>
  <c r="J112" i="17"/>
  <c r="J104" i="17"/>
  <c r="J96" i="17"/>
  <c r="J88" i="17"/>
  <c r="J80" i="17"/>
  <c r="J72" i="17"/>
  <c r="J64" i="17"/>
  <c r="J56" i="17"/>
  <c r="J48" i="17"/>
  <c r="J40" i="17"/>
  <c r="J32" i="17"/>
  <c r="J24" i="17"/>
  <c r="J117" i="16"/>
  <c r="J109" i="16"/>
  <c r="J101" i="16"/>
  <c r="J97" i="16"/>
  <c r="J93" i="16"/>
  <c r="J89" i="16"/>
  <c r="J85" i="16"/>
  <c r="J81" i="16"/>
  <c r="J77" i="16"/>
  <c r="J73" i="16"/>
  <c r="J69" i="16"/>
  <c r="J65" i="16"/>
  <c r="J61" i="16"/>
  <c r="J57" i="16"/>
  <c r="J53" i="16"/>
  <c r="J49" i="16"/>
  <c r="J45" i="16"/>
  <c r="J41" i="16"/>
  <c r="J37" i="16"/>
  <c r="J33" i="16"/>
  <c r="J29" i="16"/>
  <c r="J25" i="16"/>
  <c r="J218" i="14"/>
  <c r="J119" i="14"/>
  <c r="J117" i="14"/>
  <c r="J115" i="14"/>
  <c r="J113" i="14"/>
  <c r="J111" i="14"/>
  <c r="J109" i="14"/>
  <c r="J107" i="14"/>
  <c r="J105" i="14"/>
  <c r="J103" i="14"/>
  <c r="J101" i="14"/>
  <c r="J99" i="14"/>
  <c r="J97" i="14"/>
  <c r="J95" i="14"/>
  <c r="J93" i="14"/>
  <c r="J91" i="14"/>
  <c r="J89" i="14"/>
  <c r="J87" i="14"/>
  <c r="J85" i="14"/>
  <c r="J83" i="14"/>
  <c r="J81" i="14"/>
  <c r="J79" i="14"/>
  <c r="J77" i="14"/>
  <c r="J75" i="14"/>
  <c r="J73" i="14"/>
  <c r="J71" i="14"/>
  <c r="J69" i="14"/>
  <c r="J67" i="14"/>
  <c r="J65" i="14"/>
  <c r="J63" i="14"/>
  <c r="J61" i="14"/>
  <c r="J59" i="14"/>
  <c r="J57" i="14"/>
  <c r="J55" i="14"/>
  <c r="J51" i="14"/>
  <c r="J47" i="14"/>
  <c r="J43" i="14"/>
  <c r="J39" i="14"/>
  <c r="J35" i="14"/>
  <c r="J31" i="14"/>
  <c r="J27" i="14"/>
  <c r="J23" i="14"/>
  <c r="P23" i="14" s="1"/>
  <c r="P219" i="14" s="1"/>
  <c r="J53" i="14"/>
  <c r="J49" i="14"/>
  <c r="J45" i="14"/>
  <c r="J41" i="14"/>
  <c r="J37" i="14"/>
  <c r="J33" i="14"/>
  <c r="J29" i="14"/>
  <c r="J25" i="14"/>
  <c r="R39" i="20"/>
  <c r="U39" i="20"/>
  <c r="L40" i="20" l="1"/>
  <c r="L39" i="20"/>
  <c r="J39" i="20"/>
  <c r="L49" i="20"/>
  <c r="L42" i="20"/>
  <c r="U40" i="20"/>
  <c r="R40" i="20"/>
  <c r="R41" i="20" l="1"/>
  <c r="U41" i="20"/>
  <c r="R42" i="20" l="1"/>
  <c r="U42" i="20"/>
  <c r="R43" i="20" l="1"/>
  <c r="U43" i="20"/>
  <c r="U44" i="20" l="1"/>
  <c r="R44" i="20"/>
  <c r="R45" i="20" l="1"/>
  <c r="U45" i="20"/>
  <c r="R46" i="20" l="1"/>
  <c r="U46" i="20"/>
  <c r="R47" i="20" l="1"/>
  <c r="U47" i="20"/>
  <c r="U48" i="20" l="1"/>
  <c r="R48" i="20"/>
  <c r="R49" i="20" l="1"/>
  <c r="U49" i="20"/>
  <c r="R50" i="20" l="1"/>
  <c r="U50" i="20"/>
  <c r="R51" i="20" l="1"/>
  <c r="U51" i="20"/>
  <c r="U52" i="20" l="1"/>
  <c r="R52" i="20"/>
  <c r="R53" i="20" l="1"/>
  <c r="U53" i="20"/>
  <c r="U54" i="20" l="1"/>
  <c r="R54" i="20"/>
  <c r="R55" i="20" l="1"/>
  <c r="U55" i="20"/>
  <c r="U56" i="20" l="1"/>
  <c r="R56" i="20"/>
  <c r="R57" i="20" l="1"/>
  <c r="U57" i="20"/>
  <c r="R58" i="20" l="1"/>
  <c r="U58" i="20"/>
  <c r="R59" i="20" l="1"/>
  <c r="U59" i="20"/>
  <c r="U60" i="20"/>
  <c r="U61" i="20"/>
  <c r="R60" i="20"/>
  <c r="R61" i="20"/>
  <c r="G93" i="20" l="1"/>
  <c r="R93" i="20"/>
  <c r="F93" i="20"/>
  <c r="U93" i="20"/>
  <c r="U94" i="20" l="1"/>
  <c r="R94" i="20"/>
  <c r="F94" i="20"/>
  <c r="G94" i="20"/>
  <c r="U95" i="20" l="1"/>
  <c r="R95" i="20"/>
  <c r="G95" i="20"/>
  <c r="F95" i="20"/>
  <c r="U96" i="20" l="1"/>
  <c r="R96" i="20"/>
  <c r="G96" i="20"/>
  <c r="F96" i="20"/>
  <c r="R97" i="20" l="1"/>
  <c r="U97" i="20"/>
  <c r="F97" i="20"/>
  <c r="G97" i="20"/>
  <c r="C62" i="20" l="1"/>
  <c r="H62" i="20" l="1"/>
  <c r="R62" i="20"/>
  <c r="C63" i="20"/>
  <c r="U62" i="20"/>
  <c r="F62" i="20"/>
  <c r="G62" i="20"/>
  <c r="C61" i="20"/>
  <c r="M61" i="20" s="1"/>
  <c r="O62" i="20"/>
  <c r="H63" i="20" l="1"/>
  <c r="G63" i="20"/>
  <c r="R63" i="20"/>
  <c r="F63" i="20"/>
  <c r="C64" i="20"/>
  <c r="U63" i="20"/>
  <c r="O63" i="20"/>
  <c r="O61" i="20"/>
  <c r="G61" i="20"/>
  <c r="C60" i="20"/>
  <c r="M60" i="20" s="1"/>
  <c r="F61" i="20"/>
  <c r="H64" i="20" l="1"/>
  <c r="R64" i="20"/>
  <c r="O64" i="20"/>
  <c r="F64" i="20"/>
  <c r="C65" i="20"/>
  <c r="U64" i="20"/>
  <c r="G64" i="20"/>
  <c r="O60" i="20"/>
  <c r="F60" i="20"/>
  <c r="C59" i="20"/>
  <c r="G60" i="20"/>
  <c r="H65" i="20" l="1"/>
  <c r="F65" i="20"/>
  <c r="R65" i="20"/>
  <c r="G65" i="20"/>
  <c r="O65" i="20"/>
  <c r="U65" i="20"/>
  <c r="C66" i="20"/>
  <c r="M59" i="20"/>
  <c r="F59" i="20"/>
  <c r="C58" i="20"/>
  <c r="G59" i="20"/>
  <c r="H66" i="20" l="1"/>
  <c r="G66" i="20"/>
  <c r="U66" i="20"/>
  <c r="R66" i="20"/>
  <c r="C67" i="20"/>
  <c r="F66" i="20"/>
  <c r="O66" i="20"/>
  <c r="M58" i="20"/>
  <c r="C57" i="20"/>
  <c r="F58" i="20"/>
  <c r="G58" i="20"/>
  <c r="H67" i="20" l="1"/>
  <c r="O67" i="20"/>
  <c r="U67" i="20"/>
  <c r="F67" i="20"/>
  <c r="G67" i="20"/>
  <c r="R67" i="20"/>
  <c r="C68" i="20"/>
  <c r="G57" i="20"/>
  <c r="F57" i="20"/>
  <c r="C56" i="20"/>
  <c r="M57" i="20"/>
  <c r="H68" i="20" l="1"/>
  <c r="R68" i="20"/>
  <c r="C69" i="20"/>
  <c r="O68" i="20"/>
  <c r="U68" i="20"/>
  <c r="F68" i="20"/>
  <c r="G68" i="20"/>
  <c r="F56" i="20"/>
  <c r="C55" i="20"/>
  <c r="G56" i="20"/>
  <c r="M56" i="20"/>
  <c r="H69" i="20" l="1"/>
  <c r="C70" i="20"/>
  <c r="U69" i="20"/>
  <c r="G69" i="20"/>
  <c r="R69" i="20"/>
  <c r="O69" i="20"/>
  <c r="F69" i="20"/>
  <c r="M55" i="20"/>
  <c r="F55" i="20"/>
  <c r="C54" i="20"/>
  <c r="G55" i="20"/>
  <c r="H70" i="20" l="1"/>
  <c r="R70" i="20"/>
  <c r="F70" i="20"/>
  <c r="C71" i="20"/>
  <c r="U70" i="20"/>
  <c r="G70" i="20"/>
  <c r="O70" i="20"/>
  <c r="G54" i="20"/>
  <c r="F54" i="20"/>
  <c r="C53" i="20"/>
  <c r="M54" i="20"/>
  <c r="H71" i="20" l="1"/>
  <c r="O71" i="20"/>
  <c r="U71" i="20"/>
  <c r="R71" i="20"/>
  <c r="G71" i="20"/>
  <c r="F71" i="20"/>
  <c r="C72" i="20"/>
  <c r="C52" i="20"/>
  <c r="F53" i="20"/>
  <c r="M53" i="20"/>
  <c r="G53" i="20"/>
  <c r="H72" i="20" l="1"/>
  <c r="G72" i="20"/>
  <c r="F72" i="20"/>
  <c r="O72" i="20"/>
  <c r="C73" i="20"/>
  <c r="U72" i="20"/>
  <c r="R72" i="20"/>
  <c r="F52" i="20"/>
  <c r="M52" i="20"/>
  <c r="C51" i="20"/>
  <c r="G52" i="20"/>
  <c r="H73" i="20" l="1"/>
  <c r="F73" i="20"/>
  <c r="C74" i="20"/>
  <c r="G73" i="20"/>
  <c r="O73" i="20"/>
  <c r="U73" i="20"/>
  <c r="R73" i="20"/>
  <c r="G51" i="20"/>
  <c r="F51" i="20"/>
  <c r="M51" i="20"/>
  <c r="C50" i="20"/>
  <c r="H74" i="20" l="1"/>
  <c r="R74" i="20"/>
  <c r="O74" i="20"/>
  <c r="C75" i="20"/>
  <c r="F74" i="20"/>
  <c r="G74" i="20"/>
  <c r="U74" i="20"/>
  <c r="G50" i="20"/>
  <c r="F50" i="20"/>
  <c r="M50" i="20"/>
  <c r="C49" i="20"/>
  <c r="H75" i="20" l="1"/>
  <c r="O75" i="20"/>
  <c r="F75" i="20"/>
  <c r="C76" i="20"/>
  <c r="U75" i="20"/>
  <c r="G75" i="20"/>
  <c r="R75" i="20"/>
  <c r="M49" i="20"/>
  <c r="C48" i="20"/>
  <c r="G49" i="20"/>
  <c r="F49" i="20"/>
  <c r="H76" i="20" l="1"/>
  <c r="R76" i="20"/>
  <c r="O76" i="20"/>
  <c r="G76" i="20"/>
  <c r="U76" i="20"/>
  <c r="C77" i="20"/>
  <c r="F76" i="20"/>
  <c r="M48" i="20"/>
  <c r="F48" i="20"/>
  <c r="C47" i="20"/>
  <c r="G48" i="20"/>
  <c r="H77" i="20" l="1"/>
  <c r="C78" i="20"/>
  <c r="F77" i="20"/>
  <c r="G77" i="20"/>
  <c r="R77" i="20"/>
  <c r="U77" i="20"/>
  <c r="O77" i="20"/>
  <c r="G47" i="20"/>
  <c r="F47" i="20"/>
  <c r="C46" i="20"/>
  <c r="M47" i="20"/>
  <c r="H78" i="20" l="1"/>
  <c r="G78" i="20"/>
  <c r="U78" i="20"/>
  <c r="C79" i="20"/>
  <c r="F78" i="20"/>
  <c r="O78" i="20"/>
  <c r="R78" i="20"/>
  <c r="C45" i="20"/>
  <c r="M46" i="20"/>
  <c r="G46" i="20"/>
  <c r="F46" i="20"/>
  <c r="H79" i="20" l="1"/>
  <c r="O79" i="20"/>
  <c r="R79" i="20"/>
  <c r="F79" i="20"/>
  <c r="U79" i="20"/>
  <c r="C80" i="20"/>
  <c r="G79" i="20"/>
  <c r="G45" i="20"/>
  <c r="F45" i="20"/>
  <c r="C44" i="20"/>
  <c r="M45" i="20"/>
  <c r="H80" i="20" l="1"/>
  <c r="F80" i="20"/>
  <c r="G80" i="20"/>
  <c r="O80" i="20"/>
  <c r="U80" i="20"/>
  <c r="R80" i="20"/>
  <c r="C81" i="20"/>
  <c r="F44" i="20"/>
  <c r="G44" i="20"/>
  <c r="M44" i="20"/>
  <c r="C43" i="20"/>
  <c r="H81" i="20" l="1"/>
  <c r="U81" i="20"/>
  <c r="G81" i="20"/>
  <c r="F81" i="20"/>
  <c r="O81" i="20"/>
  <c r="C82" i="20"/>
  <c r="R81" i="20"/>
  <c r="G43" i="20"/>
  <c r="F43" i="20"/>
  <c r="M43" i="20"/>
  <c r="C42" i="20"/>
  <c r="H82" i="20" l="1"/>
  <c r="U82" i="20"/>
  <c r="F82" i="20"/>
  <c r="R82" i="20"/>
  <c r="G82" i="20"/>
  <c r="C83" i="20"/>
  <c r="O82" i="20"/>
  <c r="F42" i="20"/>
  <c r="M42" i="20"/>
  <c r="G42" i="20"/>
  <c r="C41" i="20"/>
  <c r="H83" i="20" l="1"/>
  <c r="O83" i="20"/>
  <c r="U83" i="20"/>
  <c r="F83" i="20"/>
  <c r="C84" i="20"/>
  <c r="G83" i="20"/>
  <c r="R83" i="20"/>
  <c r="G41" i="20"/>
  <c r="M41" i="20"/>
  <c r="C40" i="20"/>
  <c r="F41" i="20"/>
  <c r="H84" i="20" l="1"/>
  <c r="G84" i="20"/>
  <c r="C85" i="20"/>
  <c r="U84" i="20"/>
  <c r="O84" i="20"/>
  <c r="F84" i="20"/>
  <c r="R84" i="20"/>
  <c r="F40" i="20"/>
  <c r="C39" i="20"/>
  <c r="M40" i="20"/>
  <c r="G40" i="20"/>
  <c r="H85" i="20" l="1"/>
  <c r="C86" i="20"/>
  <c r="U85" i="20"/>
  <c r="R85" i="20"/>
  <c r="G85" i="20"/>
  <c r="O85" i="20"/>
  <c r="F85" i="20"/>
  <c r="K39" i="20"/>
  <c r="K29" i="20" s="1"/>
  <c r="H20" i="20" s="1"/>
  <c r="G20" i="25" s="1"/>
  <c r="M39" i="20"/>
  <c r="M29" i="20" s="1"/>
  <c r="J20" i="20" s="1"/>
  <c r="F39" i="20"/>
  <c r="G39" i="20"/>
  <c r="H86" i="20" l="1"/>
  <c r="R86" i="20"/>
  <c r="O86" i="20"/>
  <c r="C87" i="20"/>
  <c r="U86" i="20"/>
  <c r="G86" i="20"/>
  <c r="F86" i="20"/>
  <c r="H87" i="20" l="1"/>
  <c r="G87" i="20"/>
  <c r="F87" i="20"/>
  <c r="C88" i="20"/>
  <c r="O87" i="20"/>
  <c r="R87" i="20"/>
  <c r="U87" i="20"/>
  <c r="H88" i="20" l="1"/>
  <c r="C89" i="20"/>
  <c r="R88" i="20"/>
  <c r="G88" i="20"/>
  <c r="U88" i="20"/>
  <c r="F88" i="20"/>
  <c r="O88" i="20"/>
  <c r="H89" i="20" l="1"/>
  <c r="O89" i="20"/>
  <c r="U89" i="20"/>
  <c r="R89" i="20"/>
  <c r="F89" i="20"/>
  <c r="C90" i="20"/>
  <c r="G89" i="20"/>
  <c r="H90" i="20" l="1"/>
  <c r="F90" i="20"/>
  <c r="R90" i="20"/>
  <c r="G90" i="20"/>
  <c r="O90" i="20"/>
  <c r="U90" i="20"/>
  <c r="C91" i="20"/>
  <c r="H92" i="20"/>
  <c r="R92" i="20"/>
  <c r="F92" i="20"/>
  <c r="G92" i="20"/>
  <c r="U92" i="20"/>
  <c r="H91" i="20" l="1"/>
  <c r="H29" i="20" s="1"/>
  <c r="L21" i="20" s="1"/>
  <c r="G24" i="25" s="1"/>
  <c r="R91" i="20"/>
  <c r="R29" i="20" s="1"/>
  <c r="U91" i="20"/>
  <c r="U29" i="20" s="1"/>
  <c r="G26" i="25" s="1"/>
  <c r="F91" i="20"/>
  <c r="F29" i="20" s="1"/>
  <c r="H21" i="20" s="1"/>
  <c r="G22" i="25" s="1"/>
  <c r="C92" i="20"/>
  <c r="G91" i="20"/>
  <c r="G29" i="20" s="1"/>
  <c r="O91" i="20"/>
  <c r="J21" i="20" l="1"/>
  <c r="K21" i="20"/>
  <c r="G25" i="25"/>
  <c r="L20" i="20"/>
  <c r="L22" i="20" s="1"/>
  <c r="H22" i="20"/>
  <c r="C93" i="20"/>
  <c r="O92" i="20"/>
  <c r="C94" i="20" l="1"/>
  <c r="O93" i="20"/>
  <c r="J22" i="20"/>
  <c r="G23" i="25"/>
  <c r="O94" i="20" l="1"/>
  <c r="C95" i="20"/>
  <c r="O95" i="20" l="1"/>
  <c r="C96" i="20"/>
  <c r="C97" i="20" l="1"/>
  <c r="O96" i="20"/>
  <c r="C98" i="20" l="1"/>
  <c r="O97" i="20"/>
  <c r="O98" i="20" l="1"/>
  <c r="C99" i="20"/>
  <c r="C100" i="20" l="1"/>
  <c r="O99" i="20"/>
  <c r="C101" i="20" l="1"/>
  <c r="O100" i="20"/>
  <c r="O101" i="20" l="1"/>
  <c r="C102" i="20"/>
  <c r="C103" i="20" l="1"/>
  <c r="O102" i="20"/>
  <c r="C104" i="20" l="1"/>
  <c r="O103" i="20"/>
  <c r="C105" i="20" l="1"/>
  <c r="O104" i="20"/>
  <c r="O105" i="20" l="1"/>
  <c r="C106" i="20"/>
  <c r="C107" i="20" l="1"/>
  <c r="G27" i="25" s="1"/>
  <c r="O106" i="20"/>
  <c r="C108" i="20" l="1"/>
  <c r="O107" i="20"/>
  <c r="C109" i="20" l="1"/>
  <c r="O108" i="20"/>
  <c r="C110" i="20" l="1"/>
  <c r="O109" i="20"/>
  <c r="C111" i="20" l="1"/>
  <c r="O110" i="20"/>
  <c r="C112" i="20" l="1"/>
  <c r="O111" i="20"/>
  <c r="O112" i="20" l="1"/>
  <c r="C113" i="20"/>
  <c r="C114" i="20" l="1"/>
  <c r="O113" i="20"/>
  <c r="O114" i="20" l="1"/>
  <c r="C115" i="20"/>
  <c r="C116" i="20" l="1"/>
  <c r="O115" i="20"/>
  <c r="C117" i="20" l="1"/>
  <c r="O116" i="20"/>
  <c r="C118" i="20" l="1"/>
  <c r="O117" i="20"/>
  <c r="C119" i="20" l="1"/>
  <c r="O118" i="20"/>
  <c r="C120" i="20" l="1"/>
  <c r="O119" i="20"/>
  <c r="C121" i="20" l="1"/>
  <c r="O120" i="20"/>
  <c r="C122" i="20" l="1"/>
  <c r="O121" i="20"/>
  <c r="O122" i="20" l="1"/>
  <c r="C123" i="20"/>
  <c r="O123" i="20" l="1"/>
  <c r="C124" i="20"/>
  <c r="C125" i="20" l="1"/>
  <c r="O124" i="20"/>
  <c r="C126" i="20" l="1"/>
  <c r="O125" i="20"/>
  <c r="C127" i="20" l="1"/>
  <c r="O126" i="20"/>
  <c r="C128" i="20" l="1"/>
  <c r="O127" i="20"/>
  <c r="O128" i="20" l="1"/>
  <c r="C129" i="20"/>
  <c r="O129" i="20" s="1"/>
  <c r="O29" i="20" s="1"/>
  <c r="K20" i="20" s="1"/>
  <c r="G21" i="25" l="1"/>
  <c r="K22" i="20"/>
  <c r="C22" i="20" s="1"/>
  <c r="G19" i="25" s="1"/>
  <c r="J8" i="25" s="1"/>
  <c r="J10"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F19" authorId="0" shapeId="0" xr:uid="{00000000-0006-0000-0300-000001000000}">
      <text>
        <r>
          <rPr>
            <b/>
            <sz val="9"/>
            <color indexed="81"/>
            <rFont val="Tahoma"/>
            <family val="2"/>
          </rPr>
          <t>IPART:</t>
        </r>
        <r>
          <rPr>
            <sz val="9"/>
            <color indexed="81"/>
            <rFont val="Tahoma"/>
            <family val="2"/>
          </rPr>
          <t xml:space="preserve">
Either enter the Headworks/ET value calculated for the relevant service and system, or link to your agency's workings on the Headwork assets worksheet.</t>
        </r>
      </text>
    </comment>
    <comment ref="G19" authorId="0" shapeId="0" xr:uid="{00000000-0006-0000-0300-000002000000}">
      <text>
        <r>
          <rPr>
            <b/>
            <sz val="9"/>
            <color indexed="81"/>
            <rFont val="Tahoma"/>
            <family val="2"/>
          </rPr>
          <t>IPART:</t>
        </r>
        <r>
          <rPr>
            <sz val="9"/>
            <color indexed="81"/>
            <rFont val="Tahoma"/>
            <family val="2"/>
          </rPr>
          <t xml:space="preserve">
Either enter the Scheme cost allocation/ET value calculated for the relevant service and system, or link to your agency's workings on the Scheme cost allocations worksheet.</t>
        </r>
      </text>
    </comment>
    <comment ref="F22" authorId="0" shapeId="0" xr:uid="{00000000-0006-0000-0300-000003000000}">
      <text>
        <r>
          <rPr>
            <b/>
            <sz val="9"/>
            <color indexed="81"/>
            <rFont val="Tahoma"/>
            <family val="2"/>
          </rPr>
          <t>IPART:</t>
        </r>
        <r>
          <rPr>
            <sz val="9"/>
            <color indexed="81"/>
            <rFont val="Tahoma"/>
            <family val="2"/>
          </rPr>
          <t xml:space="preserve">
The headwork cost per ET has been separated from the main equation given that it will apply to all DSP's in the system for which it is calculated.  This separation reduces the need to capture data, and calculate headworks for each DSP. The relevant assets would be captured in the K1/L1 and K2/L2 sections of the maximum price equation.</t>
        </r>
      </text>
    </comment>
    <comment ref="Q38" authorId="0" shapeId="0" xr:uid="{00000000-0006-0000-0300-000004000000}">
      <text>
        <r>
          <rPr>
            <b/>
            <sz val="9"/>
            <color indexed="81"/>
            <rFont val="Tahoma"/>
            <family val="2"/>
          </rPr>
          <t>IPART:</t>
        </r>
        <r>
          <rPr>
            <sz val="9"/>
            <color indexed="81"/>
            <rFont val="Tahoma"/>
            <family val="2"/>
          </rPr>
          <t xml:space="preserve">
Either enter the R</t>
        </r>
        <r>
          <rPr>
            <vertAlign val="subscript"/>
            <sz val="9"/>
            <color indexed="81"/>
            <rFont val="Tahoma"/>
            <family val="2"/>
          </rPr>
          <t>i</t>
        </r>
        <r>
          <rPr>
            <sz val="9"/>
            <color indexed="81"/>
            <rFont val="Tahoma"/>
            <family val="2"/>
          </rPr>
          <t xml:space="preserve"> values or link to your agency's workings on the 'Reduction amount' worksheet.</t>
        </r>
      </text>
    </comment>
    <comment ref="T38" authorId="0" shapeId="0" xr:uid="{00000000-0006-0000-0300-000005000000}">
      <text>
        <r>
          <rPr>
            <b/>
            <sz val="9"/>
            <color indexed="81"/>
            <rFont val="Tahoma"/>
            <family val="2"/>
          </rPr>
          <t>IPART:</t>
        </r>
        <r>
          <rPr>
            <sz val="9"/>
            <color indexed="81"/>
            <rFont val="Tahoma"/>
            <family val="2"/>
          </rPr>
          <t xml:space="preserve">
Either enter the C</t>
        </r>
        <r>
          <rPr>
            <vertAlign val="subscript"/>
            <sz val="9"/>
            <color indexed="81"/>
            <rFont val="Tahoma"/>
            <family val="2"/>
          </rPr>
          <t>i</t>
        </r>
        <r>
          <rPr>
            <sz val="9"/>
            <color indexed="81"/>
            <rFont val="Tahoma"/>
            <family val="2"/>
          </rPr>
          <t xml:space="preserve"> values or link to your agency's workings on the 'Reduction amount'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H23" authorId="0" shapeId="0" xr:uid="{00000000-0006-0000-0400-000001000000}">
      <text>
        <r>
          <rPr>
            <b/>
            <sz val="9"/>
            <color indexed="81"/>
            <rFont val="Tahoma"/>
            <family val="2"/>
          </rPr>
          <t>IPART:</t>
        </r>
        <r>
          <rPr>
            <sz val="9"/>
            <color indexed="81"/>
            <rFont val="Tahoma"/>
            <family val="2"/>
          </rPr>
          <t xml:space="preserve">
These dates have been set in the 2018 Maximum Price Determination, and should not be changed.</t>
        </r>
      </text>
    </comment>
    <comment ref="H30" authorId="0" shapeId="0" xr:uid="{00000000-0006-0000-0400-000002000000}">
      <text>
        <r>
          <rPr>
            <b/>
            <sz val="9"/>
            <color indexed="81"/>
            <rFont val="Tahoma"/>
            <family val="2"/>
          </rPr>
          <t>IPART:</t>
        </r>
        <r>
          <rPr>
            <sz val="9"/>
            <color indexed="81"/>
            <rFont val="Tahoma"/>
            <family val="2"/>
          </rPr>
          <t xml:space="preserve">
The discount rate for pre-1996 assets and ETs has been set in the 2018 Maximum Price Determination, and should not be changed.</t>
        </r>
      </text>
    </comment>
    <comment ref="H32" authorId="0" shapeId="0" xr:uid="{00000000-0006-0000-0400-000003000000}">
      <text>
        <r>
          <rPr>
            <b/>
            <sz val="9"/>
            <color indexed="81"/>
            <rFont val="Tahoma"/>
            <family val="2"/>
          </rPr>
          <t>IPART:</t>
        </r>
        <r>
          <rPr>
            <sz val="9"/>
            <color indexed="81"/>
            <rFont val="Tahoma"/>
            <family val="2"/>
          </rPr>
          <t xml:space="preserve">
The discount rates for post-1996 commissioned and uncommissioned assets and ETs should be the real pre-tax WACC used in the agencies prevailing water and sewerage price determination.</t>
        </r>
      </text>
    </comment>
    <comment ref="H36" authorId="0" shapeId="0" xr:uid="{00000000-0006-0000-0400-000004000000}">
      <text>
        <r>
          <rPr>
            <b/>
            <sz val="9"/>
            <color indexed="81"/>
            <rFont val="Tahoma"/>
            <family val="2"/>
          </rPr>
          <t>IPART:</t>
        </r>
        <r>
          <rPr>
            <sz val="9"/>
            <color indexed="81"/>
            <rFont val="Tahoma"/>
            <family val="2"/>
          </rPr>
          <t xml:space="preserve">
This is the average residential consumption from the prevailing price review.</t>
        </r>
      </text>
    </comment>
    <comment ref="H38" authorId="0" shapeId="0" xr:uid="{00000000-0006-0000-0400-000005000000}">
      <text>
        <r>
          <rPr>
            <b/>
            <sz val="9"/>
            <color indexed="81"/>
            <rFont val="Tahoma"/>
            <family val="2"/>
          </rPr>
          <t>IPART:</t>
        </r>
        <r>
          <rPr>
            <sz val="9"/>
            <color indexed="81"/>
            <rFont val="Tahoma"/>
            <family val="2"/>
          </rPr>
          <t xml:space="preserve">
The forecast period for ETs and the net operating result has been set in the 2018 Maximum Price Determination, and should not be changed.</t>
        </r>
      </text>
    </comment>
    <comment ref="I40" authorId="0" shapeId="0" xr:uid="{00000000-0006-0000-0400-000006000000}">
      <text>
        <r>
          <rPr>
            <b/>
            <sz val="9"/>
            <color indexed="81"/>
            <rFont val="Tahoma"/>
            <family val="2"/>
          </rPr>
          <t>IPART:</t>
        </r>
        <r>
          <rPr>
            <sz val="9"/>
            <color indexed="81"/>
            <rFont val="Tahoma"/>
            <family val="2"/>
          </rPr>
          <t xml:space="preserve">
All prices and costs should be entered into the template in $ of this financial year.</t>
        </r>
      </text>
    </comment>
    <comment ref="H42" authorId="0" shapeId="0" xr:uid="{00000000-0006-0000-0400-000007000000}">
      <text>
        <r>
          <rPr>
            <b/>
            <sz val="9"/>
            <color indexed="81"/>
            <rFont val="Tahoma"/>
            <family val="2"/>
          </rPr>
          <t>IPART:</t>
        </r>
        <r>
          <rPr>
            <sz val="9"/>
            <color indexed="81"/>
            <rFont val="Tahoma"/>
            <family val="2"/>
          </rPr>
          <t xml:space="preserve">
All prices and costs entered into the IPART designated input ranges in this template must be on this basis.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C21" authorId="0" shapeId="0" xr:uid="{00000000-0006-0000-05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5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5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C21" authorId="0" shapeId="0" xr:uid="{00000000-0006-0000-06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6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6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C21" authorId="0" shapeId="0" xr:uid="{00000000-0006-0000-07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7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7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AG8" authorId="0" shapeId="0" xr:uid="{00000000-0006-0000-0800-000001000000}">
      <text>
        <r>
          <rPr>
            <b/>
            <sz val="9"/>
            <color indexed="81"/>
            <rFont val="Tahoma"/>
            <family val="2"/>
          </rPr>
          <t>IPART:</t>
        </r>
        <r>
          <rPr>
            <sz val="9"/>
            <color indexed="81"/>
            <rFont val="Tahoma"/>
            <family val="2"/>
          </rPr>
          <t xml:space="preserve">
An agency can enter data for up to 8 different non-residential customer types.</t>
        </r>
      </text>
    </comment>
    <comment ref="C12" authorId="0" shapeId="0" xr:uid="{00000000-0006-0000-0800-000002000000}">
      <text>
        <r>
          <rPr>
            <b/>
            <sz val="9"/>
            <color indexed="81"/>
            <rFont val="Tahoma"/>
            <family val="2"/>
          </rPr>
          <t>IPART:</t>
        </r>
        <r>
          <rPr>
            <sz val="9"/>
            <color indexed="81"/>
            <rFont val="Tahoma"/>
            <family val="2"/>
          </rPr>
          <t xml:space="preserve">
For 1995-96, only enter new ETs from
1 January 1996 to 30 June 1996 for all property types for which ETs can be entered on this worksheet.</t>
        </r>
      </text>
    </comment>
  </commentList>
</comments>
</file>

<file path=xl/sharedStrings.xml><?xml version="1.0" encoding="utf-8"?>
<sst xmlns="http://schemas.openxmlformats.org/spreadsheetml/2006/main" count="402" uniqueCount="290">
  <si>
    <t>Key outputs</t>
  </si>
  <si>
    <t>MODELLER:</t>
  </si>
  <si>
    <t>email</t>
  </si>
  <si>
    <t>WHAT IS THE PURPOSE OF MODEL?</t>
  </si>
  <si>
    <t>COLOUR CODE  &lt;Required for all models/spreadsheets. See 'Examples' for the full list of potential colour codes&gt;</t>
  </si>
  <si>
    <t>This model uses standard IPART colour coding:</t>
  </si>
  <si>
    <t>Blue cells indicate inputs</t>
  </si>
  <si>
    <t>Light blue cells indicate inputs with default values</t>
  </si>
  <si>
    <r>
      <t xml:space="preserve">default values are shown in </t>
    </r>
    <r>
      <rPr>
        <i/>
        <sz val="9"/>
        <rFont val="Arial"/>
        <family val="2"/>
      </rPr>
      <t>italics</t>
    </r>
    <r>
      <rPr>
        <sz val="9"/>
        <rFont val="Arial"/>
        <family val="2"/>
      </rPr>
      <t xml:space="preserve"> next to or below the light blue cells</t>
    </r>
  </si>
  <si>
    <t>Blue font indicates IPART hard-coded values used that should not be changed</t>
  </si>
  <si>
    <t>Pink font indicates calculation checks</t>
  </si>
  <si>
    <t>Red indicates assumptions made in calculations</t>
  </si>
  <si>
    <t>Description</t>
  </si>
  <si>
    <t>Identifier</t>
  </si>
  <si>
    <t>Date commissioned</t>
  </si>
  <si>
    <t>2018-19</t>
  </si>
  <si>
    <t>General inputs</t>
  </si>
  <si>
    <t>Service potential inputs</t>
  </si>
  <si>
    <t>Asset value inputs</t>
  </si>
  <si>
    <t>Total</t>
  </si>
  <si>
    <t>Single dwelling</t>
  </si>
  <si>
    <t>Multi dwelling</t>
  </si>
  <si>
    <t>ETs</t>
  </si>
  <si>
    <t>Year</t>
  </si>
  <si>
    <t>Forecast period (years)</t>
  </si>
  <si>
    <t>Date check</t>
  </si>
  <si>
    <t>Financial year of commissioning</t>
  </si>
  <si>
    <t>What $ units are used in the model</t>
  </si>
  <si>
    <t>$</t>
  </si>
  <si>
    <t>$'000</t>
  </si>
  <si>
    <t>$M</t>
  </si>
  <si>
    <t>DSP areas serviced by asset</t>
  </si>
  <si>
    <t>Consumption assumption</t>
  </si>
  <si>
    <t>kL/year/ property</t>
  </si>
  <si>
    <t>Sum of new ETs (not discounted)</t>
  </si>
  <si>
    <t>Index</t>
  </si>
  <si>
    <t>Row</t>
  </si>
  <si>
    <t>kL/property/year</t>
  </si>
  <si>
    <t>kL/hectare/year</t>
  </si>
  <si>
    <t>Do not delete section below - this is where the user can enter alternative consumption assumption options for non-residential customer groups.</t>
  </si>
  <si>
    <t>Date range for pre 1996 assets</t>
  </si>
  <si>
    <t>Relevant financial year</t>
  </si>
  <si>
    <t>$ base year for DSP analysis</t>
  </si>
  <si>
    <t>2020-21</t>
  </si>
  <si>
    <t>2021-22</t>
  </si>
  <si>
    <t>2022-23</t>
  </si>
  <si>
    <t>2023-24</t>
  </si>
  <si>
    <t>2024-25</t>
  </si>
  <si>
    <t>2025-26</t>
  </si>
  <si>
    <t>2026-27</t>
  </si>
  <si>
    <t>2027-28</t>
  </si>
  <si>
    <t>2028-29</t>
  </si>
  <si>
    <t>2029-30</t>
  </si>
  <si>
    <t>2030-31</t>
  </si>
  <si>
    <t>Final date where assets can be commissioned</t>
  </si>
  <si>
    <t>Date range for assets</t>
  </si>
  <si>
    <t>First day</t>
  </si>
  <si>
    <t>Last day</t>
  </si>
  <si>
    <t>GENERAL INPUTS</t>
  </si>
  <si>
    <t>Start date</t>
  </si>
  <si>
    <t>End date</t>
  </si>
  <si>
    <t>Where:</t>
  </si>
  <si>
    <t xml:space="preserve"> </t>
  </si>
  <si>
    <r>
      <t>R</t>
    </r>
    <r>
      <rPr>
        <vertAlign val="subscript"/>
        <sz val="9"/>
        <rFont val="Arial"/>
        <family val="2"/>
      </rPr>
      <t>i</t>
    </r>
    <r>
      <rPr>
        <sz val="9"/>
        <rFont val="Arial"/>
        <family val="2"/>
      </rPr>
      <t xml:space="preserve"> </t>
    </r>
  </si>
  <si>
    <r>
      <t>C</t>
    </r>
    <r>
      <rPr>
        <vertAlign val="subscript"/>
        <sz val="9"/>
        <rFont val="Arial"/>
        <family val="2"/>
      </rPr>
      <t>i</t>
    </r>
    <r>
      <rPr>
        <sz val="9"/>
        <rFont val="Arial"/>
        <family val="2"/>
      </rPr>
      <t xml:space="preserve"> </t>
    </r>
  </si>
  <si>
    <r>
      <t>R</t>
    </r>
    <r>
      <rPr>
        <vertAlign val="subscript"/>
        <sz val="9"/>
        <rFont val="Arial"/>
        <family val="2"/>
      </rPr>
      <t>i</t>
    </r>
    <r>
      <rPr>
        <sz val="9"/>
        <rFont val="Arial"/>
        <family val="2"/>
      </rPr>
      <t xml:space="preserve"> :</t>
    </r>
  </si>
  <si>
    <r>
      <t>C</t>
    </r>
    <r>
      <rPr>
        <vertAlign val="subscript"/>
        <sz val="9"/>
        <rFont val="Arial"/>
        <family val="2"/>
      </rPr>
      <t>i</t>
    </r>
    <r>
      <rPr>
        <sz val="9"/>
        <rFont val="Arial"/>
        <family val="2"/>
      </rPr>
      <t xml:space="preserve"> :</t>
    </r>
  </si>
  <si>
    <t>=</t>
  </si>
  <si>
    <r>
      <t>Please present all data and calculations related to the generation of the time series for R</t>
    </r>
    <r>
      <rPr>
        <vertAlign val="subscript"/>
        <sz val="9"/>
        <rFont val="Arial"/>
        <family val="2"/>
      </rPr>
      <t>i</t>
    </r>
    <r>
      <rPr>
        <sz val="9"/>
        <rFont val="Arial"/>
        <family val="2"/>
      </rPr>
      <t xml:space="preserve"> and C</t>
    </r>
    <r>
      <rPr>
        <vertAlign val="subscript"/>
        <sz val="9"/>
        <rFont val="Arial"/>
        <family val="2"/>
      </rPr>
      <t>i</t>
    </r>
    <r>
      <rPr>
        <sz val="9"/>
        <rFont val="Arial"/>
        <family val="2"/>
      </rPr>
      <t xml:space="preserve"> in this worksheet.</t>
    </r>
  </si>
  <si>
    <t>Reduction amount</t>
  </si>
  <si>
    <t>Enter analysis below this row.</t>
  </si>
  <si>
    <r>
      <t>K</t>
    </r>
    <r>
      <rPr>
        <vertAlign val="subscript"/>
        <sz val="9"/>
        <rFont val="Arial"/>
        <family val="2"/>
      </rPr>
      <t>1</t>
    </r>
  </si>
  <si>
    <r>
      <t>K</t>
    </r>
    <r>
      <rPr>
        <vertAlign val="subscript"/>
        <sz val="9"/>
        <rFont val="Arial"/>
        <family val="2"/>
      </rPr>
      <t>2</t>
    </r>
  </si>
  <si>
    <r>
      <t>R</t>
    </r>
    <r>
      <rPr>
        <vertAlign val="subscript"/>
        <sz val="9"/>
        <rFont val="Arial"/>
        <family val="2"/>
      </rPr>
      <t>i</t>
    </r>
  </si>
  <si>
    <r>
      <t>C</t>
    </r>
    <r>
      <rPr>
        <vertAlign val="subscript"/>
        <sz val="9"/>
        <rFont val="Arial"/>
        <family val="2"/>
      </rPr>
      <t>i</t>
    </r>
  </si>
  <si>
    <t>n</t>
  </si>
  <si>
    <t>DSP name</t>
  </si>
  <si>
    <t xml:space="preserve">Notes:  </t>
  </si>
  <si>
    <t>Greg McLennan</t>
  </si>
  <si>
    <t>greg_mclennan@ipart.nsw.gov.au</t>
  </si>
  <si>
    <t>The key worksheets requiring inputs to calculate the asset related components are:</t>
  </si>
  <si>
    <t>red double line means formula changes across a row or down a column</t>
  </si>
  <si>
    <r>
      <t>Required timeframe for R</t>
    </r>
    <r>
      <rPr>
        <vertAlign val="subscript"/>
        <sz val="9"/>
        <rFont val="Arial"/>
        <family val="2"/>
      </rPr>
      <t>i</t>
    </r>
    <r>
      <rPr>
        <sz val="9"/>
        <rFont val="Arial"/>
        <family val="2"/>
      </rPr>
      <t xml:space="preserve"> and C</t>
    </r>
    <r>
      <rPr>
        <vertAlign val="subscript"/>
        <sz val="9"/>
        <rFont val="Arial"/>
        <family val="2"/>
      </rPr>
      <t>i</t>
    </r>
    <r>
      <rPr>
        <sz val="9"/>
        <rFont val="Arial"/>
        <family val="2"/>
      </rPr>
      <t>:</t>
    </r>
  </si>
  <si>
    <t>Start year:</t>
  </si>
  <si>
    <t>Final year:</t>
  </si>
  <si>
    <t>As headwork costs per ET apply to all DSP areas within a system, presenting the headwork calculations separately will provide additional transparency, and ensure consistency between DSP areas in relation to headworks.</t>
  </si>
  <si>
    <t>Discount rates &amp; other</t>
  </si>
  <si>
    <t>Timeframes</t>
  </si>
  <si>
    <t>is the headworks charge</t>
  </si>
  <si>
    <t>Proportion of asset cost to be recovered via this DSP</t>
  </si>
  <si>
    <t>Number of units or length of asset (A)</t>
  </si>
  <si>
    <t>Expected system-wide ETs to be serviced by this asset</t>
  </si>
  <si>
    <t>Total new ETs in DSP area</t>
  </si>
  <si>
    <t>Rate applied to the NPV of expected revenues and costs (real pre-tax WACC)</t>
  </si>
  <si>
    <t>Schools</t>
  </si>
  <si>
    <t>Light industrial</t>
  </si>
  <si>
    <t>Commercial</t>
  </si>
  <si>
    <t>properties</t>
  </si>
  <si>
    <t>hectares</t>
  </si>
  <si>
    <t>New ETs per year for this DSP area</t>
  </si>
  <si>
    <t>2019-20</t>
  </si>
  <si>
    <t>Light grey - inputs not required, cells should be left unchanged.</t>
  </si>
  <si>
    <t>of which:</t>
  </si>
  <si>
    <t>&gt;</t>
  </si>
  <si>
    <t>A separate worksheet has been provided to calculate the reduction amount:</t>
  </si>
  <si>
    <t>Headworks</t>
  </si>
  <si>
    <t>A separate worksheet has been provided to capture headworks assets:</t>
  </si>
  <si>
    <t>The purpose of this worksheet is to record, at a high level, the underlying data that are used to calculate the Headworks cost per ET.</t>
  </si>
  <si>
    <t>Asset inclusions and exclusions</t>
  </si>
  <si>
    <t>The final worksheet provides information from the Determination about asset inclusions and exclusions.</t>
  </si>
  <si>
    <t>'HEADWORK ASSETS' : CALCULATIONS</t>
  </si>
  <si>
    <t>'REDUCTION AMOUNT' : CALCULATIONS</t>
  </si>
  <si>
    <t>Rate applied to pre-1996 assets and ETs</t>
  </si>
  <si>
    <t>Rate applied to post-1996 assets and ETs (real pre-tax WACC)</t>
  </si>
  <si>
    <t xml:space="preserve">An Equivalent Tenement (ET) is a unit that uses X kL/year of water, where X = </t>
  </si>
  <si>
    <t>IPART - Developer charges and backlog sewerage charges for metropolitan water agencies 2017</t>
  </si>
  <si>
    <t>Unit of measure in (A)</t>
  </si>
  <si>
    <t>The plural of the units will only affect headings.</t>
  </si>
  <si>
    <t>EQUIVALENT TENEMENTS (ETs) SINCE 1 JULY 1996 RELATING TO THE DSP UNDER CONSIDERATION</t>
  </si>
  <si>
    <t>ET consumption assumption (kL/year)</t>
  </si>
  <si>
    <t>Non-res 4</t>
  </si>
  <si>
    <t>Non-res 5</t>
  </si>
  <si>
    <t>Non-res 6</t>
  </si>
  <si>
    <t>Non-res 7</t>
  </si>
  <si>
    <t>Non-res 8</t>
  </si>
  <si>
    <t>Regulated Agency (for setting pre-1996 discount rate)</t>
  </si>
  <si>
    <t>Agency name</t>
  </si>
  <si>
    <t>Pre-1996 discount rate</t>
  </si>
  <si>
    <t>Central Coast Council</t>
  </si>
  <si>
    <t>Hunter Water Corporation</t>
  </si>
  <si>
    <t>Sydney Water Corporation</t>
  </si>
  <si>
    <t>Notes:</t>
  </si>
  <si>
    <t>The costs expected to be incurred must be exclusive of all capital costs included in the capital charge calculation.</t>
  </si>
  <si>
    <t>Pre-1996 assets</t>
  </si>
  <si>
    <t>Post-1996 commissioned assets</t>
  </si>
  <si>
    <t>Post-1996 uncommissioned assets</t>
  </si>
  <si>
    <t>Value of pre-1996 assets to be collected through this DSP (undiscounted)</t>
  </si>
  <si>
    <t>Value of post-1996 commissioned assets to be collected through this DSP (undiscounted)</t>
  </si>
  <si>
    <t xml:space="preserve">Service this DSP relates to </t>
  </si>
  <si>
    <t>System name (allows cross checking of headworks costs)</t>
  </si>
  <si>
    <t>System Name</t>
  </si>
  <si>
    <t>Water</t>
  </si>
  <si>
    <t>Sewerage</t>
  </si>
  <si>
    <t>Stormwater</t>
  </si>
  <si>
    <t>Annual take-up of single residential dwellings</t>
  </si>
  <si>
    <t>Annual take-up of multi-dwelling residential units</t>
  </si>
  <si>
    <t>ET values</t>
  </si>
  <si>
    <t>Asset values</t>
  </si>
  <si>
    <t>Revenue values</t>
  </si>
  <si>
    <t>Cost values</t>
  </si>
  <si>
    <t>Costs to be recovered via DSP</t>
  </si>
  <si>
    <t>Headworks costs per ET</t>
  </si>
  <si>
    <t>Value per ET</t>
  </si>
  <si>
    <t>Reduction for expected revenue and operation costs</t>
  </si>
  <si>
    <t>Sum of PV of new ETs (discounted at pre-1996 asset discount rate)</t>
  </si>
  <si>
    <t>Sum of PV of new ETs (discounted at post-1996 asset discount rate)</t>
  </si>
  <si>
    <t>Sum of PV of new ETs (discounted at expected revenue and costs discount rate)</t>
  </si>
  <si>
    <t>Sum of PV of costs for new ETs (discounted at expected future revenue and costs discount rate)</t>
  </si>
  <si>
    <t>Present value of revenues (discounted at expected future revenue and costs discount rate)</t>
  </si>
  <si>
    <t>Present value of operating costs (discounted at expected future revenue and costs discount rate)</t>
  </si>
  <si>
    <t>Revenues expected to be recovered from new customers (undiscounted)</t>
  </si>
  <si>
    <t>Operating costs expected to be incurred in providing service to new customers (undiscounted)</t>
  </si>
  <si>
    <t>Present value of post-1996 commissioned assets (discounted at post-1996 asset discount rate)</t>
  </si>
  <si>
    <t>Present value of pre-1996 assets (discounted at pre-1996 asset discount rate)</t>
  </si>
  <si>
    <t>Present value of new ETs per year (discounted at post-1996 asset discount rate)</t>
  </si>
  <si>
    <t>Present value of new ETs per year (discounted at pre-1996 asset discount rate)</t>
  </si>
  <si>
    <t>Present value of new ETs per year (discounted at expected revenue and costs discount rate)</t>
  </si>
  <si>
    <t>Sum of PV of Pre-1996 commissioned assets (discounted at pre-1996 asset discount rate)</t>
  </si>
  <si>
    <t>Sum of PV of Post-1996 commissioned assets (discounted at post-1996 asset discount rate)</t>
  </si>
  <si>
    <t>Sum of PV of Post-1996 uncommissioned assets (discounted at post-1996 asset discount rate)</t>
  </si>
  <si>
    <t>Please manually enter or link the calculated headwork cost per ET to cell</t>
  </si>
  <si>
    <t>Sum of PV of revenue for new customers (discounted at expected future revenue and costs discount rate)</t>
  </si>
  <si>
    <t>the Capital Charge for the Pre-1996 Assets that will serve the relevant DSP Area, calculated in accordance with clause 2.3(a) of Schedule 5 of the Determination and set out in the DSP.</t>
  </si>
  <si>
    <t>the Capital Charge for the Post-1996 Assets that will serve the relevant DSP Area, calculated in accordance with clause 2.3(b) and 2.3(c) of Schedule 5 of the Determination and set out in the DSP.</t>
  </si>
  <si>
    <t>the Present Value of the Agency’s estimate of the number of Equivalent Tenements in the relevant DSP for Pre-1996 Assets, calculated in accordance with clause 3.2(a) of Schedule 5 of the Determination and set out in the relevant DSP.</t>
  </si>
  <si>
    <t>the Present Value of the Agency’s estimate of the number of Equivalent Tenements for Post-1996 Assets, calculated in accordance with clause 3.2(b) of Schedule 5 of the Determination and set out in the relevant DSP.</t>
  </si>
  <si>
    <t>the Present Value of the Agency’s estimate of the number of Equivalent Tenements for the Reduction Amount, calculated in accordance with clause 3.2(c) of Schedule 5 of the Determination and set out in the relevant DSP.</t>
  </si>
  <si>
    <r>
      <t xml:space="preserve">the Agency’s estimate of the future periodic revenues to be received from new customers in the relevant DSP Area in each financial year </t>
    </r>
    <r>
      <rPr>
        <i/>
        <sz val="9"/>
        <rFont val="Arial"/>
        <family val="2"/>
      </rPr>
      <t>i</t>
    </r>
    <r>
      <rPr>
        <sz val="9"/>
        <rFont val="Arial"/>
        <family val="2"/>
      </rPr>
      <t>, estimated in accordance with clause 4 of Schedule 5 of the Determination and set out in the relevant DSP.</t>
    </r>
  </si>
  <si>
    <r>
      <t xml:space="preserve">the Agency’s estimate of the future operating, maintenance and administration costs of servicing all new customers in the DSP Area in each financial year </t>
    </r>
    <r>
      <rPr>
        <i/>
        <sz val="9"/>
        <rFont val="Arial"/>
        <family val="2"/>
      </rPr>
      <t>i</t>
    </r>
    <r>
      <rPr>
        <sz val="9"/>
        <rFont val="Arial"/>
        <family val="2"/>
      </rPr>
      <t xml:space="preserve"> (excluding, for the avoidance of doubt, any Capital Costs), estimated in accordance with clause 5 of Schedule 5 of the Determination and set out in the relevant DSP.</t>
    </r>
  </si>
  <si>
    <t>WHAT THE DETERMINATION SAYS ABOUT ASSET EXCLUSIONS</t>
  </si>
  <si>
    <t>Excluded Assets means:</t>
  </si>
  <si>
    <t>(a)</t>
  </si>
  <si>
    <t>that part of an asset provided for a reason other than to service a growth area;</t>
  </si>
  <si>
    <t>(b)</t>
  </si>
  <si>
    <t>that part of an asset that services other DSP Areas;</t>
  </si>
  <si>
    <t>(c)</t>
  </si>
  <si>
    <t>the capacity of an asset that was made available by changes in land use patterns, or by changes in average demand;</t>
  </si>
  <si>
    <t>(d)</t>
  </si>
  <si>
    <t>(e)</t>
  </si>
  <si>
    <t>(f)</t>
  </si>
  <si>
    <t>Asset exclusions'!A1</t>
  </si>
  <si>
    <t>As explained in IPART's Report (Box 2.4, page 29) , headworks not owned by the agency should also be included in these calculations.</t>
  </si>
  <si>
    <t>Summary of maximum price for a new development</t>
  </si>
  <si>
    <t>Maximum price formula:</t>
  </si>
  <si>
    <t>Maximum price calculations and summary of outputs</t>
  </si>
  <si>
    <t>The maximum price is calculated and the results are summarised in:</t>
  </si>
  <si>
    <t>Details on the maximum price methodology can be found on IPART's website at:</t>
  </si>
  <si>
    <t>Link to Report and Determination:</t>
  </si>
  <si>
    <t>MAXIMUM PRICE TEMPLATE (for connecting to a water supply, sewerage, or drainage system)</t>
  </si>
  <si>
    <t>The separate components for the maximum price equation are presented in both the worksheets.</t>
  </si>
  <si>
    <t>= the Agency’s estimate of the future periodic revenues to be received from new customers in the relevant DSP Area in each financial year i, estimated in accordance with clause 4 of Schedule 5 of the Determination and set out in the relevant DSP.</t>
  </si>
  <si>
    <t>= the Agency’s estimate of the future operating, maintenance and administration costs of servicing all new customers in the DSP Area in each financial year i (excluding, for the avoidance of doubt, any Capital Costs), estimated in accordance with clause 5 of Schedule 5 of the Determination and set out in the relevant DSP.</t>
  </si>
  <si>
    <t>CALCULATION OF MAXIMUM PRICE</t>
  </si>
  <si>
    <t>Maximum price</t>
  </si>
  <si>
    <t>PRE-1996 ASSETS WITH A NEXUS TO THE SERVICE FOR WHICH THE MAXIMUM PRICE IS BEING CALCULATED</t>
  </si>
  <si>
    <t>POST-1996 COMMISSIONED ASSETS WITH A NEXUS TO THE SERVICE FOR WHICH THE MAXIMUM PRICE IS BEING CALCULATED</t>
  </si>
  <si>
    <t>POST-1996 UNCOMMISSIONED ASSETS WITH A NEXUS TO THE SERVICE FOR WHICH THE MAXIMUM PRICE IS BEING CALCULATED</t>
  </si>
  <si>
    <t>Please present, in this worksheet, the underlying high level data and analysis related to the generation of the Headworks cost per ET for the service for which this maximum price is being calculated.</t>
  </si>
  <si>
    <t>This workbook is a template that agencies can use to calculate the maximum price for connecting to a water supply, sewerage, or drainage system (referred to as maximum price from here).  The use of this template is voluntary.</t>
  </si>
  <si>
    <t>MP</t>
  </si>
  <si>
    <t>Register of pre-1996 assets</t>
  </si>
  <si>
    <t>Register of post-1996 commissioned assets</t>
  </si>
  <si>
    <t>Register of uncommissioned assets</t>
  </si>
  <si>
    <t>HOW DOES THE TEMPLATE WORK?</t>
  </si>
  <si>
    <t>What's in the Template?</t>
  </si>
  <si>
    <t>Scheme cost allocation</t>
  </si>
  <si>
    <t>A separate worksheet has been provided to capture scheme cost allocation:</t>
  </si>
  <si>
    <t>The purpose of this worksheet is to record, at a high level, the underlying data that are used to calculate the Scheme cost allocation per ET.</t>
  </si>
  <si>
    <t>Calculation of the asset component of the maximum price (excluding headworks and scheme cost allocation).</t>
  </si>
  <si>
    <t>'SCHEME COST ALLOCATION' : CALCULATIONS</t>
  </si>
  <si>
    <t>Please present, in this worksheet, the underlying high level data and analysis related to the generation of the scheme cost allocation per ET for the service for which this maximum price is being calculated.</t>
  </si>
  <si>
    <t>Scheme cost allocation per ET</t>
  </si>
  <si>
    <t>Financial year of registration for the DSP</t>
  </si>
  <si>
    <t>Reason for change</t>
  </si>
  <si>
    <t>Description of change</t>
  </si>
  <si>
    <t>Place change made</t>
  </si>
  <si>
    <t>Template Version</t>
  </si>
  <si>
    <t>Align template with Determination</t>
  </si>
  <si>
    <t>Column H, MP Calculations worksheet</t>
  </si>
  <si>
    <t>V1.01</t>
  </si>
  <si>
    <t>Columns N &amp; O, MP Calculations worksheet</t>
  </si>
  <si>
    <t>Date change made</t>
  </si>
  <si>
    <t>Limit ET profile used in calculating reduction amount per ET to 30 forecast years only. Previously extended to 1995-96.</t>
  </si>
  <si>
    <t>Removed the time limit for uncommissioned assets.  Previous time limit was to year 30.</t>
  </si>
  <si>
    <t xml:space="preserve">Include an additional input "Scheme costs allocation per ET" to allow for cost offsets for non-least cost recycled water schemes to be incorporated.  </t>
  </si>
  <si>
    <t>JOURNAL OF CHANGES</t>
  </si>
  <si>
    <t>IPART - Maximum prices for connecting to a recycled water system - July 2019</t>
  </si>
  <si>
    <t>Please refer to the above link for guidance on calculating the scheme cost allocation amount.</t>
  </si>
  <si>
    <t>Expansion to account for the Maximum prices for connecting to a recycled water system Determination July 2019.</t>
  </si>
  <si>
    <t>Value of post-1996 uncommissioned assets to be collected through this DSP (undiscounted)</t>
  </si>
  <si>
    <t>Present value of post-1996 uncommissioned assets (discounted at post-1996 asset discount rate)</t>
  </si>
  <si>
    <t>Agencies can also use the template to calculate the maximum price for connecting a New Development to a Recycled Water System (where that Recycled Water System is a Least Cost Servicing Solution) or to calculate the Ordinary Developer Charge component of the maximum price for connecting a New Development to a Recycled Water System (where that Recycled Water System is not a Least Cost Servicing Solution).</t>
  </si>
  <si>
    <t>The above two determinations must be read in conjunction to one another.</t>
  </si>
  <si>
    <t>Where the New Development is connecting to a Recycled Water System, the variables may be modified by Schedule 1 or Schedule 2 of the Recycled Water Developer Charges Determination.</t>
  </si>
  <si>
    <t>maximum price per equivalent tenement to be services by the connection.</t>
  </si>
  <si>
    <t>Where this template is being used to calculate the maximum price for connecting to a Recycled Water System, refer to the following provisions of the Recycled Water Developer Charges Determination:</t>
  </si>
  <si>
    <t>These provisions may affect the calculation of the capital charge.</t>
  </si>
  <si>
    <t xml:space="preserve">(b)     Schedule 2, clause 2.2 (where the Recycled Water System is not a Least Cost Servicing Solution). </t>
  </si>
  <si>
    <t>(a)     Schedule 1, clause 2 (where the Recycled Water System is a Least Cost Servicing Solution); and</t>
  </si>
  <si>
    <t xml:space="preserve">Where this spreadsheet is being used to calculate the maximum price for connection of a New Development to a Recycled Water System that is a Least Cost Servicing Solution, </t>
  </si>
  <si>
    <t>revenues from the sale of Recycled Water (see Recycled Water Developer Charges Determination, Sch 1, cl 3).</t>
  </si>
  <si>
    <t>the reduction amount includes the revenues that the Agency would have received had the supply of potable water not been substituted with Recycled Water, but excludes the</t>
  </si>
  <si>
    <t xml:space="preserve">Where this spreadsheet is being used to calculate the ordinary developer charge component of the maximum price for connection of a New Development to a Recycled Water System </t>
  </si>
  <si>
    <t xml:space="preserve">that is NOT a Least Cost Servicing Solution, the relevant operating revenues and operating costs used to calculate the reduction amount are different (see Recycled Water Developer </t>
  </si>
  <si>
    <t>Charges Determination, Sch 2, cl 2.3).</t>
  </si>
  <si>
    <t>any asset or part of an asset that was unreasonably oversized relative to system and capacity requirements, based on available demographic data at the time it was commissioned;</t>
  </si>
  <si>
    <t>any assets or part of an asset funded by Developers and transferred free of charge to the Agency.</t>
  </si>
  <si>
    <t>For the removal of doubt, the Determination defines assets as:</t>
  </si>
  <si>
    <t xml:space="preserve">(a) </t>
  </si>
  <si>
    <t>were commissioned prior to the Commencement Date;</t>
  </si>
  <si>
    <t xml:space="preserve">(b) </t>
  </si>
  <si>
    <t>were commissioned after the Commencement Date but before the Development commenced; and</t>
  </si>
  <si>
    <t xml:space="preserve">(c) </t>
  </si>
  <si>
    <t>are commissioned, or are to be commissioned, after the Development commences.</t>
  </si>
  <si>
    <t>any Pre-1970 Assets; and</t>
  </si>
  <si>
    <t>all assets or parts of assets (including headworks), apart from Excluded Assets, allocated to a DSP where there is a nexus (close connection) to the Development they are intended to serve and includes assets that:</t>
  </si>
  <si>
    <t>is the financial year which is 30 years from the financial year in which the relevant DSP was registered with IPART under clause 2(e) of Schedule 4 of the Determination.</t>
  </si>
  <si>
    <r>
      <t>PV(L</t>
    </r>
    <r>
      <rPr>
        <vertAlign val="subscript"/>
        <sz val="9"/>
        <rFont val="Arial"/>
        <family val="2"/>
      </rPr>
      <t>1</t>
    </r>
    <r>
      <rPr>
        <sz val="9"/>
        <rFont val="Arial"/>
        <family val="2"/>
      </rPr>
      <t>)</t>
    </r>
  </si>
  <si>
    <r>
      <t>PV(L</t>
    </r>
    <r>
      <rPr>
        <vertAlign val="subscript"/>
        <sz val="9"/>
        <rFont val="Arial"/>
        <family val="2"/>
      </rPr>
      <t>2</t>
    </r>
    <r>
      <rPr>
        <sz val="9"/>
        <rFont val="Arial"/>
        <family val="2"/>
      </rPr>
      <t>)</t>
    </r>
  </si>
  <si>
    <r>
      <t>PV(L</t>
    </r>
    <r>
      <rPr>
        <vertAlign val="subscript"/>
        <sz val="9"/>
        <rFont val="Arial"/>
        <family val="2"/>
      </rPr>
      <t>3</t>
    </r>
    <r>
      <rPr>
        <sz val="9"/>
        <rFont val="Arial"/>
        <family val="2"/>
      </rPr>
      <t>)</t>
    </r>
  </si>
  <si>
    <t xml:space="preserve"> G22, MP Calculations worksheet
Scheme cost allocation worksheet</t>
  </si>
  <si>
    <t>generic coastal DSP</t>
  </si>
  <si>
    <t>Developer charges and backlog sewerage charges for metropolitan water agencies 2018 | IPART (nsw.gov.au)</t>
  </si>
  <si>
    <t>Older deep water ocean outfall (required to service growth)</t>
  </si>
  <si>
    <t>New deep water ocean outfall  (required to service growth)</t>
  </si>
  <si>
    <t>Storage tunnel for wet weather sewer overflow (required to service growth)</t>
  </si>
  <si>
    <t>Enhancement to storage tunnel (required to service growth)</t>
  </si>
  <si>
    <t>WWTP serving only this DSP (required to service growth)</t>
  </si>
  <si>
    <t>All coastal</t>
  </si>
  <si>
    <t>Coastal: North of Harbour</t>
  </si>
  <si>
    <t>Outfalls</t>
  </si>
  <si>
    <t>Gravity sewer main serving two adjacent DSPs (required to service growth)</t>
  </si>
  <si>
    <t>This DSP and an adjacent DSP</t>
  </si>
  <si>
    <t>This DSP only</t>
  </si>
  <si>
    <t>Wastewater treatment plant</t>
  </si>
  <si>
    <t>Metres</t>
  </si>
  <si>
    <t>Incease clarity of Determination intent</t>
  </si>
  <si>
    <t>Improve examples of the asset input worksheets to clarify that asset apportionment should be considered on an asset-by-asset basis.</t>
  </si>
  <si>
    <t>Row 22 and 23 on the Pre-1996 assets, Post-1996 commissioned assets and Uncommissioned assets worksheets</t>
  </si>
  <si>
    <t>V1.02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</si>
</sst>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8" formatCode="&quot;$&quot;#,##0.00;[Red]\-&quot;$&quot;#,##0.00"/>
    <numFmt numFmtId="41" formatCode="_-* #,##0_-;\-* #,##0_-;_-* &quot;-&quot;_-;_-@_-"/>
    <numFmt numFmtId="43" formatCode="_-* #,##0.00_-;\-* #,##0.00_-;_-* &quot;-&quot;??_-;_-@_-"/>
    <numFmt numFmtId="164" formatCode="_(* #,##0.00_);_(* \(#,##0.00\);_(* &quot;-&quot;_);_(@_)"/>
    <numFmt numFmtId="165" formatCode="0.0%"/>
    <numFmt numFmtId="166" formatCode="#,##0.0"/>
    <numFmt numFmtId="167" formatCode="_(* #,##0.0_);_(* \(#,##0.0\);_(* &quot;-&quot;??_);_(@_)"/>
    <numFmt numFmtId="168" formatCode="[$-C09]dd\-mmmm\-yyyy;@"/>
    <numFmt numFmtId="169" formatCode="[$-C09]d\ mmmm\ yyyy;@"/>
    <numFmt numFmtId="170" formatCode="dd\ mmm\ yyyy"/>
    <numFmt numFmtId="171" formatCode="yyyy\-*y"/>
    <numFmt numFmtId="172" formatCode="&quot;$&quot;#,##0"/>
    <numFmt numFmtId="173" formatCode="#,##0.000"/>
    <numFmt numFmtId="174" formatCode="mmmm\ yyyy"/>
  </numFmts>
  <fonts count="24" x14ac:knownFonts="1">
    <font>
      <sz val="9"/>
      <name val="Arial"/>
      <family val="2"/>
    </font>
    <font>
      <sz val="9"/>
      <name val="Arial"/>
      <family val="2"/>
    </font>
    <font>
      <sz val="9"/>
      <color indexed="14"/>
      <name val="Arial"/>
      <family val="2"/>
    </font>
    <font>
      <sz val="9"/>
      <color indexed="10"/>
      <name val="Arial"/>
      <family val="2"/>
    </font>
    <font>
      <sz val="9"/>
      <color indexed="12"/>
      <name val="Arial"/>
      <family val="2"/>
    </font>
    <font>
      <b/>
      <sz val="9"/>
      <color indexed="9"/>
      <name val="Arial"/>
      <family val="2"/>
    </font>
    <font>
      <b/>
      <sz val="9"/>
      <color indexed="57"/>
      <name val="Arial"/>
      <family val="2"/>
    </font>
    <font>
      <b/>
      <sz val="14"/>
      <name val="Arial"/>
      <family val="2"/>
    </font>
    <font>
      <sz val="11"/>
      <name val="Arial"/>
      <family val="2"/>
    </font>
    <font>
      <b/>
      <sz val="12"/>
      <name val="Arial"/>
      <family val="2"/>
    </font>
    <font>
      <b/>
      <sz val="9"/>
      <name val="Arial"/>
      <family val="2"/>
    </font>
    <font>
      <b/>
      <sz val="16"/>
      <name val="Arial"/>
      <family val="2"/>
    </font>
    <font>
      <u/>
      <sz val="9"/>
      <color theme="10"/>
      <name val="Arial"/>
      <family val="2"/>
    </font>
    <font>
      <b/>
      <sz val="11"/>
      <name val="Arial"/>
      <family val="2"/>
    </font>
    <font>
      <b/>
      <sz val="9"/>
      <color rgb="FFFF0000"/>
      <name val="Arial"/>
      <family val="2"/>
    </font>
    <font>
      <sz val="10"/>
      <color indexed="9"/>
      <name val="Arial"/>
      <family val="2"/>
    </font>
    <font>
      <i/>
      <sz val="9"/>
      <name val="Arial"/>
      <family val="2"/>
    </font>
    <font>
      <sz val="9"/>
      <color indexed="81"/>
      <name val="Tahoma"/>
      <family val="2"/>
    </font>
    <font>
      <b/>
      <sz val="9"/>
      <color indexed="81"/>
      <name val="Tahoma"/>
      <family val="2"/>
    </font>
    <font>
      <sz val="9"/>
      <color rgb="FFFF0000"/>
      <name val="Arial"/>
      <family val="2"/>
    </font>
    <font>
      <sz val="9"/>
      <color theme="0" tint="-0.14996795556505021"/>
      <name val="Arial"/>
      <family val="2"/>
    </font>
    <font>
      <vertAlign val="subscript"/>
      <sz val="9"/>
      <name val="Arial"/>
      <family val="2"/>
    </font>
    <font>
      <vertAlign val="subscript"/>
      <sz val="9"/>
      <color indexed="81"/>
      <name val="Tahoma"/>
      <family val="2"/>
    </font>
    <font>
      <sz val="9"/>
      <color theme="1"/>
      <name val="Arial"/>
      <family val="2"/>
    </font>
  </fonts>
  <fills count="13">
    <fill>
      <patternFill patternType="none"/>
    </fill>
    <fill>
      <patternFill patternType="gray125"/>
    </fill>
    <fill>
      <patternFill patternType="lightGray">
        <fgColor indexed="13"/>
      </patternFill>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18"/>
        <bgColor indexed="15"/>
      </patternFill>
    </fill>
    <fill>
      <patternFill patternType="solid">
        <fgColor theme="0"/>
        <bgColor indexed="15"/>
      </patternFill>
    </fill>
    <fill>
      <patternFill patternType="solid">
        <fgColor indexed="44"/>
        <bgColor indexed="15"/>
      </patternFill>
    </fill>
    <fill>
      <patternFill patternType="solid">
        <fgColor rgb="FFDDDDDD"/>
        <bgColor indexed="64"/>
      </patternFill>
    </fill>
  </fills>
  <borders count="22">
    <border>
      <left/>
      <right/>
      <top/>
      <bottom/>
      <diagonal/>
    </border>
    <border>
      <left/>
      <right style="double">
        <color theme="6"/>
      </right>
      <top/>
      <bottom/>
      <diagonal/>
    </border>
    <border>
      <left/>
      <right/>
      <top/>
      <bottom style="thin">
        <color indexed="64"/>
      </bottom>
      <diagonal/>
    </border>
    <border>
      <left/>
      <right/>
      <top style="thin">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10"/>
      </left>
      <right/>
      <top/>
      <bottom/>
      <diagonal/>
    </border>
    <border>
      <left/>
      <right style="thin">
        <color indexed="64"/>
      </right>
      <top style="thin">
        <color indexed="64"/>
      </top>
      <bottom style="thin">
        <color indexed="64"/>
      </bottom>
      <diagonal/>
    </border>
    <border>
      <left/>
      <right style="thin">
        <color indexed="64"/>
      </right>
      <top/>
      <bottom/>
      <diagonal/>
    </border>
    <border>
      <left/>
      <right/>
      <top/>
      <bottom style="double">
        <color rgb="FFFF0000"/>
      </bottom>
      <diagonal/>
    </border>
    <border>
      <left/>
      <right/>
      <top style="double">
        <color rgb="FFFF0000"/>
      </top>
      <bottom/>
      <diagonal/>
    </border>
    <border>
      <left/>
      <right/>
      <top style="double">
        <color rgb="FFFF0000"/>
      </top>
      <bottom style="double">
        <color rgb="FFFF000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bottom style="double">
        <color rgb="FFFF0000"/>
      </bottom>
      <diagonal/>
    </border>
  </borders>
  <cellStyleXfs count="20">
    <xf numFmtId="0" fontId="0" fillId="0" borderId="0"/>
    <xf numFmtId="43" fontId="1" fillId="0" borderId="0" applyFont="0" applyFill="0" applyBorder="0" applyAlignment="0" applyProtection="0"/>
    <xf numFmtId="41" fontId="1" fillId="0" borderId="0" applyFont="0" applyFill="0" applyBorder="0" applyAlignment="0" applyProtection="0"/>
    <xf numFmtId="0" fontId="1" fillId="0" borderId="1" applyNumberFormat="0" applyFont="0" applyFill="0" applyAlignment="0" applyProtection="0"/>
    <xf numFmtId="164" fontId="2" fillId="0" borderId="0" applyNumberFormat="0" applyFill="0" applyBorder="0" applyAlignment="0">
      <alignment horizontal="left"/>
    </xf>
    <xf numFmtId="0" fontId="3" fillId="0" borderId="0" applyNumberFormat="0" applyFill="0" applyBorder="0" applyAlignment="0"/>
    <xf numFmtId="4" fontId="1" fillId="4" borderId="0" applyBorder="0" applyAlignment="0">
      <alignment horizontal="right"/>
      <protection locked="0"/>
    </xf>
    <xf numFmtId="165" fontId="1" fillId="4" borderId="0" applyBorder="0" applyAlignment="0">
      <alignment horizontal="right"/>
      <protection locked="0"/>
    </xf>
    <xf numFmtId="3" fontId="4" fillId="0" borderId="0" applyNumberFormat="0" applyFill="0" applyBorder="0" applyAlignment="0" applyProtection="0">
      <protection locked="0"/>
    </xf>
    <xf numFmtId="41" fontId="5" fillId="5" borderId="0" applyNumberFormat="0" applyBorder="0" applyAlignment="0"/>
    <xf numFmtId="0" fontId="6" fillId="0" borderId="0" applyNumberFormat="0" applyFill="0" applyBorder="0" applyAlignment="0" applyProtection="0"/>
    <xf numFmtId="0" fontId="12" fillId="0" borderId="0" applyNumberFormat="0" applyFill="0" applyBorder="0" applyAlignment="0" applyProtection="0"/>
    <xf numFmtId="166" fontId="1" fillId="2" borderId="0" applyBorder="0">
      <alignment horizontal="right"/>
      <protection locked="0"/>
    </xf>
    <xf numFmtId="165" fontId="1" fillId="3" borderId="0" applyBorder="0" applyAlignment="0">
      <protection locked="0"/>
    </xf>
    <xf numFmtId="0" fontId="14" fillId="7" borderId="0" applyNumberFormat="0" applyBorder="0" applyAlignment="0" applyProtection="0"/>
    <xf numFmtId="165" fontId="1" fillId="2" borderId="0" applyBorder="0" applyAlignment="0">
      <alignment horizontal="left"/>
      <protection locked="0"/>
    </xf>
    <xf numFmtId="166" fontId="1" fillId="3" borderId="2" applyBorder="0" applyAlignment="0">
      <alignment horizontal="right"/>
      <protection locked="0"/>
    </xf>
    <xf numFmtId="10" fontId="1" fillId="4" borderId="0" applyBorder="0" applyAlignment="0">
      <alignment horizontal="right"/>
      <protection locked="0"/>
    </xf>
    <xf numFmtId="9" fontId="15" fillId="0" borderId="0" applyFont="0" applyBorder="0" applyAlignment="0" applyProtection="0"/>
    <xf numFmtId="9" fontId="15" fillId="0" borderId="0" applyFont="0" applyBorder="0" applyAlignment="0" applyProtection="0"/>
  </cellStyleXfs>
  <cellXfs count="272">
    <xf numFmtId="0" fontId="0" fillId="0" borderId="0" xfId="0"/>
    <xf numFmtId="0" fontId="0" fillId="0" borderId="0" xfId="0" applyBorder="1"/>
    <xf numFmtId="0" fontId="0" fillId="6" borderId="0" xfId="0" applyFill="1"/>
    <xf numFmtId="0" fontId="9" fillId="0" borderId="0" xfId="0" applyFont="1"/>
    <xf numFmtId="166" fontId="1" fillId="3" borderId="0" xfId="16" applyBorder="1" applyAlignment="1">
      <protection locked="0"/>
    </xf>
    <xf numFmtId="0" fontId="0" fillId="0" borderId="0" xfId="0" applyFont="1" applyBorder="1" applyAlignment="1">
      <alignment horizontal="left"/>
    </xf>
    <xf numFmtId="0" fontId="10" fillId="6" borderId="0" xfId="14" applyFont="1" applyFill="1"/>
    <xf numFmtId="0" fontId="0" fillId="0" borderId="0" xfId="0" applyAlignment="1"/>
    <xf numFmtId="0" fontId="0" fillId="0" borderId="0" xfId="0" applyFont="1" applyAlignment="1"/>
    <xf numFmtId="0" fontId="10" fillId="0" borderId="0" xfId="0" applyFont="1" applyAlignment="1"/>
    <xf numFmtId="0" fontId="0" fillId="0" borderId="0" xfId="0" applyFill="1" applyAlignment="1"/>
    <xf numFmtId="0" fontId="0" fillId="0" borderId="0" xfId="0" applyFont="1" applyFill="1" applyAlignment="1"/>
    <xf numFmtId="0" fontId="9" fillId="0" borderId="0" xfId="0" applyFont="1" applyFill="1" applyAlignment="1"/>
    <xf numFmtId="0" fontId="8" fillId="0" borderId="0" xfId="0" applyFont="1" applyFill="1" applyAlignment="1">
      <alignment horizontal="left" vertical="top"/>
    </xf>
    <xf numFmtId="0" fontId="0" fillId="0" borderId="0" xfId="0" applyFont="1" applyFill="1" applyAlignment="1">
      <alignment horizontal="left" vertical="top"/>
    </xf>
    <xf numFmtId="0" fontId="10" fillId="0" borderId="0" xfId="0" applyFont="1" applyFill="1" applyAlignment="1"/>
    <xf numFmtId="0" fontId="0" fillId="0" borderId="4" xfId="0" applyFont="1" applyBorder="1" applyAlignment="1"/>
    <xf numFmtId="0" fontId="0" fillId="0" borderId="0" xfId="0" applyFont="1" applyFill="1" applyBorder="1" applyAlignment="1">
      <alignment horizontal="left" vertical="top"/>
    </xf>
    <xf numFmtId="0" fontId="13" fillId="8" borderId="0" xfId="0" applyFont="1" applyFill="1" applyBorder="1" applyAlignment="1"/>
    <xf numFmtId="0" fontId="0" fillId="8" borderId="0" xfId="0" applyFill="1" applyBorder="1" applyAlignment="1"/>
    <xf numFmtId="0" fontId="0" fillId="0" borderId="0" xfId="0" applyFont="1" applyFill="1" applyBorder="1" applyAlignment="1"/>
    <xf numFmtId="0" fontId="0" fillId="0" borderId="0" xfId="0" applyFont="1" applyFill="1" applyBorder="1" applyAlignment="1">
      <alignment horizontal="center" vertical="top"/>
    </xf>
    <xf numFmtId="0" fontId="8" fillId="8" borderId="0" xfId="0" applyFont="1" applyFill="1" applyBorder="1" applyAlignment="1"/>
    <xf numFmtId="0" fontId="0" fillId="0" borderId="0" xfId="0" applyFont="1" applyAlignment="1">
      <alignment horizontal="left"/>
    </xf>
    <xf numFmtId="4" fontId="0" fillId="4" borderId="0" xfId="6" applyFont="1" applyBorder="1" applyAlignment="1">
      <alignment horizontal="left"/>
      <protection locked="0"/>
    </xf>
    <xf numFmtId="166" fontId="0" fillId="3" borderId="0" xfId="16" applyFont="1" applyBorder="1" applyAlignment="1">
      <protection locked="0"/>
    </xf>
    <xf numFmtId="167" fontId="4" fillId="0" borderId="0" xfId="1" applyNumberFormat="1" applyFont="1" applyFill="1" applyBorder="1" applyAlignment="1">
      <alignment horizontal="left"/>
    </xf>
    <xf numFmtId="167" fontId="5" fillId="5" borderId="0" xfId="9" applyNumberFormat="1" applyBorder="1" applyAlignment="1">
      <alignment horizontal="left"/>
    </xf>
    <xf numFmtId="167" fontId="2" fillId="0" borderId="0" xfId="4" applyNumberFormat="1" applyFont="1" applyFill="1" applyBorder="1" applyAlignment="1">
      <alignment horizontal="left"/>
    </xf>
    <xf numFmtId="167" fontId="2" fillId="0" borderId="0" xfId="1" applyNumberFormat="1" applyFont="1" applyFill="1" applyBorder="1" applyAlignment="1">
      <alignment horizontal="left"/>
    </xf>
    <xf numFmtId="167" fontId="3" fillId="0" borderId="0" xfId="5" applyNumberFormat="1" applyFont="1" applyFill="1" applyBorder="1" applyAlignment="1">
      <alignment horizontal="left"/>
    </xf>
    <xf numFmtId="167" fontId="3" fillId="0" borderId="0" xfId="1" applyNumberFormat="1" applyFont="1" applyFill="1" applyBorder="1" applyAlignment="1">
      <alignment horizontal="left"/>
    </xf>
    <xf numFmtId="167" fontId="0" fillId="0" borderId="9" xfId="1" applyNumberFormat="1" applyFont="1" applyBorder="1" applyAlignment="1">
      <alignment horizontal="left"/>
    </xf>
    <xf numFmtId="167" fontId="0" fillId="0" borderId="0" xfId="1" applyNumberFormat="1" applyFont="1" applyBorder="1" applyAlignment="1">
      <alignment horizontal="left"/>
    </xf>
    <xf numFmtId="0" fontId="0" fillId="0" borderId="5" xfId="0" applyBorder="1" applyAlignment="1">
      <alignment horizontal="center" wrapText="1"/>
    </xf>
    <xf numFmtId="0" fontId="0" fillId="0" borderId="5" xfId="0" applyFill="1" applyBorder="1" applyAlignment="1">
      <alignment horizontal="center" wrapText="1"/>
    </xf>
    <xf numFmtId="4" fontId="1" fillId="4" borderId="7" xfId="6" applyBorder="1" applyAlignment="1">
      <protection locked="0"/>
    </xf>
    <xf numFmtId="0" fontId="0" fillId="0" borderId="0" xfId="0" applyAlignment="1">
      <alignment horizontal="right"/>
    </xf>
    <xf numFmtId="170" fontId="0" fillId="0" borderId="0" xfId="0" applyNumberFormat="1"/>
    <xf numFmtId="0" fontId="0" fillId="0" borderId="0" xfId="0" applyAlignment="1">
      <alignment horizontal="center" wrapText="1"/>
    </xf>
    <xf numFmtId="9" fontId="0" fillId="0" borderId="0" xfId="0" applyNumberFormat="1"/>
    <xf numFmtId="0" fontId="0" fillId="0" borderId="0" xfId="0" applyAlignment="1">
      <alignment horizontal="center"/>
    </xf>
    <xf numFmtId="4" fontId="0" fillId="0" borderId="0" xfId="0" applyNumberFormat="1"/>
    <xf numFmtId="3" fontId="1" fillId="4" borderId="7" xfId="6" applyNumberFormat="1" applyBorder="1" applyAlignment="1">
      <protection locked="0"/>
    </xf>
    <xf numFmtId="0" fontId="0" fillId="0" borderId="0" xfId="0" applyAlignment="1">
      <alignment wrapText="1"/>
    </xf>
    <xf numFmtId="0" fontId="0" fillId="0" borderId="3" xfId="0" applyBorder="1"/>
    <xf numFmtId="0" fontId="0" fillId="0" borderId="2" xfId="0" applyBorder="1"/>
    <xf numFmtId="0" fontId="0" fillId="0" borderId="6" xfId="0" applyBorder="1"/>
    <xf numFmtId="0" fontId="0" fillId="0" borderId="7" xfId="0" applyBorder="1"/>
    <xf numFmtId="0" fontId="0" fillId="0" borderId="8" xfId="0" applyBorder="1"/>
    <xf numFmtId="0" fontId="10" fillId="0" borderId="0" xfId="0" applyFont="1"/>
    <xf numFmtId="0" fontId="10" fillId="0" borderId="0" xfId="0" applyFont="1" applyAlignment="1">
      <alignment horizontal="centerContinuous" wrapText="1"/>
    </xf>
    <xf numFmtId="0" fontId="10" fillId="0" borderId="0" xfId="0" applyFont="1" applyAlignment="1">
      <alignment horizontal="right" wrapText="1"/>
    </xf>
    <xf numFmtId="3" fontId="1" fillId="4" borderId="6" xfId="6" applyNumberFormat="1" applyBorder="1" applyAlignment="1">
      <protection locked="0"/>
    </xf>
    <xf numFmtId="0" fontId="0" fillId="0" borderId="0" xfId="0" applyBorder="1" applyAlignment="1">
      <alignment horizontal="right"/>
    </xf>
    <xf numFmtId="4" fontId="1" fillId="4" borderId="5" xfId="6" applyBorder="1" applyAlignment="1">
      <alignment horizontal="center"/>
      <protection locked="0"/>
    </xf>
    <xf numFmtId="8" fontId="0" fillId="0" borderId="0" xfId="0" applyNumberFormat="1"/>
    <xf numFmtId="170" fontId="0" fillId="0" borderId="0" xfId="0" applyNumberFormat="1" applyBorder="1" applyAlignment="1">
      <alignment horizontal="right"/>
    </xf>
    <xf numFmtId="0" fontId="0" fillId="0" borderId="15" xfId="0" applyBorder="1"/>
    <xf numFmtId="0" fontId="0" fillId="0" borderId="16" xfId="0" applyBorder="1"/>
    <xf numFmtId="0" fontId="0" fillId="0" borderId="17" xfId="0" applyBorder="1"/>
    <xf numFmtId="0" fontId="0" fillId="0" borderId="11" xfId="0" applyBorder="1"/>
    <xf numFmtId="0" fontId="0" fillId="0" borderId="18" xfId="0" applyBorder="1"/>
    <xf numFmtId="0" fontId="0" fillId="0" borderId="19" xfId="0" applyBorder="1"/>
    <xf numFmtId="0" fontId="11" fillId="0" borderId="0" xfId="0" applyFont="1"/>
    <xf numFmtId="0" fontId="10" fillId="0" borderId="2" xfId="0" applyFont="1" applyBorder="1"/>
    <xf numFmtId="0" fontId="20" fillId="0" borderId="0" xfId="8" applyNumberFormat="1" applyFont="1" applyProtection="1"/>
    <xf numFmtId="4" fontId="1" fillId="4" borderId="5" xfId="6" applyBorder="1" applyAlignment="1">
      <alignment horizontal="center" wrapText="1"/>
      <protection locked="0"/>
    </xf>
    <xf numFmtId="3" fontId="1" fillId="4" borderId="5" xfId="6" applyNumberFormat="1" applyBorder="1" applyAlignment="1">
      <alignment horizontal="center" wrapText="1"/>
      <protection locked="0"/>
    </xf>
    <xf numFmtId="3" fontId="1" fillId="4" borderId="5" xfId="6" applyNumberFormat="1" applyBorder="1" applyAlignment="1">
      <alignment horizontal="center"/>
      <protection locked="0"/>
    </xf>
    <xf numFmtId="4" fontId="1" fillId="4" borderId="6" xfId="6" applyBorder="1" applyAlignment="1">
      <protection locked="0"/>
    </xf>
    <xf numFmtId="0" fontId="0" fillId="0" borderId="0" xfId="0" applyAlignment="1">
      <alignment horizontal="left" indent="1"/>
    </xf>
    <xf numFmtId="170" fontId="4" fillId="0" borderId="5" xfId="8" applyNumberFormat="1" applyBorder="1" applyAlignment="1" applyProtection="1">
      <alignment horizontal="center"/>
    </xf>
    <xf numFmtId="170" fontId="0" fillId="0" borderId="5" xfId="0" applyNumberFormat="1" applyBorder="1" applyAlignment="1">
      <alignment horizontal="center"/>
    </xf>
    <xf numFmtId="165" fontId="4" fillId="0" borderId="5" xfId="8" applyNumberFormat="1" applyBorder="1" applyAlignment="1" applyProtection="1">
      <alignment horizontal="center"/>
    </xf>
    <xf numFmtId="0" fontId="4" fillId="0" borderId="5" xfId="8" applyNumberFormat="1" applyBorder="1" applyAlignment="1" applyProtection="1">
      <alignment horizontal="center"/>
    </xf>
    <xf numFmtId="0" fontId="0" fillId="7" borderId="0" xfId="0" applyFill="1"/>
    <xf numFmtId="3" fontId="0" fillId="0" borderId="0" xfId="0" applyNumberFormat="1"/>
    <xf numFmtId="172" fontId="5" fillId="5" borderId="0" xfId="9" applyNumberFormat="1"/>
    <xf numFmtId="0" fontId="0" fillId="0" borderId="0" xfId="0" applyAlignment="1"/>
    <xf numFmtId="0" fontId="19" fillId="0" borderId="0" xfId="0" applyFont="1" applyAlignment="1">
      <alignment horizontal="left"/>
    </xf>
    <xf numFmtId="0" fontId="19" fillId="6" borderId="0" xfId="0" applyFont="1" applyFill="1"/>
    <xf numFmtId="0" fontId="12" fillId="0" borderId="4" xfId="11" applyBorder="1" applyAlignment="1"/>
    <xf numFmtId="0" fontId="0" fillId="0" borderId="0" xfId="0" applyFont="1" applyFill="1" applyBorder="1" applyAlignment="1">
      <alignment vertical="top"/>
    </xf>
    <xf numFmtId="0" fontId="0" fillId="0" borderId="0" xfId="0" applyFont="1" applyFill="1" applyBorder="1" applyAlignment="1">
      <alignment wrapText="1"/>
    </xf>
    <xf numFmtId="0" fontId="0" fillId="0" borderId="0" xfId="0" applyAlignment="1"/>
    <xf numFmtId="0" fontId="0" fillId="0" borderId="0" xfId="0" applyFill="1" applyBorder="1"/>
    <xf numFmtId="0" fontId="0" fillId="0" borderId="0" xfId="0" applyFill="1"/>
    <xf numFmtId="0" fontId="0" fillId="0" borderId="11" xfId="0" applyFill="1" applyBorder="1"/>
    <xf numFmtId="0" fontId="0" fillId="0" borderId="2" xfId="0" applyFill="1" applyBorder="1"/>
    <xf numFmtId="0" fontId="0" fillId="0" borderId="19" xfId="0" applyFill="1" applyBorder="1"/>
    <xf numFmtId="0" fontId="0" fillId="0" borderId="3" xfId="0" applyFill="1" applyBorder="1"/>
    <xf numFmtId="0" fontId="7" fillId="0" borderId="0" xfId="0" applyFont="1" applyFill="1"/>
    <xf numFmtId="0" fontId="0" fillId="0" borderId="16" xfId="0" applyFill="1" applyBorder="1"/>
    <xf numFmtId="0" fontId="10" fillId="0" borderId="0" xfId="0" applyFont="1" applyFill="1" applyBorder="1" applyAlignment="1">
      <alignment horizontal="right" wrapText="1"/>
    </xf>
    <xf numFmtId="0" fontId="0" fillId="0" borderId="0" xfId="0" applyFill="1" applyAlignment="1">
      <alignment horizontal="right"/>
    </xf>
    <xf numFmtId="0" fontId="10" fillId="0" borderId="0" xfId="0" applyFont="1" applyFill="1" applyBorder="1"/>
    <xf numFmtId="0" fontId="20" fillId="0" borderId="0" xfId="0" applyFont="1" applyFill="1"/>
    <xf numFmtId="0" fontId="0" fillId="0" borderId="17" xfId="0" applyFill="1" applyBorder="1"/>
    <xf numFmtId="0" fontId="0" fillId="0" borderId="18" xfId="0" applyFill="1" applyBorder="1"/>
    <xf numFmtId="0" fontId="0" fillId="0" borderId="15" xfId="0" applyFill="1" applyBorder="1"/>
    <xf numFmtId="3" fontId="5" fillId="9" borderId="0" xfId="9" applyNumberFormat="1" applyFill="1" applyBorder="1"/>
    <xf numFmtId="170" fontId="0" fillId="0" borderId="0" xfId="0" applyNumberFormat="1" applyFill="1" applyBorder="1" applyAlignment="1">
      <alignment horizontal="right"/>
    </xf>
    <xf numFmtId="0" fontId="7" fillId="0" borderId="3" xfId="0" applyFont="1" applyFill="1" applyBorder="1"/>
    <xf numFmtId="170" fontId="0" fillId="0" borderId="3" xfId="0" applyNumberFormat="1" applyFill="1" applyBorder="1" applyAlignment="1">
      <alignment horizontal="right"/>
    </xf>
    <xf numFmtId="3" fontId="5" fillId="9" borderId="5" xfId="9" applyNumberFormat="1" applyFill="1" applyBorder="1"/>
    <xf numFmtId="0" fontId="0" fillId="0" borderId="0" xfId="0" applyFill="1" applyBorder="1" applyAlignment="1">
      <alignment horizontal="right"/>
    </xf>
    <xf numFmtId="0" fontId="0" fillId="0" borderId="0" xfId="0" applyFill="1" applyBorder="1" applyAlignment="1">
      <alignment horizontal="center"/>
    </xf>
    <xf numFmtId="3" fontId="0" fillId="0" borderId="7" xfId="0" applyNumberFormat="1" applyFill="1" applyBorder="1"/>
    <xf numFmtId="3" fontId="0" fillId="0" borderId="6" xfId="0" applyNumberFormat="1" applyFill="1" applyBorder="1"/>
    <xf numFmtId="0" fontId="0" fillId="0" borderId="7" xfId="0" applyFill="1" applyBorder="1"/>
    <xf numFmtId="0" fontId="0" fillId="0" borderId="12" xfId="0" applyFill="1" applyBorder="1" applyAlignment="1">
      <alignment horizontal="right"/>
    </xf>
    <xf numFmtId="0" fontId="0" fillId="0" borderId="14" xfId="0" applyFill="1" applyBorder="1" applyAlignment="1">
      <alignment horizontal="right"/>
    </xf>
    <xf numFmtId="0" fontId="0" fillId="0" borderId="13" xfId="0" applyFill="1" applyBorder="1" applyAlignment="1">
      <alignment horizontal="right"/>
    </xf>
    <xf numFmtId="3" fontId="1" fillId="11" borderId="7" xfId="6" applyNumberFormat="1" applyFill="1" applyBorder="1" applyAlignment="1">
      <protection locked="0"/>
    </xf>
    <xf numFmtId="3" fontId="1" fillId="4" borderId="7" xfId="6" applyNumberFormat="1" applyFill="1" applyBorder="1" applyAlignment="1">
      <protection locked="0"/>
    </xf>
    <xf numFmtId="170" fontId="0" fillId="0" borderId="0" xfId="0" applyNumberFormat="1" applyFill="1"/>
    <xf numFmtId="0" fontId="10" fillId="0" borderId="0" xfId="0" applyFont="1" applyFill="1"/>
    <xf numFmtId="0" fontId="0" fillId="0" borderId="0" xfId="0" applyFill="1" applyAlignment="1">
      <alignment horizontal="left" indent="1"/>
    </xf>
    <xf numFmtId="170" fontId="0" fillId="0" borderId="6" xfId="0" applyNumberFormat="1" applyFill="1" applyBorder="1"/>
    <xf numFmtId="170" fontId="0" fillId="0" borderId="8" xfId="0" applyNumberFormat="1" applyFill="1" applyBorder="1"/>
    <xf numFmtId="168" fontId="0" fillId="0" borderId="0" xfId="0" applyNumberFormat="1" applyFill="1"/>
    <xf numFmtId="170" fontId="0" fillId="0" borderId="5" xfId="0" applyNumberFormat="1" applyFill="1" applyBorder="1"/>
    <xf numFmtId="0" fontId="0" fillId="0" borderId="0" xfId="0" applyFill="1" applyAlignment="1">
      <alignment horizontal="center" wrapText="1"/>
    </xf>
    <xf numFmtId="0" fontId="0" fillId="0" borderId="0" xfId="0" applyFill="1" applyAlignment="1">
      <alignment horizontal="center"/>
    </xf>
    <xf numFmtId="0" fontId="10" fillId="0" borderId="0" xfId="0" applyFont="1" applyFill="1" applyAlignment="1">
      <alignment horizontal="left"/>
    </xf>
    <xf numFmtId="0" fontId="0" fillId="0" borderId="6" xfId="0" applyFill="1" applyBorder="1"/>
    <xf numFmtId="0" fontId="4" fillId="0" borderId="0" xfId="8" applyNumberFormat="1" applyFill="1" applyProtection="1"/>
    <xf numFmtId="4" fontId="1" fillId="11" borderId="8" xfId="6" applyFill="1" applyBorder="1" applyAlignment="1">
      <protection locked="0"/>
    </xf>
    <xf numFmtId="0" fontId="10" fillId="0" borderId="0" xfId="0" applyFont="1" applyAlignment="1">
      <alignment horizontal="center"/>
    </xf>
    <xf numFmtId="0" fontId="0" fillId="0" borderId="0" xfId="0" applyAlignment="1"/>
    <xf numFmtId="0" fontId="14" fillId="6" borderId="0" xfId="14" applyFill="1"/>
    <xf numFmtId="0" fontId="0" fillId="6" borderId="0" xfId="0" applyFill="1" applyAlignment="1">
      <alignment horizontal="left" indent="1"/>
    </xf>
    <xf numFmtId="0" fontId="0" fillId="12" borderId="0" xfId="0" applyFill="1" applyAlignment="1"/>
    <xf numFmtId="0" fontId="0" fillId="12" borderId="0" xfId="0" applyFont="1" applyFill="1" applyBorder="1" applyAlignment="1">
      <alignment horizontal="left"/>
    </xf>
    <xf numFmtId="0" fontId="0" fillId="12" borderId="7" xfId="0" applyFill="1" applyBorder="1"/>
    <xf numFmtId="0" fontId="0" fillId="0" borderId="0" xfId="0" applyFont="1" applyFill="1" applyBorder="1" applyAlignment="1">
      <alignment wrapText="1"/>
    </xf>
    <xf numFmtId="0" fontId="0" fillId="0" borderId="0" xfId="0" applyAlignment="1">
      <alignment wrapText="1"/>
    </xf>
    <xf numFmtId="0" fontId="0" fillId="0" borderId="0" xfId="0" applyFont="1" applyFill="1" applyBorder="1" applyAlignment="1"/>
    <xf numFmtId="0" fontId="0" fillId="0" borderId="0" xfId="0" applyAlignment="1"/>
    <xf numFmtId="0" fontId="19" fillId="0" borderId="0" xfId="0" applyFont="1" applyAlignment="1">
      <alignment wrapText="1"/>
    </xf>
    <xf numFmtId="0" fontId="0" fillId="0" borderId="0" xfId="0" applyFont="1" applyFill="1" applyBorder="1" applyAlignment="1">
      <alignment horizontal="left" wrapText="1"/>
    </xf>
    <xf numFmtId="0" fontId="0" fillId="0" borderId="0" xfId="0" applyFont="1" applyFill="1" applyBorder="1" applyAlignment="1">
      <alignment horizontal="right" vertical="center"/>
    </xf>
    <xf numFmtId="0" fontId="0" fillId="0" borderId="0" xfId="0" applyFont="1" applyFill="1" applyBorder="1" applyAlignment="1">
      <alignment horizontal="right" vertical="top"/>
    </xf>
    <xf numFmtId="0" fontId="10" fillId="0" borderId="0" xfId="0" applyFont="1" applyFill="1" applyBorder="1" applyAlignment="1">
      <alignment horizontal="left" vertical="top"/>
    </xf>
    <xf numFmtId="0" fontId="0" fillId="0" borderId="0" xfId="0" applyFont="1" applyFill="1" applyBorder="1" applyAlignment="1">
      <alignment horizontal="left"/>
    </xf>
    <xf numFmtId="0" fontId="11" fillId="0" borderId="0" xfId="0" quotePrefix="1" applyFont="1"/>
    <xf numFmtId="0" fontId="0" fillId="0" borderId="0" xfId="0" applyAlignment="1"/>
    <xf numFmtId="172" fontId="0" fillId="0" borderId="0" xfId="0" applyNumberFormat="1"/>
    <xf numFmtId="0" fontId="12" fillId="0" borderId="0" xfId="11" applyFill="1" applyBorder="1" applyAlignment="1">
      <alignment horizontal="left" vertical="top"/>
    </xf>
    <xf numFmtId="0" fontId="0" fillId="6" borderId="3" xfId="0" applyFill="1" applyBorder="1"/>
    <xf numFmtId="0" fontId="0" fillId="6" borderId="2" xfId="0" applyFill="1" applyBorder="1"/>
    <xf numFmtId="0" fontId="14" fillId="0" borderId="0" xfId="0" applyFont="1" applyFill="1"/>
    <xf numFmtId="3" fontId="1" fillId="10" borderId="5" xfId="6" applyNumberFormat="1" applyFill="1" applyBorder="1" applyAlignment="1">
      <protection locked="0"/>
    </xf>
    <xf numFmtId="0" fontId="0" fillId="0" borderId="0" xfId="0" applyFill="1" applyAlignment="1">
      <alignment horizontal="right" wrapText="1"/>
    </xf>
    <xf numFmtId="0" fontId="0" fillId="0" borderId="0" xfId="0" applyFill="1" applyAlignment="1">
      <alignment horizontal="left" indent="4"/>
    </xf>
    <xf numFmtId="4" fontId="1" fillId="4" borderId="8" xfId="6" applyFill="1" applyBorder="1" applyAlignment="1">
      <protection locked="0"/>
    </xf>
    <xf numFmtId="165" fontId="0" fillId="0" borderId="6" xfId="0" applyNumberFormat="1" applyBorder="1"/>
    <xf numFmtId="165" fontId="0" fillId="0" borderId="7" xfId="0" applyNumberFormat="1" applyBorder="1"/>
    <xf numFmtId="165" fontId="0" fillId="0" borderId="8" xfId="0" applyNumberFormat="1" applyBorder="1"/>
    <xf numFmtId="0" fontId="0" fillId="0" borderId="0" xfId="0" applyAlignment="1"/>
    <xf numFmtId="4" fontId="0" fillId="4" borderId="7" xfId="6" applyFont="1" applyBorder="1" applyAlignment="1">
      <protection locked="0"/>
    </xf>
    <xf numFmtId="173" fontId="5" fillId="9" borderId="5" xfId="9" applyNumberFormat="1" applyFill="1" applyBorder="1"/>
    <xf numFmtId="3" fontId="10" fillId="0" borderId="5" xfId="0" applyNumberFormat="1" applyFont="1" applyFill="1" applyBorder="1" applyAlignment="1">
      <alignment horizontal="center"/>
    </xf>
    <xf numFmtId="0" fontId="0" fillId="6" borderId="3" xfId="0" applyFill="1" applyBorder="1" applyAlignment="1">
      <alignment wrapText="1"/>
    </xf>
    <xf numFmtId="0" fontId="0" fillId="6" borderId="0" xfId="0" applyFill="1" applyBorder="1" applyAlignment="1">
      <alignment wrapText="1"/>
    </xf>
    <xf numFmtId="0" fontId="2" fillId="6" borderId="3" xfId="4" applyNumberFormat="1" applyFill="1" applyBorder="1" applyAlignment="1">
      <alignment horizontal="center" wrapText="1"/>
    </xf>
    <xf numFmtId="0" fontId="2" fillId="6" borderId="3" xfId="4" applyNumberFormat="1" applyFont="1" applyFill="1" applyBorder="1" applyAlignment="1">
      <alignment horizontal="center" wrapText="1"/>
    </xf>
    <xf numFmtId="0" fontId="0" fillId="6" borderId="5" xfId="0" applyFill="1" applyBorder="1" applyAlignment="1">
      <alignment horizontal="center" wrapText="1"/>
    </xf>
    <xf numFmtId="0" fontId="10" fillId="6" borderId="0" xfId="0" applyFont="1" applyFill="1" applyBorder="1" applyAlignment="1">
      <alignment wrapText="1"/>
    </xf>
    <xf numFmtId="0" fontId="0" fillId="0" borderId="7" xfId="0" applyFill="1" applyBorder="1" applyAlignment="1">
      <alignment horizontal="center"/>
    </xf>
    <xf numFmtId="9" fontId="10" fillId="0" borderId="0" xfId="18" applyFont="1" applyBorder="1" applyAlignment="1">
      <alignment horizontal="right" wrapText="1"/>
    </xf>
    <xf numFmtId="9" fontId="10" fillId="0" borderId="0" xfId="18" applyFont="1" applyAlignment="1">
      <alignment horizontal="right" wrapText="1"/>
    </xf>
    <xf numFmtId="9" fontId="10" fillId="0" borderId="0" xfId="18" applyFont="1" applyAlignment="1">
      <alignment wrapText="1"/>
    </xf>
    <xf numFmtId="3" fontId="0" fillId="0" borderId="5" xfId="0" applyNumberFormat="1" applyFill="1" applyBorder="1"/>
    <xf numFmtId="4" fontId="1" fillId="4" borderId="5" xfId="6" applyBorder="1" applyAlignment="1">
      <protection locked="0"/>
    </xf>
    <xf numFmtId="0" fontId="0" fillId="0" borderId="20" xfId="0" applyFill="1" applyBorder="1"/>
    <xf numFmtId="3" fontId="0" fillId="0" borderId="10" xfId="0" applyNumberFormat="1" applyFill="1" applyBorder="1"/>
    <xf numFmtId="3" fontId="5" fillId="9" borderId="10" xfId="9" applyNumberFormat="1" applyFill="1" applyBorder="1"/>
    <xf numFmtId="0" fontId="5" fillId="5" borderId="20" xfId="9" applyNumberFormat="1" applyBorder="1"/>
    <xf numFmtId="0" fontId="7" fillId="0" borderId="0" xfId="0" applyFont="1" applyFill="1" applyBorder="1"/>
    <xf numFmtId="0" fontId="10" fillId="6" borderId="0" xfId="14" applyFont="1" applyFill="1" applyBorder="1" applyAlignment="1">
      <alignment horizontal="center" wrapText="1"/>
    </xf>
    <xf numFmtId="0" fontId="1" fillId="6" borderId="0" xfId="0" applyFont="1" applyFill="1" applyBorder="1"/>
    <xf numFmtId="0" fontId="0" fillId="6" borderId="20" xfId="0" applyFill="1" applyBorder="1" applyAlignment="1">
      <alignment horizontal="centerContinuous"/>
    </xf>
    <xf numFmtId="0" fontId="0" fillId="6" borderId="10" xfId="0" applyFill="1" applyBorder="1" applyAlignment="1">
      <alignment horizontal="centerContinuous"/>
    </xf>
    <xf numFmtId="4" fontId="0" fillId="6" borderId="5" xfId="0" applyNumberFormat="1" applyFill="1" applyBorder="1" applyAlignment="1">
      <alignment horizontal="center"/>
    </xf>
    <xf numFmtId="0" fontId="0" fillId="6" borderId="5" xfId="0" applyFill="1" applyBorder="1" applyAlignment="1">
      <alignment horizontal="center"/>
    </xf>
    <xf numFmtId="0" fontId="14" fillId="0" borderId="0" xfId="0" applyFont="1"/>
    <xf numFmtId="0" fontId="12" fillId="6" borderId="0" xfId="11" quotePrefix="1" applyFill="1"/>
    <xf numFmtId="172" fontId="10" fillId="6" borderId="0" xfId="14" applyNumberFormat="1" applyFont="1" applyFill="1"/>
    <xf numFmtId="0" fontId="0" fillId="6" borderId="0" xfId="0" applyFill="1" applyAlignment="1">
      <alignment wrapText="1"/>
    </xf>
    <xf numFmtId="0" fontId="0" fillId="6" borderId="3" xfId="0" applyFont="1" applyFill="1" applyBorder="1" applyAlignment="1">
      <alignment wrapText="1"/>
    </xf>
    <xf numFmtId="0" fontId="0" fillId="6" borderId="0" xfId="0" applyFont="1" applyFill="1" applyBorder="1" applyAlignment="1">
      <alignment wrapText="1"/>
    </xf>
    <xf numFmtId="0" fontId="10" fillId="6" borderId="0" xfId="14" applyFont="1" applyFill="1" applyBorder="1" applyAlignment="1">
      <alignment horizontal="right"/>
    </xf>
    <xf numFmtId="0" fontId="4" fillId="6" borderId="21" xfId="8" applyNumberFormat="1" applyFill="1" applyBorder="1" applyAlignment="1" applyProtection="1">
      <alignment horizontal="right"/>
    </xf>
    <xf numFmtId="3" fontId="1" fillId="6" borderId="6" xfId="14" applyNumberFormat="1" applyFont="1" applyFill="1" applyBorder="1"/>
    <xf numFmtId="0" fontId="1" fillId="6" borderId="6" xfId="14" applyFont="1" applyFill="1" applyBorder="1"/>
    <xf numFmtId="4" fontId="1" fillId="6" borderId="5" xfId="14" applyNumberFormat="1" applyFont="1" applyFill="1" applyBorder="1" applyAlignment="1" applyProtection="1">
      <alignment horizontal="center"/>
      <protection locked="0"/>
    </xf>
    <xf numFmtId="165" fontId="1" fillId="6" borderId="5" xfId="14" applyNumberFormat="1" applyFont="1" applyFill="1" applyBorder="1" applyAlignment="1" applyProtection="1">
      <alignment horizontal="center"/>
      <protection locked="0"/>
    </xf>
    <xf numFmtId="0" fontId="1" fillId="6" borderId="5" xfId="14" applyFont="1" applyFill="1" applyBorder="1" applyAlignment="1">
      <alignment horizontal="center" wrapText="1"/>
    </xf>
    <xf numFmtId="0" fontId="1" fillId="6" borderId="0" xfId="14" applyFont="1" applyFill="1" applyAlignment="1">
      <alignment horizontal="center" wrapText="1"/>
    </xf>
    <xf numFmtId="0" fontId="1" fillId="6" borderId="0" xfId="14" applyFont="1" applyFill="1" applyAlignment="1">
      <alignment horizontal="left" indent="1"/>
    </xf>
    <xf numFmtId="0" fontId="11" fillId="6" borderId="0" xfId="0" applyFont="1" applyFill="1"/>
    <xf numFmtId="0" fontId="0" fillId="0" borderId="0" xfId="0" applyAlignment="1"/>
    <xf numFmtId="0" fontId="1" fillId="6" borderId="0" xfId="14" applyFont="1" applyFill="1" applyAlignment="1">
      <alignment vertical="center"/>
    </xf>
    <xf numFmtId="0" fontId="1" fillId="6" borderId="0" xfId="14" applyFont="1" applyFill="1" applyAlignment="1"/>
    <xf numFmtId="0" fontId="23" fillId="6" borderId="0" xfId="14" applyFont="1" applyFill="1"/>
    <xf numFmtId="0" fontId="9" fillId="0" borderId="0" xfId="0" applyFont="1" applyFill="1"/>
    <xf numFmtId="0" fontId="23" fillId="6" borderId="0" xfId="14" quotePrefix="1" applyFont="1" applyFill="1"/>
    <xf numFmtId="0" fontId="19" fillId="6" borderId="0" xfId="14" applyFont="1" applyFill="1" applyAlignment="1">
      <alignment horizontal="left"/>
    </xf>
    <xf numFmtId="0" fontId="0" fillId="0" borderId="0" xfId="0" applyFont="1" applyFill="1" applyBorder="1" applyAlignment="1">
      <alignment wrapText="1"/>
    </xf>
    <xf numFmtId="0" fontId="0" fillId="0" borderId="0" xfId="0" applyAlignment="1">
      <alignment wrapText="1"/>
    </xf>
    <xf numFmtId="0" fontId="0" fillId="0" borderId="0" xfId="0" applyFont="1" applyFill="1" applyBorder="1" applyAlignment="1"/>
    <xf numFmtId="0" fontId="0" fillId="0" borderId="0" xfId="0" applyAlignment="1"/>
    <xf numFmtId="169" fontId="1" fillId="4" borderId="5" xfId="6" applyNumberFormat="1" applyBorder="1" applyAlignment="1">
      <alignment horizontal="center"/>
      <protection locked="0"/>
    </xf>
    <xf numFmtId="0" fontId="0" fillId="0" borderId="5" xfId="0" applyBorder="1" applyAlignment="1">
      <alignment vertical="top" wrapText="1"/>
    </xf>
    <xf numFmtId="0" fontId="0" fillId="0" borderId="5" xfId="0" applyBorder="1" applyAlignment="1">
      <alignment horizontal="center" vertical="top"/>
    </xf>
    <xf numFmtId="174" fontId="0" fillId="0" borderId="5" xfId="0" applyNumberFormat="1" applyBorder="1" applyAlignment="1">
      <alignment horizontal="center" vertical="top"/>
    </xf>
    <xf numFmtId="0" fontId="12" fillId="0" borderId="0" xfId="11"/>
    <xf numFmtId="0" fontId="0" fillId="0" borderId="0" xfId="0" applyFont="1" applyFill="1" applyBorder="1" applyAlignment="1">
      <alignment wrapText="1"/>
    </xf>
    <xf numFmtId="0" fontId="0" fillId="0" borderId="0" xfId="0" applyAlignment="1">
      <alignment wrapText="1"/>
    </xf>
    <xf numFmtId="0" fontId="0" fillId="0" borderId="0" xfId="0" applyAlignment="1"/>
    <xf numFmtId="0" fontId="12" fillId="0" borderId="0" xfId="11" applyAlignment="1">
      <alignment vertical="top"/>
    </xf>
    <xf numFmtId="0" fontId="19" fillId="0" borderId="0" xfId="0" applyFont="1" applyAlignment="1">
      <alignment horizontal="left" indent="2"/>
    </xf>
    <xf numFmtId="0" fontId="0" fillId="0" borderId="0" xfId="0" applyFont="1" applyFill="1" applyBorder="1" applyAlignment="1">
      <alignment wrapText="1"/>
    </xf>
    <xf numFmtId="0" fontId="0" fillId="0" borderId="0" xfId="0" applyAlignment="1">
      <alignment wrapText="1"/>
    </xf>
    <xf numFmtId="0" fontId="0" fillId="0" borderId="0" xfId="0" applyFont="1" applyFill="1" applyBorder="1" applyAlignment="1"/>
    <xf numFmtId="0" fontId="0" fillId="0" borderId="0" xfId="0" applyAlignment="1"/>
    <xf numFmtId="4" fontId="1" fillId="4" borderId="20" xfId="6" applyBorder="1" applyAlignment="1">
      <protection locked="0"/>
    </xf>
    <xf numFmtId="0" fontId="0" fillId="0" borderId="10" xfId="0" applyBorder="1" applyAlignment="1"/>
    <xf numFmtId="4" fontId="10" fillId="4" borderId="20" xfId="6" applyFont="1" applyBorder="1" applyAlignment="1">
      <alignment horizontal="center" wrapText="1"/>
      <protection locked="0"/>
    </xf>
    <xf numFmtId="0" fontId="0" fillId="0" borderId="10" xfId="0" applyBorder="1" applyAlignment="1">
      <alignment horizontal="center" wrapText="1"/>
    </xf>
    <xf numFmtId="3" fontId="1" fillId="4" borderId="6" xfId="6" applyNumberFormat="1" applyBorder="1" applyAlignment="1">
      <alignment horizontal="center" vertical="top"/>
      <protection locked="0"/>
    </xf>
    <xf numFmtId="3" fontId="1" fillId="4" borderId="7" xfId="6" applyNumberFormat="1" applyBorder="1" applyAlignment="1">
      <alignment horizontal="center" vertical="top"/>
      <protection locked="0"/>
    </xf>
    <xf numFmtId="3" fontId="1" fillId="4" borderId="8" xfId="6" applyNumberFormat="1" applyBorder="1" applyAlignment="1">
      <alignment horizontal="center" vertical="top"/>
      <protection locked="0"/>
    </xf>
    <xf numFmtId="170" fontId="1" fillId="4" borderId="6" xfId="6" applyNumberFormat="1" applyBorder="1" applyAlignment="1">
      <alignment horizontal="center" vertical="top"/>
      <protection locked="0"/>
    </xf>
    <xf numFmtId="170" fontId="1" fillId="4" borderId="7" xfId="6" applyNumberFormat="1" applyBorder="1" applyAlignment="1">
      <alignment horizontal="center" vertical="top"/>
      <protection locked="0"/>
    </xf>
    <xf numFmtId="170" fontId="1" fillId="4" borderId="8" xfId="6" applyNumberFormat="1" applyFill="1" applyBorder="1" applyAlignment="1">
      <alignment horizontal="center" vertical="top"/>
      <protection locked="0"/>
    </xf>
    <xf numFmtId="169" fontId="1" fillId="4" borderId="7" xfId="6" applyNumberFormat="1" applyBorder="1" applyAlignment="1">
      <alignment horizontal="center" vertical="top"/>
      <protection locked="0"/>
    </xf>
    <xf numFmtId="169" fontId="1" fillId="4" borderId="8" xfId="6" applyNumberFormat="1" applyFill="1" applyBorder="1" applyAlignment="1">
      <alignment horizontal="center" vertical="top"/>
      <protection locked="0"/>
    </xf>
    <xf numFmtId="4" fontId="1" fillId="4" borderId="6" xfId="6" applyBorder="1" applyAlignment="1">
      <alignment horizontal="left" vertical="top" wrapText="1"/>
      <protection locked="0"/>
    </xf>
    <xf numFmtId="0" fontId="1" fillId="10" borderId="6" xfId="13" applyNumberFormat="1" applyFill="1" applyBorder="1" applyAlignment="1">
      <alignment horizontal="center" vertical="top"/>
      <protection locked="0"/>
    </xf>
    <xf numFmtId="0" fontId="0" fillId="0" borderId="0" xfId="0" applyBorder="1" applyAlignment="1">
      <alignment vertical="top"/>
    </xf>
    <xf numFmtId="4" fontId="0" fillId="4" borderId="6" xfId="6" applyFont="1" applyBorder="1" applyAlignment="1">
      <alignment horizontal="center" vertical="top" wrapText="1"/>
      <protection locked="0"/>
    </xf>
    <xf numFmtId="165" fontId="1" fillId="0" borderId="6" xfId="18" applyNumberFormat="1" applyFont="1" applyFill="1" applyBorder="1" applyAlignment="1" applyProtection="1">
      <alignment horizontal="center" vertical="top"/>
      <protection locked="0"/>
    </xf>
    <xf numFmtId="0" fontId="0" fillId="0" borderId="0" xfId="0" applyFill="1" applyAlignment="1">
      <alignment vertical="top"/>
    </xf>
    <xf numFmtId="4" fontId="1" fillId="4" borderId="6" xfId="6" applyBorder="1" applyAlignment="1">
      <alignment horizontal="center" vertical="top"/>
      <protection locked="0"/>
    </xf>
    <xf numFmtId="3" fontId="1" fillId="10" borderId="6" xfId="6" applyNumberFormat="1" applyFill="1" applyBorder="1" applyAlignment="1">
      <alignment horizontal="center" vertical="top"/>
      <protection locked="0"/>
    </xf>
    <xf numFmtId="3" fontId="0" fillId="0" borderId="6" xfId="0" applyNumberFormat="1" applyFill="1" applyBorder="1" applyAlignment="1">
      <alignment horizontal="center" vertical="top"/>
    </xf>
    <xf numFmtId="4" fontId="1" fillId="4" borderId="7" xfId="6" applyBorder="1" applyAlignment="1">
      <alignment horizontal="left" vertical="top" wrapText="1"/>
      <protection locked="0"/>
    </xf>
    <xf numFmtId="0" fontId="1" fillId="10" borderId="7" xfId="13" applyNumberFormat="1" applyFill="1" applyBorder="1" applyAlignment="1">
      <alignment horizontal="center" vertical="top"/>
      <protection locked="0"/>
    </xf>
    <xf numFmtId="4" fontId="0" fillId="4" borderId="7" xfId="6" applyFont="1" applyBorder="1" applyAlignment="1">
      <alignment horizontal="center" vertical="top" wrapText="1"/>
      <protection locked="0"/>
    </xf>
    <xf numFmtId="165" fontId="1" fillId="0" borderId="7" xfId="18" applyNumberFormat="1" applyFont="1" applyFill="1" applyBorder="1" applyAlignment="1" applyProtection="1">
      <alignment horizontal="center" vertical="top"/>
      <protection locked="0"/>
    </xf>
    <xf numFmtId="0" fontId="0" fillId="0" borderId="0" xfId="0" applyAlignment="1">
      <alignment vertical="top"/>
    </xf>
    <xf numFmtId="3" fontId="0" fillId="4" borderId="7" xfId="6" applyNumberFormat="1" applyFont="1" applyBorder="1" applyAlignment="1">
      <alignment horizontal="center" vertical="top"/>
      <protection locked="0"/>
    </xf>
    <xf numFmtId="3" fontId="1" fillId="10" borderId="7" xfId="6" applyNumberFormat="1" applyFill="1" applyBorder="1" applyAlignment="1">
      <alignment horizontal="center" vertical="top"/>
      <protection locked="0"/>
    </xf>
    <xf numFmtId="3" fontId="0" fillId="0" borderId="7" xfId="0" applyNumberFormat="1" applyFill="1" applyBorder="1" applyAlignment="1">
      <alignment horizontal="center" vertical="top"/>
    </xf>
    <xf numFmtId="0" fontId="0" fillId="0" borderId="0" xfId="0" applyFill="1" applyBorder="1" applyAlignment="1">
      <alignment horizontal="center" vertical="top"/>
    </xf>
    <xf numFmtId="4" fontId="19" fillId="11" borderId="8" xfId="6" applyFont="1" applyFill="1" applyBorder="1" applyAlignment="1">
      <alignment horizontal="center" vertical="top" wrapText="1"/>
      <protection locked="0"/>
    </xf>
    <xf numFmtId="0" fontId="1" fillId="10" borderId="8" xfId="13" applyNumberFormat="1" applyFill="1" applyBorder="1" applyAlignment="1">
      <alignment horizontal="center" vertical="top"/>
      <protection locked="0"/>
    </xf>
    <xf numFmtId="4" fontId="1" fillId="4" borderId="8" xfId="6" applyBorder="1" applyAlignment="1">
      <alignment vertical="top" wrapText="1"/>
      <protection locked="0"/>
    </xf>
    <xf numFmtId="3" fontId="1" fillId="4" borderId="8" xfId="6" applyNumberFormat="1" applyBorder="1" applyAlignment="1">
      <alignment vertical="top"/>
      <protection locked="0"/>
    </xf>
    <xf numFmtId="165" fontId="1" fillId="0" borderId="8" xfId="18" applyNumberFormat="1" applyFont="1" applyFill="1" applyBorder="1" applyAlignment="1" applyProtection="1">
      <alignment horizontal="center" vertical="top"/>
      <protection locked="0"/>
    </xf>
    <xf numFmtId="0" fontId="0" fillId="0" borderId="0" xfId="0" applyFill="1" applyBorder="1" applyAlignment="1">
      <alignment vertical="top"/>
    </xf>
    <xf numFmtId="4" fontId="1" fillId="4" borderId="8" xfId="6" applyBorder="1" applyAlignment="1">
      <alignment vertical="top"/>
      <protection locked="0"/>
    </xf>
    <xf numFmtId="4" fontId="1" fillId="10" borderId="8" xfId="6" applyFill="1" applyBorder="1" applyAlignment="1">
      <alignment horizontal="center" vertical="top"/>
      <protection locked="0"/>
    </xf>
    <xf numFmtId="3" fontId="0" fillId="0" borderId="8" xfId="0" applyNumberFormat="1" applyFill="1" applyBorder="1" applyAlignment="1">
      <alignment horizontal="center" vertical="top"/>
    </xf>
    <xf numFmtId="171" fontId="1" fillId="10" borderId="6" xfId="13" applyNumberFormat="1" applyFill="1" applyBorder="1" applyAlignment="1">
      <alignment horizontal="center" vertical="top"/>
      <protection locked="0"/>
    </xf>
    <xf numFmtId="171" fontId="1" fillId="10" borderId="7" xfId="13" applyNumberFormat="1" applyFill="1" applyBorder="1" applyAlignment="1">
      <alignment horizontal="center" vertical="top"/>
      <protection locked="0"/>
    </xf>
    <xf numFmtId="3" fontId="1" fillId="4" borderId="11" xfId="6" applyNumberFormat="1" applyBorder="1" applyAlignment="1">
      <alignment horizontal="center" vertical="top"/>
      <protection locked="0"/>
    </xf>
    <xf numFmtId="3" fontId="1" fillId="4" borderId="17" xfId="6" applyNumberFormat="1" applyBorder="1" applyAlignment="1">
      <alignment horizontal="center" vertical="top"/>
      <protection locked="0"/>
    </xf>
    <xf numFmtId="4" fontId="1" fillId="4" borderId="7" xfId="6" applyBorder="1" applyAlignment="1">
      <alignment horizontal="center" vertical="top" wrapText="1"/>
      <protection locked="0"/>
    </xf>
  </cellXfs>
  <cellStyles count="20">
    <cellStyle name="Change in Formula" xfId="3" xr:uid="{00000000-0005-0000-0000-000000000000}"/>
    <cellStyle name="Comma" xfId="1" builtinId="3" customBuiltin="1"/>
    <cellStyle name="Comma [0]" xfId="2" builtinId="6" customBuiltin="1"/>
    <cellStyle name="Error checks" xfId="4" xr:uid="{00000000-0005-0000-0000-000003000000}"/>
    <cellStyle name="Error Warning" xfId="5" xr:uid="{00000000-0005-0000-0000-000004000000}"/>
    <cellStyle name="Hyperlink" xfId="11" builtinId="8"/>
    <cellStyle name="Info/Default #" xfId="16" xr:uid="{00000000-0005-0000-0000-000006000000}"/>
    <cellStyle name="Info/default %" xfId="13" xr:uid="{00000000-0005-0000-0000-000007000000}"/>
    <cellStyle name="Info/import #" xfId="12" xr:uid="{00000000-0005-0000-0000-000008000000}"/>
    <cellStyle name="Info/import %" xfId="15" xr:uid="{00000000-0005-0000-0000-000009000000}"/>
    <cellStyle name="Input #" xfId="6" xr:uid="{00000000-0005-0000-0000-00000A000000}"/>
    <cellStyle name="Input %" xfId="7" xr:uid="{00000000-0005-0000-0000-00000B000000}"/>
    <cellStyle name="Input % 2" xfId="17" xr:uid="{00000000-0005-0000-0000-00000C000000}"/>
    <cellStyle name="Input2" xfId="8" xr:uid="{00000000-0005-0000-0000-00000D000000}"/>
    <cellStyle name="Key Outputs" xfId="9" xr:uid="{00000000-0005-0000-0000-00000E000000}"/>
    <cellStyle name="Links from other files (green) style" xfId="10" xr:uid="{00000000-0005-0000-0000-00000F000000}"/>
    <cellStyle name="Normal" xfId="0" builtinId="0" customBuiltin="1"/>
    <cellStyle name="Percent 2" xfId="18" xr:uid="{00000000-0005-0000-0000-000011000000}"/>
    <cellStyle name="Percent 2 2" xfId="19" xr:uid="{00000000-0005-0000-0000-000012000000}"/>
    <cellStyle name="QA" xfId="14" xr:uid="{00000000-0005-0000-0000-000013000000}"/>
  </cellStyles>
  <dxfs count="15">
    <dxf>
      <fill>
        <patternFill>
          <bgColor rgb="FFDDDDDD"/>
        </patternFill>
      </fill>
    </dxf>
    <dxf>
      <fill>
        <patternFill>
          <bgColor rgb="FFDDDDDD"/>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ont>
        <b/>
        <i val="0"/>
        <color rgb="FFFF0000"/>
      </font>
    </dxf>
    <dxf>
      <font>
        <b/>
        <i val="0"/>
        <color rgb="FFFF0000"/>
      </font>
    </dxf>
  </dxfs>
  <tableStyles count="0" defaultTableStyle="TableStyleMedium2" defaultPivotStyle="PivotStyleLight16"/>
  <colors>
    <mruColors>
      <color rgb="FFFF9933"/>
      <color rgb="FFDDDDDD"/>
      <color rgb="FFFFFFCC"/>
      <color rgb="FF8FB8FB"/>
      <color rgb="FF6EA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6</xdr:col>
      <xdr:colOff>476249</xdr:colOff>
      <xdr:row>11</xdr:row>
      <xdr:rowOff>66675</xdr:rowOff>
    </xdr:from>
    <xdr:ext cx="4324351" cy="55245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3324224" y="1543050"/>
              <a:ext cx="4324351" cy="552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14:m>
                <m:oMath xmlns:m="http://schemas.openxmlformats.org/officeDocument/2006/math">
                  <m:sSub>
                    <m:sSubPr>
                      <m:ctrlPr>
                        <a:rPr lang="en-AU" sz="1400" b="0" i="1">
                          <a:latin typeface="Cambria Math" panose="02040503050406030204" pitchFamily="18" charset="0"/>
                        </a:rPr>
                      </m:ctrlPr>
                    </m:sSubPr>
                    <m:e>
                      <m:r>
                        <a:rPr lang="en-AU" sz="1400" b="0" i="1">
                          <a:latin typeface="Cambria Math"/>
                        </a:rPr>
                        <m:t>𝑀𝑃</m:t>
                      </m:r>
                    </m:e>
                    <m:sub>
                      <m:r>
                        <a:rPr lang="en-AU" sz="1400" b="0" i="1">
                          <a:latin typeface="Cambria Math"/>
                        </a:rPr>
                        <m:t>𝑆𝑐h</m:t>
                      </m:r>
                      <m:r>
                        <a:rPr lang="en-AU" sz="1400" b="0" i="1">
                          <a:latin typeface="Cambria Math"/>
                        </a:rPr>
                        <m:t>1</m:t>
                      </m:r>
                    </m:sub>
                  </m:sSub>
                  <m:r>
                    <a:rPr lang="en-AU" sz="1400" b="0" i="1">
                      <a:latin typeface="Cambria Math"/>
                    </a:rPr>
                    <m:t>=</m:t>
                  </m:r>
                  <m:f>
                    <m:fPr>
                      <m:ctrlPr>
                        <a:rPr lang="en-AU" sz="1400" b="0" i="1">
                          <a:latin typeface="Cambria Math" panose="02040503050406030204" pitchFamily="18" charset="0"/>
                        </a:rPr>
                      </m:ctrlPr>
                    </m:fPr>
                    <m:num>
                      <m:sSub>
                        <m:sSubPr>
                          <m:ctrlPr>
                            <a:rPr lang="en-AU" sz="1400" b="0" i="1">
                              <a:latin typeface="Cambria Math" panose="02040503050406030204" pitchFamily="18" charset="0"/>
                            </a:rPr>
                          </m:ctrlPr>
                        </m:sSubPr>
                        <m:e>
                          <m:r>
                            <a:rPr lang="en-AU" sz="1400" b="0" i="1">
                              <a:latin typeface="Cambria Math"/>
                            </a:rPr>
                            <m:t>𝐾</m:t>
                          </m:r>
                        </m:e>
                        <m:sub>
                          <m:r>
                            <a:rPr lang="en-AU" sz="1400" b="0" i="1">
                              <a:latin typeface="Cambria Math"/>
                            </a:rPr>
                            <m:t>1</m:t>
                          </m:r>
                        </m:sub>
                      </m:sSub>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1</m:t>
                          </m:r>
                        </m:sub>
                      </m:sSub>
                    </m:den>
                  </m:f>
                  <m:r>
                    <a:rPr lang="en-AU" sz="1400" b="0" i="1">
                      <a:latin typeface="Cambria Math"/>
                    </a:rPr>
                    <m:t>+</m:t>
                  </m:r>
                  <m:f>
                    <m:fPr>
                      <m:ctrlPr>
                        <a:rPr lang="en-AU" sz="1400" b="0" i="1">
                          <a:latin typeface="Cambria Math" panose="02040503050406030204" pitchFamily="18" charset="0"/>
                        </a:rPr>
                      </m:ctrlPr>
                    </m:fPr>
                    <m:num>
                      <m:sSub>
                        <m:sSubPr>
                          <m:ctrlPr>
                            <a:rPr lang="en-AU" sz="1400" b="0" i="1">
                              <a:latin typeface="Cambria Math" panose="02040503050406030204" pitchFamily="18" charset="0"/>
                            </a:rPr>
                          </m:ctrlPr>
                        </m:sSubPr>
                        <m:e>
                          <m:r>
                            <a:rPr lang="en-AU" sz="1400" b="0" i="1">
                              <a:latin typeface="Cambria Math"/>
                            </a:rPr>
                            <m:t>𝐾</m:t>
                          </m:r>
                        </m:e>
                        <m:sub>
                          <m:r>
                            <a:rPr lang="en-AU" sz="1400" b="0" i="1">
                              <a:latin typeface="Cambria Math"/>
                            </a:rPr>
                            <m:t>2</m:t>
                          </m:r>
                        </m:sub>
                      </m:sSub>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2</m:t>
                          </m:r>
                        </m:sub>
                      </m:sSub>
                    </m:den>
                  </m:f>
                  <m:r>
                    <a:rPr lang="en-AU" sz="1400" b="0" i="1">
                      <a:latin typeface="Cambria Math"/>
                    </a:rPr>
                    <m:t>−</m:t>
                  </m:r>
                  <m:f>
                    <m:fPr>
                      <m:ctrlPr>
                        <a:rPr lang="en-AU" sz="1400" b="0" i="1">
                          <a:latin typeface="Cambria Math" panose="02040503050406030204" pitchFamily="18" charset="0"/>
                        </a:rPr>
                      </m:ctrlPr>
                    </m:fPr>
                    <m:num>
                      <m:r>
                        <a:rPr lang="en-AU" sz="1400" b="0" i="1">
                          <a:latin typeface="Cambria Math"/>
                        </a:rPr>
                        <m:t>𝑁𝑃𝑉</m:t>
                      </m:r>
                      <m:d>
                        <m:dPr>
                          <m:ctrlPr>
                            <a:rPr lang="en-AU" sz="1400" b="0" i="1">
                              <a:latin typeface="Cambria Math" panose="02040503050406030204" pitchFamily="18" charset="0"/>
                            </a:rPr>
                          </m:ctrlPr>
                        </m:dPr>
                        <m:e>
                          <m:sSub>
                            <m:sSubPr>
                              <m:ctrlPr>
                                <a:rPr lang="en-AU" sz="1400" b="0" i="1">
                                  <a:latin typeface="Cambria Math" panose="02040503050406030204" pitchFamily="18" charset="0"/>
                                </a:rPr>
                              </m:ctrlPr>
                            </m:sSubPr>
                            <m:e>
                              <m:r>
                                <a:rPr lang="en-AU" sz="1400" b="0" i="1">
                                  <a:latin typeface="Cambria Math"/>
                                </a:rPr>
                                <m:t>𝑅</m:t>
                              </m:r>
                            </m:e>
                            <m:sub>
                              <m:r>
                                <a:rPr lang="en-AU" sz="1400" b="0" i="1">
                                  <a:latin typeface="Cambria Math"/>
                                </a:rPr>
                                <m:t>𝑖</m:t>
                              </m:r>
                            </m:sub>
                          </m:sSub>
                          <m:r>
                            <a:rPr lang="en-AU" sz="1400" b="0" i="1">
                              <a:latin typeface="Cambria Math"/>
                            </a:rPr>
                            <m:t>−</m:t>
                          </m:r>
                          <m:sSub>
                            <m:sSubPr>
                              <m:ctrlPr>
                                <a:rPr lang="en-AU" sz="1400" b="0" i="1">
                                  <a:latin typeface="Cambria Math" panose="02040503050406030204" pitchFamily="18" charset="0"/>
                                </a:rPr>
                              </m:ctrlPr>
                            </m:sSubPr>
                            <m:e>
                              <m:r>
                                <a:rPr lang="en-AU" sz="1400" b="0" i="1">
                                  <a:latin typeface="Cambria Math"/>
                                </a:rPr>
                                <m:t>𝐶</m:t>
                              </m:r>
                            </m:e>
                            <m:sub>
                              <m:r>
                                <a:rPr lang="en-AU" sz="1400" b="0" i="1">
                                  <a:latin typeface="Cambria Math"/>
                                </a:rPr>
                                <m:t>𝑖</m:t>
                              </m:r>
                            </m:sub>
                          </m:sSub>
                        </m:e>
                      </m:d>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3</m:t>
                          </m:r>
                        </m:sub>
                      </m:sSub>
                    </m:den>
                  </m:f>
                </m:oMath>
              </a14:m>
              <a:r>
                <a:rPr lang="en-AU" sz="1400"/>
                <a:t>    </a:t>
              </a:r>
              <a:r>
                <a:rPr lang="en-AU" sz="1100" i="1"/>
                <a:t>for i = financial</a:t>
              </a:r>
              <a:r>
                <a:rPr lang="en-AU" sz="1100" i="1" baseline="0"/>
                <a:t> </a:t>
              </a:r>
              <a:r>
                <a:rPr lang="en-AU" sz="1100" i="1"/>
                <a:t>years</a:t>
              </a:r>
              <a:r>
                <a:rPr lang="en-AU" sz="1100"/>
                <a:t> 1, ...,</a:t>
              </a:r>
              <a:r>
                <a:rPr lang="en-AU" sz="1100" baseline="0"/>
                <a:t> </a:t>
              </a:r>
              <a:r>
                <a:rPr lang="en-AU" sz="1100" i="1" baseline="0"/>
                <a:t>n</a:t>
              </a:r>
              <a:endParaRPr lang="en-AU" sz="1100" i="1"/>
            </a:p>
          </xdr:txBody>
        </xdr:sp>
      </mc:Choice>
      <mc:Fallback xmlns="">
        <xdr:sp macro="" textlink="">
          <xdr:nvSpPr>
            <xdr:cNvPr id="3" name="TextBox 2"/>
            <xdr:cNvSpPr txBox="1"/>
          </xdr:nvSpPr>
          <xdr:spPr>
            <a:xfrm>
              <a:off x="3324224" y="1543050"/>
              <a:ext cx="4324351" cy="552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1400" b="0" i="0">
                  <a:latin typeface="Cambria Math"/>
                </a:rPr>
                <a:t>〖𝑀𝑃〗_𝑆𝑐ℎ1=𝐾_1/𝐿_1 +𝐾_2/𝐿_2 −𝑁𝑃𝑉(𝑅_𝑖−𝐶_𝑖 )/𝐿_3 </a:t>
              </a:r>
              <a:r>
                <a:rPr lang="en-AU" sz="1400"/>
                <a:t>    </a:t>
              </a:r>
              <a:r>
                <a:rPr lang="en-AU" sz="1100" i="1"/>
                <a:t>for i = financial</a:t>
              </a:r>
              <a:r>
                <a:rPr lang="en-AU" sz="1100" i="1" baseline="0"/>
                <a:t> </a:t>
              </a:r>
              <a:r>
                <a:rPr lang="en-AU" sz="1100" i="1"/>
                <a:t>years</a:t>
              </a:r>
              <a:r>
                <a:rPr lang="en-AU" sz="1100"/>
                <a:t> 1, ...,</a:t>
              </a:r>
              <a:r>
                <a:rPr lang="en-AU" sz="1100" baseline="0"/>
                <a:t> </a:t>
              </a:r>
              <a:r>
                <a:rPr lang="en-AU" sz="1100" i="1" baseline="0"/>
                <a:t>n</a:t>
              </a:r>
              <a:endParaRPr lang="en-AU" sz="1100" i="1"/>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37</xdr:col>
      <xdr:colOff>38100</xdr:colOff>
      <xdr:row>11</xdr:row>
      <xdr:rowOff>19050</xdr:rowOff>
    </xdr:from>
    <xdr:to>
      <xdr:col>37</xdr:col>
      <xdr:colOff>314325</xdr:colOff>
      <xdr:row>18</xdr:row>
      <xdr:rowOff>142875</xdr:rowOff>
    </xdr:to>
    <xdr:sp macro="" textlink="">
      <xdr:nvSpPr>
        <xdr:cNvPr id="2" name="Right Brace 1">
          <a:extLst>
            <a:ext uri="{FF2B5EF4-FFF2-40B4-BE49-F238E27FC236}">
              <a16:creationId xmlns:a16="http://schemas.microsoft.com/office/drawing/2014/main" id="{00000000-0008-0000-0800-000002000000}"/>
            </a:ext>
          </a:extLst>
        </xdr:cNvPr>
        <xdr:cNvSpPr/>
      </xdr:nvSpPr>
      <xdr:spPr>
        <a:xfrm>
          <a:off x="25117425" y="2838450"/>
          <a:ext cx="276225" cy="11906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wsDr>
</file>

<file path=xl/theme/theme1.xml><?xml version="1.0" encoding="utf-8"?>
<a:theme xmlns:a="http://schemas.openxmlformats.org/drawingml/2006/main" name="IPART">
  <a:themeElements>
    <a:clrScheme name="IPART">
      <a:dk1>
        <a:srgbClr val="212122"/>
      </a:dk1>
      <a:lt1>
        <a:sysClr val="window" lastClr="FFFFFF"/>
      </a:lt1>
      <a:dk2>
        <a:srgbClr val="007BC4"/>
      </a:dk2>
      <a:lt2>
        <a:srgbClr val="A0A09A"/>
      </a:lt2>
      <a:accent1>
        <a:srgbClr val="46B849"/>
      </a:accent1>
      <a:accent2>
        <a:srgbClr val="F68B1F"/>
      </a:accent2>
      <a:accent3>
        <a:srgbClr val="D12026"/>
      </a:accent3>
      <a:accent4>
        <a:srgbClr val="1B4486"/>
      </a:accent4>
      <a:accent5>
        <a:srgbClr val="8F439B"/>
      </a:accent5>
      <a:accent6>
        <a:srgbClr val="989891"/>
      </a:accent6>
      <a:hlink>
        <a:srgbClr val="0070C0"/>
      </a:hlink>
      <a:folHlink>
        <a:srgbClr val="7030A0"/>
      </a:folHlink>
    </a:clrScheme>
    <a:fontScheme name="iPart">
      <a:majorFont>
        <a:latin typeface="Book Antiqua"/>
        <a:ea typeface=""/>
        <a:cs typeface=""/>
      </a:majorFont>
      <a:minorFont>
        <a:latin typeface="Book Antiqu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ipart.nsw.gov.au/Home/Industries/Water/Reviews/Metro-Pricing/Review-of-recycled-water-prices-for-public-water-utilities" TargetMode="External"/><Relationship Id="rId2" Type="http://schemas.openxmlformats.org/officeDocument/2006/relationships/hyperlink" Target="https://www.ipart.nsw.gov.au/Home/Industries/Water/Reviews/Metro-Pricing/Developer-charges-and-backlog-sewerage-charges-for-metropolitan-water-agencies-2017" TargetMode="External"/><Relationship Id="rId1" Type="http://schemas.openxmlformats.org/officeDocument/2006/relationships/hyperlink" Target="mailto:greg_mclennan@ipart.nsw.gov.au"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ipart.nsw.gov.au/Home/Industries/Water/Reviews/Metro-Pricing/Developer-charges-and-backlog-sewerage-charges-for-metropolitan-water-agencies-2018"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ipart.nsw.gov.au/Home/Industries/Water/Reviews/Metro-Pricing/Developer-charges-and-backlog-sewerage-charges-for-metropolitan-water-agencies-2018"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ipart.nsw.gov.au/Home/Industries/Water/Reviews/Metro-Pricing/Review-of-recycled-water-prices-for-public-water-utilities"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www.ipart.nsw.gov.au/Home/Industries/Water/Reviews/Metro-Pricing/Developer-charges-and-backlog-sewerage-charges-for-metropolitan-water-agencies-2018"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ipart.nsw.gov.au/Home/Industries/Water/Reviews/Metro-Pricing/Developer-charges-and-backlog-sewerage-charges-for-metropolitan-water-agencies-2018"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AC133"/>
  <sheetViews>
    <sheetView showGridLines="0" tabSelected="1" zoomScaleNormal="100" workbookViewId="0"/>
  </sheetViews>
  <sheetFormatPr defaultColWidth="9.09765625" defaultRowHeight="11.5" x14ac:dyDescent="0.25"/>
  <cols>
    <col min="1" max="1" width="2.69921875" style="203" customWidth="1"/>
    <col min="2" max="3" width="2.69921875" style="7" customWidth="1"/>
    <col min="4" max="4" width="10.19921875" style="7" customWidth="1"/>
    <col min="5" max="5" width="139.69921875" style="7" customWidth="1"/>
    <col min="6" max="23" width="9.09765625" style="11"/>
    <col min="24" max="29" width="9.09765625" style="10"/>
    <col min="30" max="16384" width="9.09765625" style="7"/>
  </cols>
  <sheetData>
    <row r="1" spans="2:29" ht="12" customHeight="1" x14ac:dyDescent="0.25">
      <c r="B1" s="160"/>
      <c r="C1" s="160"/>
      <c r="D1" s="160"/>
      <c r="E1" s="10"/>
      <c r="J1" s="7"/>
      <c r="K1" s="7"/>
      <c r="L1" s="7"/>
      <c r="M1" s="7"/>
      <c r="N1" s="7"/>
      <c r="O1" s="7"/>
      <c r="P1" s="7"/>
      <c r="Q1" s="7"/>
      <c r="R1" s="7"/>
      <c r="S1" s="7"/>
      <c r="T1" s="7"/>
      <c r="U1" s="7"/>
      <c r="V1" s="7"/>
      <c r="W1" s="7"/>
      <c r="X1" s="7"/>
      <c r="Y1" s="7"/>
      <c r="Z1" s="7"/>
      <c r="AA1" s="7"/>
      <c r="AB1" s="7"/>
      <c r="AC1" s="7"/>
    </row>
    <row r="2" spans="2:29" ht="12" customHeight="1" x14ac:dyDescent="0.35">
      <c r="B2" s="10"/>
      <c r="D2" s="12"/>
      <c r="E2" s="12"/>
      <c r="J2" s="7"/>
      <c r="K2" s="7"/>
      <c r="L2" s="7"/>
      <c r="M2" s="7"/>
      <c r="N2" s="7"/>
      <c r="O2" s="7"/>
      <c r="P2" s="7"/>
      <c r="Q2" s="7"/>
      <c r="R2" s="7"/>
      <c r="S2" s="7"/>
      <c r="T2" s="7"/>
      <c r="U2" s="7"/>
      <c r="V2" s="7"/>
      <c r="W2" s="7"/>
      <c r="X2" s="7"/>
      <c r="Y2" s="7"/>
      <c r="Z2" s="7"/>
      <c r="AA2" s="7"/>
      <c r="AB2" s="7"/>
      <c r="AC2" s="7"/>
    </row>
    <row r="3" spans="2:29" ht="20.25" customHeight="1" x14ac:dyDescent="0.35">
      <c r="B3" s="10"/>
      <c r="C3" s="12" t="s">
        <v>198</v>
      </c>
      <c r="D3" s="13"/>
      <c r="E3" s="13"/>
      <c r="F3" s="14"/>
      <c r="G3" s="14"/>
      <c r="H3" s="14"/>
      <c r="I3" s="14"/>
      <c r="J3" s="7"/>
      <c r="K3" s="7"/>
      <c r="L3" s="7"/>
      <c r="M3" s="7"/>
      <c r="N3" s="7"/>
      <c r="O3" s="7"/>
      <c r="P3" s="7"/>
      <c r="Q3" s="7"/>
      <c r="R3" s="7"/>
      <c r="S3" s="7"/>
      <c r="T3" s="7"/>
      <c r="U3" s="7"/>
      <c r="V3" s="7"/>
      <c r="W3" s="7"/>
      <c r="X3" s="7"/>
      <c r="Y3" s="7"/>
      <c r="Z3" s="7"/>
      <c r="AA3" s="7"/>
      <c r="AB3" s="7"/>
      <c r="AC3" s="7"/>
    </row>
    <row r="4" spans="2:29" ht="12" customHeight="1" x14ac:dyDescent="0.25">
      <c r="B4" s="10"/>
      <c r="C4" s="13"/>
      <c r="D4" s="13"/>
      <c r="E4" s="13"/>
      <c r="F4" s="14"/>
      <c r="G4" s="14"/>
      <c r="H4" s="14"/>
      <c r="I4" s="14"/>
      <c r="J4" s="7"/>
      <c r="K4" s="7"/>
      <c r="L4" s="7"/>
      <c r="M4" s="7"/>
      <c r="N4" s="7"/>
      <c r="O4" s="7"/>
      <c r="P4" s="7"/>
      <c r="Q4" s="7"/>
      <c r="R4" s="7"/>
      <c r="S4" s="7"/>
      <c r="T4" s="7"/>
      <c r="U4" s="7"/>
      <c r="V4" s="7"/>
      <c r="W4" s="7"/>
      <c r="X4" s="7"/>
      <c r="Y4" s="7"/>
      <c r="Z4" s="7"/>
      <c r="AA4" s="7"/>
      <c r="AB4" s="7"/>
      <c r="AC4" s="7"/>
    </row>
    <row r="5" spans="2:29" x14ac:dyDescent="0.25">
      <c r="B5" s="10"/>
      <c r="C5" s="15" t="s">
        <v>1</v>
      </c>
      <c r="D5" s="15"/>
      <c r="E5" s="16" t="s">
        <v>78</v>
      </c>
      <c r="F5" s="17"/>
      <c r="G5" s="17"/>
      <c r="H5"/>
      <c r="I5" s="17"/>
      <c r="J5" s="7"/>
      <c r="K5" s="7"/>
      <c r="L5" s="7"/>
      <c r="M5" s="7"/>
      <c r="N5" s="7"/>
      <c r="O5" s="7"/>
      <c r="P5" s="7"/>
      <c r="Q5" s="7"/>
      <c r="R5" s="7"/>
      <c r="S5" s="7"/>
      <c r="T5" s="7"/>
      <c r="U5" s="7"/>
      <c r="V5" s="7"/>
      <c r="W5" s="7"/>
      <c r="X5" s="7"/>
      <c r="Y5" s="7"/>
      <c r="Z5" s="7"/>
      <c r="AA5" s="7"/>
      <c r="AB5" s="7"/>
      <c r="AC5" s="7"/>
    </row>
    <row r="6" spans="2:29" x14ac:dyDescent="0.25">
      <c r="B6" s="10"/>
      <c r="C6" s="11" t="s">
        <v>2</v>
      </c>
      <c r="D6" s="11"/>
      <c r="E6" s="82" t="s">
        <v>79</v>
      </c>
      <c r="F6" s="17"/>
      <c r="G6" s="17"/>
      <c r="H6"/>
      <c r="I6" s="17"/>
      <c r="J6" s="7"/>
      <c r="K6" s="7"/>
      <c r="L6" s="7"/>
      <c r="M6" s="7"/>
      <c r="N6" s="7"/>
      <c r="O6" s="7"/>
      <c r="P6" s="7"/>
      <c r="Q6" s="7"/>
      <c r="R6" s="7"/>
      <c r="S6" s="7"/>
      <c r="T6" s="7"/>
      <c r="U6" s="7"/>
      <c r="V6" s="7"/>
      <c r="W6" s="7"/>
      <c r="X6" s="7"/>
      <c r="Y6" s="7"/>
      <c r="Z6" s="7"/>
      <c r="AA6" s="7"/>
      <c r="AB6" s="7"/>
      <c r="AC6" s="7"/>
    </row>
    <row r="7" spans="2:29" x14ac:dyDescent="0.25">
      <c r="B7" s="10"/>
      <c r="D7" s="11"/>
      <c r="H7"/>
      <c r="J7" s="7"/>
      <c r="K7" s="7"/>
      <c r="L7" s="7"/>
      <c r="M7" s="7"/>
      <c r="N7" s="7"/>
      <c r="O7" s="7"/>
      <c r="P7" s="7"/>
      <c r="Q7" s="7"/>
      <c r="R7" s="7"/>
      <c r="S7" s="7"/>
      <c r="T7" s="7"/>
      <c r="U7" s="7"/>
      <c r="V7" s="7"/>
      <c r="W7" s="7"/>
      <c r="X7" s="7"/>
      <c r="Y7" s="7"/>
      <c r="Z7" s="7"/>
      <c r="AA7" s="7"/>
      <c r="AB7" s="7"/>
      <c r="AC7" s="7"/>
    </row>
    <row r="8" spans="2:29" ht="15.75" customHeight="1" x14ac:dyDescent="0.25">
      <c r="B8" s="10"/>
      <c r="C8" s="13"/>
      <c r="D8" s="13"/>
      <c r="E8" s="13"/>
      <c r="F8" s="14"/>
      <c r="G8" s="14"/>
      <c r="H8"/>
      <c r="J8" s="7"/>
      <c r="K8" s="7"/>
      <c r="L8" s="7"/>
      <c r="M8" s="7"/>
      <c r="N8" s="7"/>
      <c r="O8" s="7"/>
      <c r="P8" s="7"/>
      <c r="Q8" s="7"/>
      <c r="R8" s="7"/>
      <c r="S8" s="7"/>
      <c r="T8" s="7"/>
      <c r="U8" s="7"/>
      <c r="V8" s="7"/>
      <c r="W8" s="7"/>
      <c r="X8" s="7"/>
      <c r="Y8" s="7"/>
      <c r="Z8" s="7"/>
      <c r="AA8" s="7"/>
      <c r="AB8" s="7"/>
      <c r="AC8" s="7"/>
    </row>
    <row r="9" spans="2:29" x14ac:dyDescent="0.25">
      <c r="H9"/>
    </row>
    <row r="10" spans="2:29" ht="14" x14ac:dyDescent="0.3">
      <c r="B10" s="10"/>
      <c r="C10" s="18" t="s">
        <v>3</v>
      </c>
      <c r="D10" s="18"/>
      <c r="E10" s="19"/>
      <c r="F10" s="20"/>
      <c r="G10" s="20"/>
      <c r="H10"/>
      <c r="I10" s="20"/>
      <c r="J10" s="7"/>
      <c r="K10" s="7"/>
      <c r="L10" s="7"/>
      <c r="M10" s="7"/>
      <c r="N10" s="7"/>
      <c r="O10" s="7"/>
      <c r="P10" s="7"/>
      <c r="Q10" s="7"/>
      <c r="R10" s="7"/>
      <c r="S10" s="7"/>
      <c r="T10" s="7"/>
      <c r="U10" s="7"/>
      <c r="V10" s="7"/>
      <c r="W10" s="7"/>
      <c r="X10" s="7"/>
      <c r="Y10" s="7"/>
      <c r="Z10" s="7"/>
      <c r="AA10" s="7"/>
      <c r="AB10" s="7"/>
      <c r="AC10" s="7"/>
    </row>
    <row r="11" spans="2:29" x14ac:dyDescent="0.25">
      <c r="B11" s="10"/>
      <c r="C11" s="20"/>
      <c r="D11" s="20"/>
      <c r="E11" s="20"/>
      <c r="F11" s="20"/>
      <c r="G11" s="20"/>
      <c r="H11"/>
      <c r="I11" s="20"/>
      <c r="J11" s="7"/>
      <c r="K11" s="7"/>
      <c r="L11" s="7"/>
      <c r="M11" s="7"/>
      <c r="N11" s="7"/>
      <c r="O11" s="7"/>
      <c r="P11" s="7"/>
      <c r="Q11" s="7"/>
      <c r="R11" s="7"/>
      <c r="S11" s="7"/>
      <c r="T11" s="7"/>
      <c r="U11" s="7"/>
      <c r="V11" s="7"/>
      <c r="W11" s="7"/>
      <c r="X11" s="7"/>
      <c r="Y11" s="7"/>
      <c r="Z11" s="7"/>
      <c r="AA11" s="7"/>
      <c r="AB11" s="7"/>
      <c r="AC11" s="7"/>
    </row>
    <row r="12" spans="2:29" ht="27" customHeight="1" x14ac:dyDescent="0.25">
      <c r="B12" s="10"/>
      <c r="C12" s="224" t="s">
        <v>208</v>
      </c>
      <c r="D12" s="225"/>
      <c r="E12" s="225"/>
      <c r="F12" s="17"/>
      <c r="G12" s="17"/>
      <c r="H12"/>
      <c r="I12" s="17"/>
      <c r="J12" s="7"/>
      <c r="K12" s="7"/>
      <c r="L12" s="7"/>
      <c r="M12" s="7"/>
      <c r="N12" s="7"/>
      <c r="O12" s="7"/>
      <c r="P12" s="7"/>
      <c r="Q12" s="7"/>
      <c r="R12" s="7"/>
      <c r="S12" s="7"/>
      <c r="T12" s="7"/>
      <c r="U12" s="7"/>
      <c r="V12" s="7"/>
      <c r="W12" s="7"/>
      <c r="X12" s="7"/>
      <c r="Y12" s="7"/>
      <c r="Z12" s="7"/>
      <c r="AA12" s="7"/>
      <c r="AB12" s="7"/>
      <c r="AC12" s="7"/>
    </row>
    <row r="13" spans="2:29" s="221" customFormat="1" x14ac:dyDescent="0.25">
      <c r="B13" s="10"/>
      <c r="C13" s="219"/>
      <c r="D13" s="220"/>
      <c r="E13" s="220"/>
      <c r="F13" s="17"/>
      <c r="G13" s="17"/>
      <c r="H13"/>
      <c r="I13" s="17"/>
    </row>
    <row r="14" spans="2:29" s="221" customFormat="1" ht="35.4" customHeight="1" x14ac:dyDescent="0.25">
      <c r="B14" s="10"/>
      <c r="C14" s="224" t="s">
        <v>241</v>
      </c>
      <c r="D14" s="225"/>
      <c r="E14" s="225"/>
      <c r="F14" s="17"/>
      <c r="G14" s="17"/>
      <c r="H14"/>
      <c r="I14" s="17"/>
    </row>
    <row r="15" spans="2:29" ht="15" customHeight="1" x14ac:dyDescent="0.25">
      <c r="B15" s="10"/>
      <c r="C15" s="21"/>
      <c r="D15" s="21"/>
      <c r="E15" s="17"/>
      <c r="F15" s="17"/>
      <c r="G15" s="17"/>
      <c r="H15"/>
      <c r="I15" s="17"/>
      <c r="J15" s="7"/>
      <c r="K15" s="7"/>
      <c r="L15" s="7"/>
      <c r="M15" s="7"/>
      <c r="N15" s="7"/>
      <c r="O15" s="7"/>
      <c r="P15" s="7"/>
      <c r="Q15" s="7"/>
      <c r="R15" s="7"/>
      <c r="S15" s="7"/>
      <c r="T15" s="7"/>
      <c r="U15" s="7"/>
      <c r="V15" s="7"/>
      <c r="W15" s="7"/>
      <c r="X15" s="7"/>
      <c r="Y15" s="7"/>
      <c r="Z15" s="7"/>
      <c r="AA15" s="7"/>
      <c r="AB15" s="7"/>
      <c r="AC15" s="7"/>
    </row>
    <row r="16" spans="2:29" ht="15" customHeight="1" x14ac:dyDescent="0.3">
      <c r="B16" s="10"/>
      <c r="C16" s="18" t="s">
        <v>213</v>
      </c>
      <c r="D16" s="18"/>
      <c r="E16" s="22"/>
      <c r="F16" s="17"/>
      <c r="G16" s="17"/>
      <c r="H16"/>
      <c r="I16" s="17"/>
      <c r="J16" s="7"/>
      <c r="K16" s="7"/>
      <c r="L16" s="7"/>
      <c r="M16" s="7"/>
      <c r="N16" s="7"/>
      <c r="O16" s="7"/>
      <c r="P16" s="7"/>
      <c r="Q16" s="7"/>
      <c r="R16" s="7"/>
      <c r="S16" s="7"/>
      <c r="T16" s="7"/>
      <c r="U16" s="7"/>
      <c r="V16" s="7"/>
      <c r="W16" s="7"/>
      <c r="X16" s="7"/>
      <c r="Y16" s="7"/>
      <c r="Z16" s="7"/>
      <c r="AA16" s="7"/>
      <c r="AB16" s="7"/>
      <c r="AC16" s="7"/>
    </row>
    <row r="17" spans="1:29" ht="15" customHeight="1" x14ac:dyDescent="0.25">
      <c r="B17" s="10"/>
      <c r="C17" s="21"/>
      <c r="D17" s="21"/>
      <c r="E17" s="17"/>
      <c r="F17" s="17"/>
      <c r="G17" s="17"/>
      <c r="H17"/>
      <c r="I17" s="17"/>
      <c r="J17" s="7"/>
      <c r="K17" s="7"/>
      <c r="L17" s="7"/>
      <c r="M17" s="7"/>
      <c r="N17" s="7"/>
      <c r="O17" s="7"/>
      <c r="P17" s="7"/>
      <c r="Q17" s="7"/>
      <c r="R17" s="7"/>
      <c r="S17" s="7"/>
      <c r="T17" s="7"/>
      <c r="U17" s="7"/>
      <c r="V17" s="7"/>
      <c r="W17" s="7"/>
      <c r="X17" s="7"/>
      <c r="Y17" s="7"/>
      <c r="Z17" s="7"/>
      <c r="AA17" s="7"/>
      <c r="AB17" s="7"/>
      <c r="AC17" s="7"/>
    </row>
    <row r="18" spans="1:29" s="79" customFormat="1" ht="37.5" customHeight="1" x14ac:dyDescent="0.25">
      <c r="A18" s="203"/>
      <c r="B18" s="10"/>
      <c r="C18" s="224" t="str">
        <f ca="1">"The template is designed to calculate the asset related components of a maximum price (excluding headwork assets and scheme cost allocation).  Some example data has been included for illustrative purposes in the '"&amp;MID(CELL("filename",'Pre-1996 assets'!$A$1),FIND("]",CELL("filename",'Pre-1996 assets'!$A$1))+1,255)&amp;"', '"&amp;MID(CELL("filename",'Post-1996 commissioned assets'!$A$1),FIND("]",CELL("filename",'Post-1996 commissioned assets'!$A$1))+1,255)&amp;"', '"&amp;MID(CELL("filename",'Uncommissioned assets'!$A$1),FIND("]",CELL("filename",'Uncommissioned assets'!$A$1))+1,255)&amp;"', and '"&amp;MID(CELL("filename",'ET inputs'!$A$1),FIND("]",CELL("filename",'ET inputs'!$A$1))+1,255)&amp;"' worksheets.  Please delete all illustrative data to ensure the template produces the correct results."</f>
        <v>The template is designed to calculate the asset related components of a maximum price (excluding headwork assets and scheme cost allocation).  Some example data has been included for illustrative purposes in the 'Pre-1996 assets', 'Post-1996 commissioned assets', 'Uncommissioned assets', and 'ET inputs' worksheets.  Please delete all illustrative data to ensure the template produces the correct results.</v>
      </c>
      <c r="D18" s="225"/>
      <c r="E18" s="225"/>
      <c r="F18" s="17"/>
      <c r="G18" s="17"/>
      <c r="H18"/>
      <c r="I18" s="17"/>
    </row>
    <row r="19" spans="1:29" s="79" customFormat="1" ht="6" customHeight="1" x14ac:dyDescent="0.25">
      <c r="A19" s="203"/>
      <c r="B19" s="10"/>
      <c r="C19" s="20"/>
      <c r="D19" s="21"/>
      <c r="E19" s="17"/>
      <c r="F19" s="17"/>
      <c r="G19" s="17"/>
      <c r="H19"/>
      <c r="I19" s="17"/>
    </row>
    <row r="20" spans="1:29" s="139" customFormat="1" ht="37.5" customHeight="1" x14ac:dyDescent="0.25">
      <c r="A20" s="203"/>
      <c r="B20" s="141"/>
      <c r="C20" s="224" t="str">
        <f ca="1">"There are no macros in the model.  To use the model, simply enter the required inputs on the '"&amp;MID(CELL("filename",'General inputs'!$A$1),FIND("]",CELL("filename",'General inputs'!$A$1))+1,255)&amp;"' worksheet then enter the required data into the appropriate (blue) cells in the other worksheets in dollars of the selected year. The model will then automatically calculate the maximum price. Please note that the formatting on the '"&amp;MID(CELL("filename",'MP Calculations'!A2),FIND("]",CELL("filename",'MP Calculations'!A2))+1,255)&amp;"' worksheet has been automated to reflect the correct date ranges."</f>
        <v>There are no macros in the model.  To use the model, simply enter the required inputs on the 'General inputs' worksheet then enter the required data into the appropriate (blue) cells in the other worksheets in dollars of the selected year. The model will then automatically calculate the maximum price. Please note that the formatting on the 'MP Calculations' worksheet has been automated to reflect the correct date ranges.</v>
      </c>
      <c r="D20" s="225"/>
      <c r="E20" s="225"/>
      <c r="F20" s="17"/>
      <c r="G20" s="17"/>
      <c r="H20"/>
      <c r="I20" s="17"/>
    </row>
    <row r="21" spans="1:29" s="213" customFormat="1" x14ac:dyDescent="0.25">
      <c r="B21" s="141"/>
      <c r="C21" s="210"/>
      <c r="D21" s="211"/>
      <c r="E21" s="211"/>
      <c r="F21" s="17"/>
      <c r="G21" s="17"/>
      <c r="H21"/>
      <c r="I21" s="17"/>
    </row>
    <row r="22" spans="1:29" s="213" customFormat="1" ht="14" x14ac:dyDescent="0.3">
      <c r="B22" s="141"/>
      <c r="C22" s="18" t="s">
        <v>214</v>
      </c>
      <c r="D22" s="18"/>
      <c r="E22" s="22"/>
      <c r="F22" s="17"/>
      <c r="G22" s="17"/>
      <c r="H22"/>
      <c r="I22" s="17"/>
    </row>
    <row r="23" spans="1:29" s="139" customFormat="1" x14ac:dyDescent="0.25">
      <c r="A23" s="203"/>
      <c r="B23" s="10"/>
      <c r="C23" s="138"/>
      <c r="D23" s="21"/>
      <c r="E23" s="17"/>
      <c r="F23" s="17"/>
      <c r="G23" s="17"/>
      <c r="H23"/>
      <c r="I23" s="17"/>
    </row>
    <row r="24" spans="1:29" s="139" customFormat="1" x14ac:dyDescent="0.25">
      <c r="A24" s="203"/>
      <c r="B24" s="10"/>
      <c r="C24" s="9" t="s">
        <v>218</v>
      </c>
      <c r="D24" s="21"/>
      <c r="E24" s="17"/>
      <c r="F24" s="17"/>
      <c r="G24" s="17"/>
      <c r="H24"/>
      <c r="I24" s="17"/>
    </row>
    <row r="25" spans="1:29" s="139" customFormat="1" ht="6" customHeight="1" x14ac:dyDescent="0.25">
      <c r="A25" s="203"/>
      <c r="B25" s="10"/>
      <c r="C25" s="138"/>
      <c r="D25" s="21"/>
      <c r="E25" s="17"/>
      <c r="F25" s="17"/>
      <c r="G25" s="17"/>
      <c r="H25"/>
      <c r="I25" s="17"/>
    </row>
    <row r="26" spans="1:29" s="79" customFormat="1" ht="15" customHeight="1" x14ac:dyDescent="0.25">
      <c r="A26" s="203"/>
      <c r="B26" s="10"/>
      <c r="C26" s="226" t="s">
        <v>80</v>
      </c>
      <c r="D26" s="227"/>
      <c r="E26" s="227"/>
      <c r="F26" s="17"/>
      <c r="G26" s="17"/>
      <c r="H26" s="17"/>
      <c r="I26" s="17"/>
    </row>
    <row r="27" spans="1:29" s="79" customFormat="1" ht="6" customHeight="1" x14ac:dyDescent="0.25">
      <c r="A27" s="203"/>
      <c r="B27" s="10"/>
      <c r="C27" s="20"/>
      <c r="D27" s="21"/>
      <c r="E27" s="17"/>
      <c r="F27" s="17"/>
      <c r="G27" s="17"/>
      <c r="H27" s="17"/>
      <c r="I27" s="17"/>
    </row>
    <row r="28" spans="1:29" s="79" customFormat="1" ht="15" customHeight="1" x14ac:dyDescent="0.25">
      <c r="A28" s="203"/>
      <c r="B28" s="10"/>
      <c r="C28" s="142" t="s">
        <v>103</v>
      </c>
      <c r="D28" s="83" t="str">
        <f ca="1">MID(CELL("filename",'General inputs'!$A$1),FIND("]",CELL("filename",'General inputs'!$A$1))+1,255)</f>
        <v>General inputs</v>
      </c>
      <c r="E28" s="17"/>
      <c r="F28" s="17"/>
      <c r="G28" s="17"/>
      <c r="H28" s="17"/>
      <c r="I28" s="17"/>
    </row>
    <row r="29" spans="1:29" s="79" customFormat="1" ht="15" customHeight="1" x14ac:dyDescent="0.25">
      <c r="A29" s="203"/>
      <c r="B29" s="10"/>
      <c r="C29" s="142" t="s">
        <v>103</v>
      </c>
      <c r="D29" s="17" t="str">
        <f ca="1">MID(CELL("filename",'Pre-1996 assets'!$A$1),FIND("]",CELL("filename",'Pre-1996 assets'!$A$1))+1,255)</f>
        <v>Pre-1996 assets</v>
      </c>
      <c r="E29" s="17"/>
      <c r="F29" s="17"/>
      <c r="G29" s="17"/>
      <c r="H29" s="17"/>
      <c r="I29" s="17"/>
    </row>
    <row r="30" spans="1:29" s="79" customFormat="1" ht="15" customHeight="1" x14ac:dyDescent="0.25">
      <c r="A30" s="203"/>
      <c r="B30" s="10"/>
      <c r="C30" s="142" t="s">
        <v>103</v>
      </c>
      <c r="D30" s="17" t="str">
        <f ca="1">MID(CELL("filename",'Post-1996 commissioned assets'!$A$1),FIND("]",CELL("filename",'Post-1996 commissioned assets'!$A$1))+1,255)</f>
        <v>Post-1996 commissioned assets</v>
      </c>
      <c r="E30" s="17"/>
      <c r="F30" s="17"/>
      <c r="G30" s="17"/>
      <c r="H30" s="17"/>
      <c r="I30" s="17"/>
    </row>
    <row r="31" spans="1:29" s="79" customFormat="1" ht="15" customHeight="1" x14ac:dyDescent="0.25">
      <c r="A31" s="203"/>
      <c r="B31" s="10"/>
      <c r="C31" s="142" t="s">
        <v>103</v>
      </c>
      <c r="D31" s="17" t="str">
        <f ca="1">MID(CELL("filename",'Uncommissioned assets'!$A$1),FIND("]",CELL("filename",'Uncommissioned assets'!$A$1))+1,255)</f>
        <v>Uncommissioned assets</v>
      </c>
      <c r="E31" s="17"/>
      <c r="F31" s="17"/>
      <c r="G31" s="17"/>
      <c r="H31" s="17"/>
      <c r="I31" s="17"/>
    </row>
    <row r="32" spans="1:29" s="79" customFormat="1" ht="15" customHeight="1" x14ac:dyDescent="0.25">
      <c r="A32" s="203"/>
      <c r="B32" s="10"/>
      <c r="C32" s="142" t="s">
        <v>103</v>
      </c>
      <c r="D32" s="17" t="str">
        <f ca="1">MID(CELL("filename",'ET inputs'!$A$1),FIND("]",CELL("filename",'ET inputs'!$A$1))+1,255)</f>
        <v>ET inputs</v>
      </c>
      <c r="E32" s="17"/>
      <c r="F32" s="17"/>
      <c r="G32" s="17"/>
      <c r="H32" s="17"/>
      <c r="I32" s="17"/>
    </row>
    <row r="33" spans="1:9" s="79" customFormat="1" ht="15" customHeight="1" x14ac:dyDescent="0.25">
      <c r="A33" s="203"/>
      <c r="B33" s="10"/>
      <c r="C33" s="20"/>
      <c r="D33" s="17"/>
      <c r="E33" s="17"/>
      <c r="F33" s="17"/>
      <c r="G33" s="17"/>
      <c r="H33" s="17"/>
      <c r="I33" s="17"/>
    </row>
    <row r="34" spans="1:9" s="79" customFormat="1" x14ac:dyDescent="0.25">
      <c r="A34" s="203"/>
      <c r="B34" s="10"/>
      <c r="C34" s="9" t="s">
        <v>69</v>
      </c>
      <c r="F34" s="17"/>
      <c r="G34" s="17"/>
      <c r="H34" s="17"/>
      <c r="I34" s="17"/>
    </row>
    <row r="35" spans="1:9" s="85" customFormat="1" ht="6" customHeight="1" x14ac:dyDescent="0.25">
      <c r="A35" s="203"/>
      <c r="B35" s="10"/>
      <c r="C35" s="84"/>
      <c r="D35" s="44"/>
      <c r="E35" s="44"/>
      <c r="F35" s="17"/>
      <c r="G35" s="17"/>
      <c r="H35" s="17"/>
      <c r="I35" s="17"/>
    </row>
    <row r="36" spans="1:9" s="79" customFormat="1" ht="15" customHeight="1" x14ac:dyDescent="0.25">
      <c r="A36" s="203"/>
      <c r="B36" s="10"/>
      <c r="C36" s="224" t="s">
        <v>104</v>
      </c>
      <c r="D36" s="225"/>
      <c r="E36" s="225"/>
      <c r="F36" s="17"/>
      <c r="G36" s="17"/>
      <c r="H36" s="17"/>
      <c r="I36" s="17"/>
    </row>
    <row r="37" spans="1:9" s="79" customFormat="1" ht="6" customHeight="1" x14ac:dyDescent="0.25">
      <c r="A37" s="203"/>
      <c r="B37" s="10"/>
      <c r="C37" s="138"/>
      <c r="D37" s="21"/>
      <c r="E37" s="17"/>
      <c r="F37" s="17"/>
      <c r="G37" s="17"/>
      <c r="H37" s="17"/>
      <c r="I37" s="17"/>
    </row>
    <row r="38" spans="1:9" s="79" customFormat="1" ht="15" customHeight="1" x14ac:dyDescent="0.25">
      <c r="A38" s="203"/>
      <c r="B38" s="10"/>
      <c r="C38" s="143" t="s">
        <v>103</v>
      </c>
      <c r="D38" s="17" t="str">
        <f ca="1">MID(CELL("filename",'Reduction amount'!$A$1),FIND("]",CELL("filename",'Reduction amount'!$A$1))+1,255)</f>
        <v>Reduction amount</v>
      </c>
      <c r="E38" s="17"/>
      <c r="F38" s="17"/>
      <c r="G38" s="17"/>
      <c r="H38" s="17"/>
      <c r="I38" s="17"/>
    </row>
    <row r="39" spans="1:9" s="79" customFormat="1" ht="6" customHeight="1" x14ac:dyDescent="0.25">
      <c r="A39" s="203"/>
      <c r="B39" s="10"/>
      <c r="C39" s="20"/>
      <c r="D39" s="21"/>
      <c r="E39" s="17"/>
      <c r="F39" s="17"/>
      <c r="G39" s="17"/>
      <c r="H39" s="17"/>
      <c r="I39" s="17"/>
    </row>
    <row r="40" spans="1:9" s="79" customFormat="1" ht="39" customHeight="1" x14ac:dyDescent="0.25">
      <c r="A40" s="203"/>
      <c r="B40" s="10"/>
      <c r="C40" s="224" t="str">
        <f ca="1">"On this worksheet the agency can generate the time series for Ri (revenue) and Ci (opex) over the required timeframe. These time series can be copied or linked through to the '"&amp;MID(CELL("filename",'MP Calculations'!$A$1),FIND("]",CELL("filename",'MP Calculations'!$A$1))+1,255)&amp;"' worksheet, where the reduction amount is calculated.  (This template does not generate the Ri and Ci components of the reduction amount because of the differences in price structures and operating environments between the agencies.)"</f>
        <v>On this worksheet the agency can generate the time series for Ri (revenue) and Ci (opex) over the required timeframe. These time series can be copied or linked through to the 'MP Calculations' worksheet, where the reduction amount is calculated.  (This template does not generate the Ri and Ci components of the reduction amount because of the differences in price structures and operating environments between the agencies.)</v>
      </c>
      <c r="D40" s="225"/>
      <c r="E40" s="225"/>
      <c r="F40" s="17"/>
      <c r="G40" s="17"/>
      <c r="H40" s="17"/>
      <c r="I40" s="17"/>
    </row>
    <row r="41" spans="1:9" s="79" customFormat="1" ht="6" customHeight="1" x14ac:dyDescent="0.25">
      <c r="A41" s="203"/>
      <c r="B41" s="10"/>
      <c r="C41" s="20"/>
      <c r="D41" s="17"/>
      <c r="E41" s="17"/>
      <c r="F41" s="17"/>
      <c r="G41" s="17"/>
      <c r="H41" s="17"/>
      <c r="I41" s="17"/>
    </row>
    <row r="42" spans="1:9" s="79" customFormat="1" ht="15" customHeight="1" x14ac:dyDescent="0.25">
      <c r="A42" s="203"/>
      <c r="B42" s="10"/>
      <c r="C42" s="138" t="str">
        <f ca="1">"The '"&amp;MID(CELL("filename",'Reduction amount'!$A$1),FIND("]",CELL("filename",'Reduction amount'!$A$1))+1,255)&amp;"' worksheet provides instructions on how to incorporate the results in the maximum price calculations."</f>
        <v>The 'Reduction amount' worksheet provides instructions on how to incorporate the results in the maximum price calculations.</v>
      </c>
      <c r="D42" s="21"/>
      <c r="E42" s="17"/>
      <c r="F42" s="17"/>
      <c r="G42" s="17"/>
      <c r="H42" s="17"/>
      <c r="I42" s="17"/>
    </row>
    <row r="43" spans="1:9" s="139" customFormat="1" ht="15" customHeight="1" x14ac:dyDescent="0.25">
      <c r="A43" s="203"/>
      <c r="B43" s="10"/>
      <c r="C43" s="138"/>
      <c r="D43" s="21"/>
      <c r="E43" s="17"/>
      <c r="F43" s="17"/>
      <c r="G43" s="17"/>
      <c r="H43" s="17"/>
      <c r="I43" s="17"/>
    </row>
    <row r="44" spans="1:9" s="139" customFormat="1" ht="15" customHeight="1" x14ac:dyDescent="0.25">
      <c r="A44" s="203"/>
      <c r="B44" s="10"/>
      <c r="C44" s="9" t="s">
        <v>105</v>
      </c>
      <c r="D44" s="17"/>
      <c r="E44" s="17"/>
      <c r="F44" s="17"/>
      <c r="G44" s="17"/>
      <c r="H44" s="17"/>
      <c r="I44" s="17"/>
    </row>
    <row r="45" spans="1:9" s="139" customFormat="1" ht="6" customHeight="1" x14ac:dyDescent="0.25">
      <c r="A45" s="203"/>
      <c r="B45" s="10"/>
      <c r="C45" s="9"/>
      <c r="D45" s="17"/>
      <c r="E45" s="17"/>
      <c r="F45" s="17"/>
      <c r="G45" s="17"/>
      <c r="H45" s="17"/>
      <c r="I45" s="17"/>
    </row>
    <row r="46" spans="1:9" s="139" customFormat="1" ht="15" customHeight="1" x14ac:dyDescent="0.25">
      <c r="A46" s="203"/>
      <c r="B46" s="10"/>
      <c r="C46" s="224" t="s">
        <v>106</v>
      </c>
      <c r="D46" s="225"/>
      <c r="E46" s="225"/>
      <c r="F46" s="17"/>
      <c r="G46" s="17"/>
      <c r="H46" s="17"/>
      <c r="I46" s="17"/>
    </row>
    <row r="47" spans="1:9" s="139" customFormat="1" ht="6" customHeight="1" x14ac:dyDescent="0.25">
      <c r="A47" s="203"/>
      <c r="B47" s="10"/>
      <c r="C47" s="136"/>
      <c r="D47" s="137"/>
      <c r="E47" s="137"/>
      <c r="F47" s="17"/>
      <c r="G47" s="17"/>
      <c r="H47" s="17"/>
      <c r="I47" s="17"/>
    </row>
    <row r="48" spans="1:9" s="139" customFormat="1" ht="15" customHeight="1" x14ac:dyDescent="0.25">
      <c r="A48" s="203"/>
      <c r="B48" s="10"/>
      <c r="C48" s="143" t="s">
        <v>103</v>
      </c>
      <c r="D48" s="17" t="str">
        <f ca="1">MID(CELL("filename",'Headwork assets'!$A$1),FIND("]",CELL("filename",'Headwork assets'!$A$1))+1,255)</f>
        <v>Headwork assets</v>
      </c>
      <c r="E48" s="17"/>
      <c r="F48" s="17"/>
      <c r="G48" s="17"/>
      <c r="H48" s="17"/>
      <c r="I48" s="17"/>
    </row>
    <row r="49" spans="1:9" s="139" customFormat="1" ht="6" customHeight="1" x14ac:dyDescent="0.25">
      <c r="A49" s="203"/>
      <c r="B49" s="10"/>
      <c r="C49" s="143"/>
      <c r="D49" s="17"/>
      <c r="E49" s="17"/>
      <c r="F49" s="17"/>
      <c r="G49" s="17"/>
      <c r="H49" s="17"/>
      <c r="I49" s="17"/>
    </row>
    <row r="50" spans="1:9" s="139" customFormat="1" ht="15" customHeight="1" x14ac:dyDescent="0.25">
      <c r="A50" s="203"/>
      <c r="B50" s="10"/>
      <c r="C50" s="226" t="s">
        <v>107</v>
      </c>
      <c r="D50" s="227"/>
      <c r="E50" s="227"/>
      <c r="F50" s="17"/>
      <c r="G50" s="17"/>
      <c r="H50" s="17"/>
      <c r="I50" s="17"/>
    </row>
    <row r="51" spans="1:9" s="139" customFormat="1" ht="6" customHeight="1" x14ac:dyDescent="0.25">
      <c r="A51" s="203"/>
      <c r="B51" s="10"/>
      <c r="C51" s="138"/>
      <c r="F51" s="17"/>
      <c r="G51" s="17"/>
      <c r="H51" s="17"/>
      <c r="I51" s="17"/>
    </row>
    <row r="52" spans="1:9" s="139" customFormat="1" ht="24" customHeight="1" x14ac:dyDescent="0.25">
      <c r="A52" s="203"/>
      <c r="B52" s="10"/>
      <c r="C52" s="224" t="s">
        <v>85</v>
      </c>
      <c r="D52" s="225"/>
      <c r="E52" s="225"/>
      <c r="F52" s="17"/>
      <c r="G52" s="17"/>
      <c r="H52" s="17"/>
      <c r="I52" s="17"/>
    </row>
    <row r="53" spans="1:9" s="139" customFormat="1" ht="15" customHeight="1" x14ac:dyDescent="0.25">
      <c r="A53" s="203"/>
      <c r="B53" s="10"/>
      <c r="C53" s="136"/>
      <c r="D53" s="137"/>
      <c r="E53" s="137"/>
      <c r="F53" s="17"/>
      <c r="G53" s="17"/>
      <c r="H53" s="17"/>
      <c r="I53" s="17"/>
    </row>
    <row r="54" spans="1:9" s="139" customFormat="1" ht="15" customHeight="1" x14ac:dyDescent="0.25">
      <c r="A54" s="203"/>
      <c r="B54" s="10"/>
      <c r="C54" s="138" t="str">
        <f ca="1">"The '"&amp;MID(CELL("filename",'Headwork assets'!$A$1),FIND("]",CELL("filename",'Headwork assets'!$A$1))+1,255)&amp;"' worksheet provides instructions on how to incorporate the results in the maximum price calculations."</f>
        <v>The 'Headwork assets' worksheet provides instructions on how to incorporate the results in the maximum price calculations.</v>
      </c>
      <c r="D54" s="137"/>
      <c r="E54" s="137"/>
      <c r="F54" s="17"/>
      <c r="G54" s="17"/>
      <c r="H54" s="17"/>
      <c r="I54" s="17"/>
    </row>
    <row r="55" spans="1:9" s="139" customFormat="1" ht="15" customHeight="1" x14ac:dyDescent="0.25">
      <c r="A55" s="203"/>
      <c r="B55" s="10"/>
      <c r="C55" s="136"/>
      <c r="D55" s="137"/>
      <c r="E55" s="137"/>
      <c r="F55" s="17"/>
      <c r="G55" s="17"/>
      <c r="H55" s="17"/>
      <c r="I55" s="17"/>
    </row>
    <row r="56" spans="1:9" s="213" customFormat="1" ht="15" customHeight="1" x14ac:dyDescent="0.25">
      <c r="B56" s="10"/>
      <c r="C56" s="9" t="s">
        <v>215</v>
      </c>
      <c r="D56" s="17"/>
      <c r="E56" s="17"/>
      <c r="F56" s="17"/>
      <c r="G56" s="17"/>
      <c r="H56" s="17"/>
      <c r="I56" s="17"/>
    </row>
    <row r="57" spans="1:9" s="213" customFormat="1" ht="6" customHeight="1" x14ac:dyDescent="0.25">
      <c r="B57" s="10"/>
      <c r="C57" s="9"/>
      <c r="D57" s="17"/>
      <c r="E57" s="17"/>
      <c r="F57" s="17"/>
      <c r="G57" s="17"/>
      <c r="H57" s="17"/>
      <c r="I57" s="17"/>
    </row>
    <row r="58" spans="1:9" s="213" customFormat="1" ht="15" customHeight="1" x14ac:dyDescent="0.25">
      <c r="B58" s="10"/>
      <c r="C58" s="224" t="s">
        <v>216</v>
      </c>
      <c r="D58" s="225"/>
      <c r="E58" s="225"/>
      <c r="F58" s="17"/>
      <c r="G58" s="17"/>
      <c r="H58" s="17"/>
      <c r="I58" s="17"/>
    </row>
    <row r="59" spans="1:9" s="213" customFormat="1" ht="6" customHeight="1" x14ac:dyDescent="0.25">
      <c r="B59" s="10"/>
      <c r="C59" s="210"/>
      <c r="D59" s="211"/>
      <c r="E59" s="211"/>
      <c r="F59" s="17"/>
      <c r="G59" s="17"/>
      <c r="H59" s="17"/>
      <c r="I59" s="17"/>
    </row>
    <row r="60" spans="1:9" s="213" customFormat="1" ht="15" customHeight="1" x14ac:dyDescent="0.25">
      <c r="B60" s="10"/>
      <c r="C60" s="143" t="s">
        <v>103</v>
      </c>
      <c r="D60" s="17" t="str">
        <f ca="1">MID(CELL("filename",'Scheme cost allocation'!$A$1),FIND("]",CELL("filename",'Scheme cost allocation'!$A$1))+1,255)</f>
        <v>Scheme cost allocation</v>
      </c>
      <c r="E60" s="17"/>
      <c r="F60" s="17"/>
      <c r="G60" s="17"/>
      <c r="H60" s="17"/>
      <c r="I60" s="17"/>
    </row>
    <row r="61" spans="1:9" s="213" customFormat="1" ht="6" customHeight="1" x14ac:dyDescent="0.25">
      <c r="B61" s="10"/>
      <c r="C61" s="143"/>
      <c r="D61" s="17"/>
      <c r="E61" s="17"/>
      <c r="F61" s="17"/>
      <c r="G61" s="17"/>
      <c r="H61" s="17"/>
      <c r="I61" s="17"/>
    </row>
    <row r="62" spans="1:9" s="213" customFormat="1" ht="15" customHeight="1" x14ac:dyDescent="0.25">
      <c r="B62" s="10"/>
      <c r="C62" s="226" t="s">
        <v>217</v>
      </c>
      <c r="D62" s="227"/>
      <c r="E62" s="227"/>
      <c r="F62" s="17"/>
      <c r="G62" s="17"/>
      <c r="H62" s="17"/>
      <c r="I62" s="17"/>
    </row>
    <row r="63" spans="1:9" s="213" customFormat="1" ht="6" customHeight="1" x14ac:dyDescent="0.25">
      <c r="B63" s="10"/>
      <c r="C63" s="212"/>
      <c r="F63" s="17"/>
      <c r="G63" s="17"/>
      <c r="H63" s="17"/>
      <c r="I63" s="17"/>
    </row>
    <row r="64" spans="1:9" s="213" customFormat="1" ht="24" customHeight="1" x14ac:dyDescent="0.25">
      <c r="B64" s="10"/>
      <c r="C64" s="224" t="s">
        <v>85</v>
      </c>
      <c r="D64" s="225"/>
      <c r="E64" s="225"/>
      <c r="F64" s="17"/>
      <c r="G64" s="17"/>
      <c r="H64" s="17"/>
      <c r="I64" s="17"/>
    </row>
    <row r="65" spans="1:9" s="213" customFormat="1" ht="6" customHeight="1" x14ac:dyDescent="0.25">
      <c r="B65" s="10"/>
      <c r="C65" s="210"/>
      <c r="D65" s="211"/>
      <c r="E65" s="211"/>
      <c r="F65" s="17"/>
      <c r="G65" s="17"/>
      <c r="H65" s="17"/>
      <c r="I65" s="17"/>
    </row>
    <row r="66" spans="1:9" s="213" customFormat="1" ht="15" customHeight="1" x14ac:dyDescent="0.25">
      <c r="B66" s="10"/>
      <c r="C66" s="212" t="str">
        <f ca="1">"The '"&amp;MID(CELL("filename",'Headwork assets'!$A$1),FIND("]",CELL("filename",'Headwork assets'!$A$1))+1,255)&amp;"' worksheet provides instructions on how to incorporate the results in the maximum price calculations."</f>
        <v>The 'Headwork assets' worksheet provides instructions on how to incorporate the results in the maximum price calculations.</v>
      </c>
      <c r="D66" s="211"/>
      <c r="E66" s="211"/>
      <c r="F66" s="17"/>
      <c r="G66" s="17"/>
      <c r="H66" s="17"/>
      <c r="I66" s="17"/>
    </row>
    <row r="67" spans="1:9" s="213" customFormat="1" ht="15" customHeight="1" x14ac:dyDescent="0.25">
      <c r="B67" s="10"/>
      <c r="C67" s="210"/>
      <c r="D67" s="211"/>
      <c r="E67" s="211"/>
      <c r="F67" s="17"/>
      <c r="G67" s="17"/>
      <c r="H67" s="17"/>
      <c r="I67" s="17"/>
    </row>
    <row r="68" spans="1:9" s="139" customFormat="1" ht="15" customHeight="1" x14ac:dyDescent="0.25">
      <c r="A68" s="203"/>
      <c r="B68" s="10"/>
      <c r="C68" s="9" t="s">
        <v>194</v>
      </c>
      <c r="D68" s="9"/>
      <c r="E68" s="144"/>
      <c r="F68" s="17"/>
      <c r="G68" s="17"/>
      <c r="H68" s="17"/>
      <c r="I68" s="17"/>
    </row>
    <row r="69" spans="1:9" s="139" customFormat="1" ht="6" customHeight="1" x14ac:dyDescent="0.25">
      <c r="A69" s="203"/>
      <c r="B69" s="10"/>
      <c r="C69" s="9"/>
      <c r="D69" s="9"/>
      <c r="E69" s="144"/>
      <c r="F69" s="17"/>
      <c r="G69" s="17"/>
      <c r="H69" s="17"/>
      <c r="I69" s="17"/>
    </row>
    <row r="70" spans="1:9" s="139" customFormat="1" ht="15" customHeight="1" x14ac:dyDescent="0.25">
      <c r="A70" s="203"/>
      <c r="B70" s="10"/>
      <c r="C70" s="145" t="s">
        <v>195</v>
      </c>
      <c r="D70" s="9"/>
      <c r="E70" s="144"/>
      <c r="F70" s="17"/>
      <c r="G70" s="17"/>
      <c r="H70" s="17"/>
      <c r="I70" s="17"/>
    </row>
    <row r="71" spans="1:9" s="139" customFormat="1" ht="6" customHeight="1" x14ac:dyDescent="0.25">
      <c r="A71" s="203"/>
      <c r="B71" s="10"/>
      <c r="C71" s="145"/>
      <c r="D71" s="9"/>
      <c r="E71" s="144"/>
      <c r="F71" s="17"/>
      <c r="G71" s="17"/>
      <c r="H71" s="17"/>
      <c r="I71" s="17"/>
    </row>
    <row r="72" spans="1:9" s="79" customFormat="1" x14ac:dyDescent="0.25">
      <c r="A72" s="203"/>
      <c r="B72" s="10"/>
      <c r="C72" s="143" t="s">
        <v>103</v>
      </c>
      <c r="D72" s="83" t="str">
        <f ca="1">MID(CELL("filename",'MP Calculations'!A8),FIND("]",CELL("filename",'MP Calculations'!A8))+1,255)</f>
        <v>MP Calculations</v>
      </c>
      <c r="E72" s="144"/>
      <c r="F72" s="17"/>
      <c r="G72" s="17"/>
      <c r="H72" s="17"/>
      <c r="I72" s="17"/>
    </row>
    <row r="73" spans="1:9" s="79" customFormat="1" x14ac:dyDescent="0.25">
      <c r="A73" s="203"/>
      <c r="B73" s="10"/>
      <c r="C73" s="143" t="s">
        <v>103</v>
      </c>
      <c r="D73" s="83" t="str">
        <f ca="1">MID(CELL("filename",'Summary of result'!A11),FIND("]",CELL("filename",'Summary of result'!A11))+1,255)</f>
        <v>Summary of result</v>
      </c>
      <c r="E73" s="144"/>
      <c r="F73" s="17"/>
      <c r="G73" s="17"/>
      <c r="H73" s="17"/>
      <c r="I73" s="17"/>
    </row>
    <row r="74" spans="1:9" s="139" customFormat="1" ht="6" customHeight="1" x14ac:dyDescent="0.25">
      <c r="A74" s="203"/>
      <c r="B74" s="10"/>
      <c r="C74" s="143"/>
      <c r="D74" s="83"/>
      <c r="E74" s="144"/>
      <c r="F74" s="17"/>
      <c r="G74" s="17"/>
      <c r="H74" s="17"/>
      <c r="I74" s="17"/>
    </row>
    <row r="75" spans="1:9" s="85" customFormat="1" x14ac:dyDescent="0.25">
      <c r="A75" s="203"/>
      <c r="B75" s="10"/>
      <c r="C75" s="224" t="s">
        <v>199</v>
      </c>
      <c r="D75" s="225"/>
      <c r="E75" s="225"/>
      <c r="F75" s="17"/>
      <c r="G75" s="17"/>
      <c r="H75" s="17"/>
      <c r="I75" s="17"/>
    </row>
    <row r="76" spans="1:9" s="79" customFormat="1" ht="15" customHeight="1" x14ac:dyDescent="0.25">
      <c r="A76" s="203"/>
      <c r="B76" s="10"/>
      <c r="C76" s="138"/>
      <c r="D76" s="21"/>
      <c r="E76" s="17"/>
      <c r="F76" s="17"/>
      <c r="G76" s="17"/>
      <c r="H76" s="17"/>
      <c r="I76" s="17"/>
    </row>
    <row r="77" spans="1:9" s="139" customFormat="1" ht="15" customHeight="1" x14ac:dyDescent="0.25">
      <c r="A77" s="203"/>
      <c r="B77" s="10"/>
      <c r="C77" s="9" t="s">
        <v>108</v>
      </c>
      <c r="D77" s="21"/>
      <c r="E77" s="17"/>
      <c r="F77" s="17"/>
      <c r="G77" s="17"/>
      <c r="H77" s="17"/>
      <c r="I77" s="17"/>
    </row>
    <row r="78" spans="1:9" s="139" customFormat="1" ht="6" customHeight="1" x14ac:dyDescent="0.25">
      <c r="A78" s="203"/>
      <c r="B78" s="10"/>
      <c r="C78" s="138"/>
      <c r="D78" s="21"/>
      <c r="E78" s="17"/>
      <c r="F78" s="17"/>
      <c r="G78" s="17"/>
      <c r="H78" s="17"/>
      <c r="I78" s="17"/>
    </row>
    <row r="79" spans="1:9" s="139" customFormat="1" ht="15" customHeight="1" x14ac:dyDescent="0.25">
      <c r="A79" s="203"/>
      <c r="B79" s="10"/>
      <c r="C79" s="17" t="s">
        <v>109</v>
      </c>
      <c r="D79" s="21"/>
      <c r="E79" s="17"/>
      <c r="F79" s="17"/>
      <c r="G79" s="17"/>
      <c r="H79" s="17"/>
      <c r="I79" s="17"/>
    </row>
    <row r="80" spans="1:9" s="139" customFormat="1" ht="6" customHeight="1" x14ac:dyDescent="0.25">
      <c r="A80" s="203"/>
      <c r="B80" s="10"/>
      <c r="C80" s="17"/>
      <c r="D80" s="21"/>
      <c r="E80" s="17"/>
      <c r="F80" s="17"/>
      <c r="G80" s="17"/>
      <c r="H80" s="17"/>
      <c r="I80" s="17"/>
    </row>
    <row r="81" spans="1:29" s="79" customFormat="1" ht="15" customHeight="1" x14ac:dyDescent="0.25">
      <c r="A81" s="203"/>
      <c r="B81" s="10"/>
      <c r="C81" s="143" t="s">
        <v>103</v>
      </c>
      <c r="D81" s="83" t="str">
        <f ca="1">MID(CELL("filename",'Asset exclusions'!A14),FIND("]",CELL("filename",'Asset exclusions'!A14))+1,255)</f>
        <v>Asset exclusions</v>
      </c>
      <c r="E81" s="17"/>
      <c r="F81" s="17"/>
      <c r="G81" s="17"/>
      <c r="H81" s="17"/>
      <c r="I81" s="17"/>
    </row>
    <row r="82" spans="1:29" s="79" customFormat="1" ht="15" customHeight="1" x14ac:dyDescent="0.25">
      <c r="A82" s="203"/>
      <c r="B82" s="10"/>
      <c r="C82" s="21"/>
      <c r="D82" s="21"/>
      <c r="E82" s="17"/>
      <c r="F82" s="17"/>
      <c r="G82" s="17"/>
      <c r="H82" s="17"/>
      <c r="I82" s="17"/>
    </row>
    <row r="83" spans="1:29" s="147" customFormat="1" ht="15" customHeight="1" x14ac:dyDescent="0.25">
      <c r="A83" s="203"/>
      <c r="B83" s="10"/>
      <c r="C83" s="144" t="s">
        <v>196</v>
      </c>
      <c r="D83" s="21"/>
      <c r="E83" s="17"/>
      <c r="F83" s="17"/>
      <c r="G83" s="17"/>
      <c r="H83" s="17"/>
      <c r="I83" s="17"/>
    </row>
    <row r="84" spans="1:29" s="147" customFormat="1" ht="15" customHeight="1" x14ac:dyDescent="0.25">
      <c r="A84" s="203"/>
      <c r="B84" s="10"/>
      <c r="C84" s="143" t="s">
        <v>103</v>
      </c>
      <c r="D84" s="149" t="s">
        <v>115</v>
      </c>
      <c r="F84" s="17"/>
      <c r="G84" s="17"/>
      <c r="H84" s="17"/>
      <c r="I84" s="17"/>
    </row>
    <row r="85" spans="1:29" s="221" customFormat="1" ht="15" customHeight="1" x14ac:dyDescent="0.25">
      <c r="B85" s="10"/>
      <c r="C85" s="143" t="s">
        <v>103</v>
      </c>
      <c r="D85" s="222" t="s">
        <v>236</v>
      </c>
      <c r="F85" s="17"/>
      <c r="G85" s="17"/>
      <c r="H85" s="17"/>
      <c r="I85" s="17"/>
    </row>
    <row r="86" spans="1:29" s="221" customFormat="1" ht="15" customHeight="1" x14ac:dyDescent="0.25">
      <c r="B86" s="10"/>
      <c r="C86" s="143"/>
      <c r="D86" s="222"/>
      <c r="F86" s="17"/>
      <c r="G86" s="17"/>
      <c r="H86" s="17"/>
      <c r="I86" s="17"/>
    </row>
    <row r="87" spans="1:29" s="221" customFormat="1" ht="15" customHeight="1" x14ac:dyDescent="0.25">
      <c r="B87" s="10"/>
      <c r="C87" s="17" t="s">
        <v>242</v>
      </c>
      <c r="D87" s="222"/>
      <c r="F87" s="17"/>
      <c r="G87" s="17"/>
      <c r="H87" s="17"/>
      <c r="I87" s="17"/>
    </row>
    <row r="88" spans="1:29" s="221" customFormat="1" ht="15" customHeight="1" x14ac:dyDescent="0.25">
      <c r="B88" s="10"/>
      <c r="C88" s="17"/>
      <c r="D88" s="222"/>
      <c r="F88" s="17"/>
      <c r="G88" s="17"/>
      <c r="H88" s="17"/>
      <c r="I88" s="17"/>
    </row>
    <row r="89" spans="1:29" ht="15" customHeight="1" x14ac:dyDescent="0.25">
      <c r="B89" s="10"/>
      <c r="C89" s="21"/>
      <c r="D89" s="21"/>
      <c r="E89" s="17"/>
      <c r="F89" s="17"/>
      <c r="G89" s="17"/>
      <c r="H89" s="17"/>
      <c r="I89" s="17"/>
      <c r="J89" s="7"/>
      <c r="K89" s="7"/>
      <c r="L89" s="7"/>
      <c r="M89" s="7"/>
      <c r="N89" s="7"/>
      <c r="O89" s="7"/>
      <c r="P89" s="7"/>
      <c r="Q89" s="7"/>
      <c r="R89" s="7"/>
      <c r="S89" s="7"/>
      <c r="T89" s="7"/>
      <c r="U89" s="7"/>
      <c r="V89" s="7"/>
      <c r="W89" s="7"/>
      <c r="X89" s="7"/>
      <c r="Y89" s="7"/>
      <c r="Z89" s="7"/>
      <c r="AA89" s="7"/>
      <c r="AB89" s="7"/>
      <c r="AC89" s="7"/>
    </row>
    <row r="90" spans="1:29" ht="15" customHeight="1" x14ac:dyDescent="0.3">
      <c r="B90" s="10"/>
      <c r="C90" s="18" t="s">
        <v>4</v>
      </c>
      <c r="D90" s="18"/>
      <c r="E90" s="22"/>
      <c r="F90" s="17"/>
      <c r="G90" s="17"/>
      <c r="H90" s="17"/>
      <c r="I90" s="17"/>
      <c r="J90" s="7"/>
      <c r="K90" s="7"/>
      <c r="L90" s="7"/>
      <c r="M90" s="7"/>
      <c r="N90" s="7"/>
      <c r="O90" s="7"/>
      <c r="P90" s="7"/>
      <c r="Q90" s="7"/>
      <c r="R90" s="7"/>
      <c r="S90" s="7"/>
      <c r="T90" s="7"/>
      <c r="U90" s="7"/>
      <c r="V90" s="7"/>
      <c r="W90" s="7"/>
      <c r="X90" s="7"/>
      <c r="Y90" s="7"/>
      <c r="Z90" s="7"/>
      <c r="AA90" s="7"/>
      <c r="AB90" s="7"/>
      <c r="AC90" s="7"/>
    </row>
    <row r="91" spans="1:29" ht="15" customHeight="1" x14ac:dyDescent="0.25">
      <c r="B91" s="10"/>
      <c r="C91" s="23" t="s">
        <v>5</v>
      </c>
      <c r="D91" s="23"/>
      <c r="E91" s="17"/>
      <c r="F91" s="17"/>
      <c r="G91" s="17"/>
      <c r="H91" s="17"/>
      <c r="I91" s="17"/>
      <c r="J91" s="7"/>
      <c r="K91" s="7"/>
      <c r="L91" s="7"/>
      <c r="M91" s="7"/>
      <c r="N91" s="7"/>
      <c r="O91" s="7"/>
      <c r="P91" s="7"/>
      <c r="Q91" s="7"/>
      <c r="R91" s="7"/>
      <c r="S91" s="7"/>
      <c r="T91" s="7"/>
      <c r="U91" s="7"/>
      <c r="V91" s="7"/>
      <c r="W91" s="7"/>
      <c r="X91" s="7"/>
      <c r="Y91" s="7"/>
      <c r="Z91" s="7"/>
      <c r="AA91" s="7"/>
      <c r="AB91" s="7"/>
      <c r="AC91" s="7"/>
    </row>
    <row r="92" spans="1:29" ht="15" customHeight="1" x14ac:dyDescent="0.25">
      <c r="B92" s="10"/>
      <c r="C92" s="24" t="s">
        <v>6</v>
      </c>
      <c r="D92" s="24"/>
      <c r="E92" s="24"/>
      <c r="F92" s="17"/>
      <c r="G92" s="17"/>
      <c r="H92" s="17"/>
      <c r="I92" s="17"/>
      <c r="J92" s="7"/>
      <c r="K92" s="7"/>
      <c r="L92" s="7"/>
      <c r="M92" s="7"/>
      <c r="N92" s="7"/>
      <c r="O92" s="7"/>
      <c r="P92" s="7"/>
      <c r="Q92" s="7"/>
      <c r="R92" s="7"/>
      <c r="S92" s="7"/>
      <c r="T92" s="7"/>
      <c r="U92" s="7"/>
      <c r="V92" s="7"/>
      <c r="W92" s="7"/>
      <c r="X92" s="7"/>
      <c r="Y92" s="7"/>
      <c r="Z92" s="7"/>
      <c r="AA92" s="7"/>
      <c r="AB92" s="7"/>
      <c r="AC92" s="7"/>
    </row>
    <row r="93" spans="1:29" ht="15" customHeight="1" x14ac:dyDescent="0.25">
      <c r="B93" s="10"/>
      <c r="C93" s="4" t="s">
        <v>7</v>
      </c>
      <c r="D93" s="25"/>
      <c r="E93" s="25"/>
      <c r="F93" s="17"/>
      <c r="G93" s="17"/>
      <c r="H93" s="17"/>
      <c r="I93" s="17"/>
      <c r="J93" s="7"/>
      <c r="K93" s="7"/>
      <c r="L93" s="7"/>
      <c r="M93" s="7"/>
      <c r="N93" s="7"/>
      <c r="O93" s="7"/>
      <c r="P93" s="7"/>
      <c r="Q93" s="7"/>
      <c r="R93" s="7"/>
      <c r="S93" s="7"/>
      <c r="T93" s="7"/>
      <c r="U93" s="7"/>
      <c r="V93" s="7"/>
      <c r="W93" s="7"/>
      <c r="X93" s="7"/>
      <c r="Y93" s="7"/>
      <c r="Z93" s="7"/>
      <c r="AA93" s="7"/>
      <c r="AB93" s="7"/>
      <c r="AC93" s="7"/>
    </row>
    <row r="94" spans="1:29" ht="15" customHeight="1" x14ac:dyDescent="0.3">
      <c r="B94" s="10"/>
      <c r="C94" s="5"/>
      <c r="D94" s="5"/>
      <c r="E94" s="5" t="s">
        <v>8</v>
      </c>
      <c r="F94" s="17"/>
      <c r="G94" s="17"/>
      <c r="H94" s="17"/>
      <c r="I94" s="17"/>
      <c r="J94" s="7"/>
      <c r="K94" s="7"/>
      <c r="L94" s="7"/>
      <c r="M94" s="7"/>
      <c r="N94" s="7"/>
      <c r="O94" s="7"/>
      <c r="P94" s="7"/>
      <c r="Q94" s="7"/>
      <c r="R94" s="7"/>
      <c r="S94" s="7"/>
      <c r="T94" s="7"/>
      <c r="U94" s="7"/>
      <c r="V94" s="7"/>
      <c r="W94" s="7"/>
      <c r="X94" s="7"/>
      <c r="Y94" s="7"/>
      <c r="Z94" s="7"/>
      <c r="AA94" s="7"/>
      <c r="AB94" s="7"/>
      <c r="AC94" s="7"/>
    </row>
    <row r="95" spans="1:29" s="130" customFormat="1" ht="15" customHeight="1" x14ac:dyDescent="0.25">
      <c r="A95" s="203"/>
      <c r="B95" s="10"/>
      <c r="C95" s="133" t="s">
        <v>101</v>
      </c>
      <c r="D95" s="134"/>
      <c r="E95" s="134"/>
      <c r="F95" s="17"/>
      <c r="G95" s="17"/>
      <c r="H95" s="17"/>
      <c r="I95" s="17"/>
    </row>
    <row r="96" spans="1:29" ht="15" customHeight="1" x14ac:dyDescent="0.25">
      <c r="B96" s="10"/>
      <c r="C96" s="26" t="s">
        <v>9</v>
      </c>
      <c r="D96" s="26"/>
      <c r="E96" s="26"/>
      <c r="F96" s="17"/>
      <c r="G96" s="17"/>
      <c r="H96" s="17"/>
      <c r="I96" s="17"/>
      <c r="J96" s="7"/>
      <c r="K96" s="7"/>
      <c r="L96" s="7"/>
      <c r="M96" s="7"/>
      <c r="N96" s="7"/>
      <c r="O96" s="7"/>
      <c r="P96" s="7"/>
      <c r="Q96" s="7"/>
      <c r="R96" s="7"/>
      <c r="S96" s="7"/>
      <c r="T96" s="7"/>
      <c r="U96" s="7"/>
      <c r="V96" s="7"/>
      <c r="W96" s="7"/>
      <c r="X96" s="7"/>
      <c r="Y96" s="7"/>
      <c r="Z96" s="7"/>
      <c r="AA96" s="7"/>
      <c r="AB96" s="7"/>
      <c r="AC96" s="7"/>
    </row>
    <row r="97" spans="2:29" ht="15" customHeight="1" x14ac:dyDescent="0.25">
      <c r="B97" s="10"/>
      <c r="C97" s="27" t="s">
        <v>0</v>
      </c>
      <c r="D97" s="27"/>
      <c r="E97" s="27"/>
      <c r="F97" s="17"/>
      <c r="G97" s="17"/>
      <c r="H97" s="17"/>
      <c r="I97" s="17"/>
      <c r="J97" s="7"/>
      <c r="K97" s="7"/>
      <c r="L97" s="7"/>
      <c r="M97" s="7"/>
      <c r="N97" s="7"/>
      <c r="O97" s="7"/>
      <c r="P97" s="7"/>
      <c r="Q97" s="7"/>
      <c r="R97" s="7"/>
      <c r="S97" s="7"/>
      <c r="T97" s="7"/>
      <c r="U97" s="7"/>
      <c r="V97" s="7"/>
      <c r="W97" s="7"/>
      <c r="X97" s="7"/>
      <c r="Y97" s="7"/>
      <c r="Z97" s="7"/>
      <c r="AA97" s="7"/>
      <c r="AB97" s="7"/>
      <c r="AC97" s="7"/>
    </row>
    <row r="98" spans="2:29" ht="15" customHeight="1" x14ac:dyDescent="0.25">
      <c r="B98" s="10"/>
      <c r="C98" s="28" t="s">
        <v>10</v>
      </c>
      <c r="D98" s="28"/>
      <c r="E98" s="29"/>
      <c r="F98" s="17"/>
      <c r="G98" s="17"/>
      <c r="H98" s="17"/>
      <c r="I98" s="17"/>
      <c r="J98" s="7"/>
      <c r="K98" s="7"/>
      <c r="L98" s="7"/>
      <c r="M98" s="7"/>
      <c r="N98" s="7"/>
      <c r="O98" s="7"/>
      <c r="P98" s="7"/>
      <c r="Q98" s="7"/>
      <c r="R98" s="7"/>
      <c r="S98" s="7"/>
      <c r="T98" s="7"/>
      <c r="U98" s="7"/>
      <c r="V98" s="7"/>
      <c r="W98" s="7"/>
      <c r="X98" s="7"/>
      <c r="Y98" s="7"/>
      <c r="Z98" s="7"/>
      <c r="AA98" s="7"/>
      <c r="AB98" s="7"/>
      <c r="AC98" s="7"/>
    </row>
    <row r="99" spans="2:29" ht="15" customHeight="1" x14ac:dyDescent="0.25">
      <c r="B99" s="10"/>
      <c r="C99" s="30" t="s">
        <v>11</v>
      </c>
      <c r="D99" s="30"/>
      <c r="E99" s="31"/>
      <c r="F99" s="17"/>
      <c r="G99" s="17"/>
      <c r="H99" s="17"/>
      <c r="I99" s="17"/>
      <c r="J99" s="7"/>
      <c r="K99" s="7"/>
      <c r="L99" s="7"/>
      <c r="M99" s="7"/>
      <c r="N99" s="7"/>
      <c r="O99" s="7"/>
      <c r="P99" s="7"/>
      <c r="Q99" s="7"/>
      <c r="R99" s="7"/>
      <c r="S99" s="7"/>
      <c r="T99" s="7"/>
      <c r="U99" s="7"/>
      <c r="V99" s="7"/>
      <c r="W99" s="7"/>
      <c r="X99" s="7"/>
      <c r="Y99" s="7"/>
      <c r="Z99" s="7"/>
      <c r="AA99" s="7"/>
      <c r="AB99" s="7"/>
      <c r="AC99" s="7"/>
    </row>
    <row r="100" spans="2:29" ht="15" customHeight="1" x14ac:dyDescent="0.25">
      <c r="B100" s="10"/>
      <c r="C100" s="32" t="s">
        <v>81</v>
      </c>
      <c r="D100" s="33"/>
      <c r="E100" s="33"/>
      <c r="F100" s="17"/>
      <c r="G100" s="17"/>
      <c r="H100" s="17"/>
      <c r="I100" s="17"/>
      <c r="J100" s="7"/>
      <c r="K100" s="7"/>
      <c r="L100" s="7"/>
      <c r="M100" s="7"/>
      <c r="N100" s="7"/>
      <c r="O100" s="7"/>
      <c r="P100" s="7"/>
      <c r="Q100" s="7"/>
      <c r="R100" s="7"/>
      <c r="S100" s="7"/>
      <c r="T100" s="7"/>
      <c r="U100" s="7"/>
      <c r="V100" s="7"/>
      <c r="W100" s="7"/>
      <c r="X100" s="7"/>
      <c r="Y100" s="7"/>
      <c r="Z100" s="7"/>
      <c r="AA100" s="7"/>
      <c r="AB100" s="7"/>
      <c r="AC100" s="7"/>
    </row>
    <row r="101" spans="2:29" ht="15" customHeight="1" x14ac:dyDescent="0.25">
      <c r="B101" s="10"/>
      <c r="C101" s="21"/>
      <c r="D101" s="21"/>
      <c r="E101" s="17"/>
      <c r="F101" s="17"/>
      <c r="G101" s="17"/>
      <c r="H101" s="17"/>
      <c r="I101" s="17"/>
      <c r="J101" s="7"/>
      <c r="K101" s="7"/>
      <c r="L101" s="7"/>
      <c r="M101" s="7"/>
      <c r="N101" s="7"/>
      <c r="O101" s="7"/>
      <c r="P101" s="7"/>
      <c r="Q101" s="7"/>
      <c r="R101" s="7"/>
      <c r="S101" s="7"/>
      <c r="T101" s="7"/>
      <c r="U101" s="7"/>
      <c r="V101" s="7"/>
      <c r="W101" s="7"/>
      <c r="X101" s="7"/>
      <c r="Y101" s="7"/>
      <c r="Z101" s="7"/>
      <c r="AA101" s="7"/>
      <c r="AB101" s="7"/>
      <c r="AC101" s="7"/>
    </row>
    <row r="102" spans="2:29" x14ac:dyDescent="0.25">
      <c r="B102" s="10"/>
      <c r="C102" s="21"/>
      <c r="D102" s="21"/>
      <c r="E102" s="17"/>
      <c r="F102" s="17"/>
      <c r="G102" s="17"/>
      <c r="H102" s="17"/>
      <c r="I102" s="17"/>
      <c r="J102" s="7"/>
      <c r="K102" s="7"/>
      <c r="L102" s="7"/>
      <c r="M102" s="7"/>
      <c r="N102" s="7"/>
      <c r="O102" s="7"/>
      <c r="P102" s="7"/>
      <c r="Q102" s="7"/>
      <c r="R102" s="7"/>
      <c r="S102" s="7"/>
      <c r="T102" s="7"/>
      <c r="U102" s="7"/>
      <c r="V102" s="7"/>
      <c r="W102" s="7"/>
      <c r="X102" s="7"/>
      <c r="Y102" s="7"/>
      <c r="Z102" s="7"/>
      <c r="AA102" s="7"/>
      <c r="AB102" s="7"/>
      <c r="AC102" s="7"/>
    </row>
    <row r="106" spans="2:29" x14ac:dyDescent="0.25">
      <c r="B106" s="10"/>
      <c r="C106" s="11"/>
      <c r="D106" s="11"/>
      <c r="E106" s="11"/>
      <c r="J106" s="7"/>
      <c r="K106" s="7"/>
      <c r="L106" s="7"/>
      <c r="M106" s="7"/>
      <c r="N106" s="7"/>
      <c r="O106" s="7"/>
      <c r="P106" s="7"/>
      <c r="Q106" s="7"/>
      <c r="R106" s="7"/>
      <c r="S106" s="7"/>
      <c r="T106" s="7"/>
      <c r="U106" s="7"/>
      <c r="V106" s="7"/>
      <c r="W106" s="7"/>
      <c r="X106" s="7"/>
      <c r="Y106" s="7"/>
      <c r="Z106" s="7"/>
      <c r="AA106" s="7"/>
      <c r="AB106" s="7"/>
      <c r="AC106" s="7"/>
    </row>
    <row r="107" spans="2:29" x14ac:dyDescent="0.25">
      <c r="C107" s="8"/>
      <c r="D107" s="8"/>
      <c r="E107" s="8"/>
      <c r="J107" s="7"/>
      <c r="K107" s="7"/>
      <c r="L107" s="7"/>
      <c r="M107" s="7"/>
      <c r="N107" s="7"/>
      <c r="O107" s="7"/>
      <c r="P107" s="7"/>
      <c r="Q107" s="7"/>
      <c r="R107" s="7"/>
      <c r="S107" s="7"/>
      <c r="T107" s="7"/>
      <c r="U107" s="7"/>
      <c r="V107" s="7"/>
      <c r="W107" s="7"/>
      <c r="X107" s="7"/>
      <c r="Y107" s="7"/>
      <c r="Z107" s="7"/>
      <c r="AA107" s="7"/>
      <c r="AB107" s="7"/>
      <c r="AC107" s="7"/>
    </row>
    <row r="108" spans="2:29" x14ac:dyDescent="0.25">
      <c r="C108" s="8"/>
      <c r="D108" s="8"/>
      <c r="E108" s="8"/>
      <c r="J108" s="7"/>
      <c r="K108" s="7"/>
      <c r="L108" s="7"/>
      <c r="M108" s="7"/>
      <c r="N108" s="7"/>
      <c r="O108" s="7"/>
      <c r="P108" s="7"/>
      <c r="Q108" s="7"/>
      <c r="R108" s="7"/>
      <c r="S108" s="7"/>
      <c r="T108" s="7"/>
      <c r="U108" s="7"/>
      <c r="V108" s="7"/>
      <c r="W108" s="7"/>
      <c r="X108" s="7"/>
      <c r="Y108" s="7"/>
      <c r="Z108" s="7"/>
      <c r="AA108" s="7"/>
      <c r="AB108" s="7"/>
      <c r="AC108" s="7"/>
    </row>
    <row r="109" spans="2:29" x14ac:dyDescent="0.25">
      <c r="C109" s="8"/>
      <c r="D109" s="8"/>
      <c r="E109" s="8"/>
      <c r="F109" s="7"/>
      <c r="G109" s="7"/>
      <c r="H109" s="7"/>
      <c r="I109" s="7"/>
      <c r="J109" s="7"/>
      <c r="K109" s="7"/>
      <c r="L109" s="7"/>
      <c r="M109" s="7"/>
      <c r="N109" s="7"/>
      <c r="O109" s="7"/>
      <c r="P109" s="7"/>
      <c r="Q109" s="7"/>
      <c r="R109" s="7"/>
      <c r="S109" s="7"/>
      <c r="T109" s="7"/>
      <c r="U109" s="7"/>
      <c r="V109" s="7"/>
      <c r="W109" s="7"/>
      <c r="X109" s="7"/>
      <c r="Y109" s="7"/>
      <c r="Z109" s="7"/>
      <c r="AA109" s="7"/>
      <c r="AB109" s="7"/>
      <c r="AC109" s="7"/>
    </row>
    <row r="110" spans="2:29" x14ac:dyDescent="0.25">
      <c r="C110" s="8"/>
      <c r="D110" s="8"/>
      <c r="E110" s="8"/>
      <c r="F110" s="7"/>
      <c r="G110" s="7"/>
      <c r="H110" s="7"/>
      <c r="I110" s="7"/>
      <c r="J110" s="7"/>
      <c r="K110" s="7"/>
      <c r="L110" s="7"/>
      <c r="M110" s="7"/>
      <c r="N110" s="7"/>
      <c r="O110" s="7"/>
      <c r="P110" s="7"/>
      <c r="Q110" s="7"/>
      <c r="R110" s="7"/>
      <c r="S110" s="7"/>
      <c r="T110" s="7"/>
      <c r="U110" s="7"/>
      <c r="V110" s="7"/>
      <c r="W110" s="7"/>
      <c r="X110" s="7"/>
      <c r="Y110" s="7"/>
      <c r="Z110" s="7"/>
      <c r="AA110" s="7"/>
      <c r="AB110" s="7"/>
      <c r="AC110" s="7"/>
    </row>
    <row r="111" spans="2:29" x14ac:dyDescent="0.25">
      <c r="C111" s="8"/>
      <c r="D111" s="8"/>
      <c r="E111" s="8"/>
      <c r="F111" s="7"/>
      <c r="G111" s="7"/>
      <c r="H111" s="7"/>
      <c r="I111" s="7"/>
      <c r="J111" s="7"/>
      <c r="K111" s="7"/>
      <c r="L111" s="7"/>
      <c r="M111" s="7"/>
      <c r="N111" s="7"/>
      <c r="O111" s="7"/>
      <c r="P111" s="7"/>
      <c r="Q111" s="7"/>
      <c r="R111" s="7"/>
      <c r="S111" s="7"/>
      <c r="T111" s="7"/>
      <c r="U111" s="7"/>
      <c r="V111" s="7"/>
      <c r="W111" s="7"/>
      <c r="X111" s="7"/>
      <c r="Y111" s="7"/>
      <c r="Z111" s="7"/>
      <c r="AA111" s="7"/>
      <c r="AB111" s="7"/>
      <c r="AC111" s="7"/>
    </row>
    <row r="112" spans="2:29" x14ac:dyDescent="0.25">
      <c r="C112" s="8"/>
      <c r="D112" s="8"/>
      <c r="E112" s="8"/>
      <c r="F112" s="7"/>
      <c r="G112" s="7"/>
      <c r="H112" s="7"/>
      <c r="I112" s="7"/>
      <c r="J112" s="7"/>
      <c r="K112" s="7"/>
      <c r="L112" s="7"/>
      <c r="M112" s="7"/>
      <c r="N112" s="7"/>
      <c r="O112" s="7"/>
      <c r="P112" s="7"/>
      <c r="Q112" s="7"/>
      <c r="R112" s="7"/>
      <c r="S112" s="7"/>
      <c r="T112" s="7"/>
      <c r="U112" s="7"/>
      <c r="V112" s="7"/>
      <c r="W112" s="7"/>
      <c r="X112" s="7"/>
      <c r="Y112" s="7"/>
      <c r="Z112" s="7"/>
      <c r="AA112" s="7"/>
      <c r="AB112" s="7"/>
      <c r="AC112" s="7"/>
    </row>
    <row r="113" spans="3:29" x14ac:dyDescent="0.25">
      <c r="C113" s="8"/>
      <c r="D113" s="8"/>
      <c r="E113" s="8"/>
      <c r="F113" s="7"/>
      <c r="G113" s="7"/>
      <c r="H113" s="7"/>
      <c r="I113" s="7"/>
      <c r="J113" s="7"/>
      <c r="K113" s="7"/>
      <c r="L113" s="7"/>
      <c r="M113" s="7"/>
      <c r="N113" s="7"/>
      <c r="O113" s="7"/>
      <c r="P113" s="7"/>
      <c r="Q113" s="7"/>
      <c r="R113" s="7"/>
      <c r="S113" s="7"/>
      <c r="T113" s="7"/>
      <c r="U113" s="7"/>
      <c r="V113" s="7"/>
      <c r="W113" s="7"/>
      <c r="X113" s="7"/>
      <c r="Y113" s="7"/>
      <c r="Z113" s="7"/>
      <c r="AA113" s="7"/>
      <c r="AB113" s="7"/>
      <c r="AC113" s="7"/>
    </row>
    <row r="114" spans="3:29" x14ac:dyDescent="0.25">
      <c r="C114" s="8"/>
      <c r="D114" s="8"/>
      <c r="E114" s="8"/>
      <c r="F114" s="7"/>
      <c r="G114" s="7"/>
      <c r="H114" s="7"/>
      <c r="I114" s="7"/>
      <c r="J114" s="7"/>
      <c r="K114" s="7"/>
      <c r="L114" s="7"/>
      <c r="M114" s="7"/>
      <c r="N114" s="7"/>
      <c r="O114" s="7"/>
      <c r="P114" s="7"/>
      <c r="Q114" s="7"/>
      <c r="R114" s="7"/>
      <c r="S114" s="7"/>
      <c r="T114" s="7"/>
      <c r="U114" s="7"/>
      <c r="V114" s="7"/>
      <c r="W114" s="7"/>
      <c r="X114" s="7"/>
      <c r="Y114" s="7"/>
      <c r="Z114" s="7"/>
      <c r="AA114" s="7"/>
      <c r="AB114" s="7"/>
      <c r="AC114" s="7"/>
    </row>
    <row r="115" spans="3:29" x14ac:dyDescent="0.25">
      <c r="C115" s="8"/>
      <c r="D115" s="8"/>
      <c r="E115" s="8"/>
      <c r="F115" s="7"/>
      <c r="G115" s="7"/>
      <c r="H115" s="7"/>
      <c r="I115" s="7"/>
      <c r="J115" s="7"/>
      <c r="K115" s="7"/>
      <c r="L115" s="7"/>
      <c r="M115" s="7"/>
      <c r="N115" s="7"/>
      <c r="O115" s="7"/>
      <c r="P115" s="7"/>
      <c r="Q115" s="7"/>
      <c r="R115" s="7"/>
      <c r="S115" s="7"/>
      <c r="T115" s="7"/>
      <c r="U115" s="7"/>
      <c r="V115" s="7"/>
      <c r="W115" s="7"/>
      <c r="X115" s="7"/>
      <c r="Y115" s="7"/>
      <c r="Z115" s="7"/>
      <c r="AA115" s="7"/>
      <c r="AB115" s="7"/>
      <c r="AC115" s="7"/>
    </row>
    <row r="116" spans="3:29" x14ac:dyDescent="0.25">
      <c r="C116" s="8"/>
      <c r="D116" s="8"/>
      <c r="E116" s="8"/>
      <c r="F116" s="7"/>
      <c r="G116" s="7"/>
      <c r="H116" s="7"/>
      <c r="I116" s="7"/>
      <c r="J116" s="7"/>
      <c r="K116" s="7"/>
      <c r="L116" s="7"/>
      <c r="M116" s="7"/>
      <c r="N116" s="7"/>
      <c r="O116" s="7"/>
      <c r="P116" s="7"/>
      <c r="Q116" s="7"/>
      <c r="R116" s="7"/>
      <c r="S116" s="7"/>
      <c r="T116" s="7"/>
      <c r="U116" s="7"/>
      <c r="V116" s="7"/>
      <c r="W116" s="7"/>
      <c r="X116" s="7"/>
      <c r="Y116" s="7"/>
      <c r="Z116" s="7"/>
      <c r="AA116" s="7"/>
      <c r="AB116" s="7"/>
      <c r="AC116" s="7"/>
    </row>
    <row r="117" spans="3:29" x14ac:dyDescent="0.25">
      <c r="C117" s="8"/>
      <c r="D117" s="8"/>
      <c r="E117" s="8"/>
      <c r="F117" s="7"/>
      <c r="G117" s="7"/>
      <c r="H117" s="7"/>
      <c r="I117" s="7"/>
      <c r="J117" s="7"/>
      <c r="K117" s="7"/>
      <c r="L117" s="7"/>
      <c r="M117" s="7"/>
      <c r="N117" s="7"/>
      <c r="O117" s="7"/>
      <c r="P117" s="7"/>
      <c r="Q117" s="7"/>
      <c r="R117" s="7"/>
      <c r="S117" s="7"/>
      <c r="T117" s="7"/>
      <c r="U117" s="7"/>
      <c r="V117" s="7"/>
      <c r="W117" s="7"/>
      <c r="X117" s="7"/>
      <c r="Y117" s="7"/>
      <c r="Z117" s="7"/>
      <c r="AA117" s="7"/>
      <c r="AB117" s="7"/>
      <c r="AC117" s="7"/>
    </row>
    <row r="118" spans="3:29" x14ac:dyDescent="0.25">
      <c r="C118" s="8"/>
      <c r="D118" s="8"/>
      <c r="E118" s="8"/>
      <c r="F118" s="7"/>
      <c r="G118" s="7"/>
      <c r="H118" s="7"/>
      <c r="I118" s="7"/>
      <c r="J118" s="7"/>
      <c r="K118" s="7"/>
      <c r="L118" s="7"/>
      <c r="M118" s="7"/>
      <c r="N118" s="7"/>
      <c r="O118" s="7"/>
      <c r="P118" s="7"/>
      <c r="Q118" s="7"/>
      <c r="R118" s="7"/>
      <c r="S118" s="7"/>
      <c r="T118" s="7"/>
      <c r="U118" s="7"/>
      <c r="V118" s="7"/>
      <c r="W118" s="7"/>
      <c r="X118" s="7"/>
      <c r="Y118" s="7"/>
      <c r="Z118" s="7"/>
      <c r="AA118" s="7"/>
      <c r="AB118" s="7"/>
      <c r="AC118" s="7"/>
    </row>
    <row r="119" spans="3:29" x14ac:dyDescent="0.25">
      <c r="C119" s="8"/>
      <c r="D119" s="8"/>
      <c r="E119" s="8"/>
      <c r="F119" s="7"/>
      <c r="G119" s="7"/>
      <c r="H119" s="7"/>
      <c r="I119" s="7"/>
      <c r="J119" s="7"/>
      <c r="K119" s="7"/>
      <c r="L119" s="7"/>
      <c r="M119" s="7"/>
      <c r="N119" s="7"/>
      <c r="O119" s="7"/>
      <c r="P119" s="7"/>
      <c r="Q119" s="7"/>
      <c r="R119" s="7"/>
      <c r="S119" s="7"/>
      <c r="T119" s="7"/>
      <c r="U119" s="7"/>
      <c r="V119" s="7"/>
      <c r="W119" s="7"/>
      <c r="X119" s="7"/>
      <c r="Y119" s="7"/>
      <c r="Z119" s="7"/>
      <c r="AA119" s="7"/>
      <c r="AB119" s="7"/>
      <c r="AC119" s="7"/>
    </row>
    <row r="120" spans="3:29" x14ac:dyDescent="0.25">
      <c r="C120" s="8"/>
      <c r="D120" s="8"/>
      <c r="E120" s="8"/>
      <c r="F120" s="7"/>
      <c r="G120" s="7"/>
      <c r="H120" s="7"/>
      <c r="I120" s="7"/>
      <c r="J120" s="7"/>
      <c r="K120" s="7"/>
      <c r="L120" s="7"/>
      <c r="M120" s="7"/>
      <c r="N120" s="7"/>
      <c r="O120" s="7"/>
      <c r="P120" s="7"/>
      <c r="Q120" s="7"/>
      <c r="R120" s="7"/>
      <c r="S120" s="7"/>
      <c r="T120" s="7"/>
      <c r="U120" s="7"/>
      <c r="V120" s="7"/>
      <c r="W120" s="7"/>
      <c r="X120" s="7"/>
      <c r="Y120" s="7"/>
      <c r="Z120" s="7"/>
      <c r="AA120" s="7"/>
      <c r="AB120" s="7"/>
      <c r="AC120" s="7"/>
    </row>
    <row r="121" spans="3:29" x14ac:dyDescent="0.25">
      <c r="C121" s="8"/>
      <c r="D121" s="8"/>
      <c r="E121" s="8"/>
      <c r="F121" s="7"/>
      <c r="G121" s="7"/>
      <c r="H121" s="7"/>
      <c r="I121" s="7"/>
      <c r="J121" s="7"/>
      <c r="K121" s="7"/>
      <c r="L121" s="7"/>
      <c r="M121" s="7"/>
      <c r="N121" s="7"/>
      <c r="O121" s="7"/>
      <c r="P121" s="7"/>
      <c r="Q121" s="7"/>
      <c r="R121" s="7"/>
      <c r="S121" s="7"/>
      <c r="T121" s="7"/>
      <c r="U121" s="7"/>
      <c r="V121" s="7"/>
      <c r="W121" s="7"/>
      <c r="X121" s="7"/>
      <c r="Y121" s="7"/>
      <c r="Z121" s="7"/>
      <c r="AA121" s="7"/>
      <c r="AB121" s="7"/>
      <c r="AC121" s="7"/>
    </row>
    <row r="122" spans="3:29" x14ac:dyDescent="0.25">
      <c r="C122" s="8"/>
      <c r="D122" s="8"/>
      <c r="E122" s="8"/>
      <c r="F122" s="7"/>
      <c r="G122" s="7"/>
      <c r="H122" s="7"/>
      <c r="I122" s="7"/>
      <c r="J122" s="7"/>
      <c r="K122" s="7"/>
      <c r="L122" s="7"/>
      <c r="M122" s="7"/>
      <c r="N122" s="7"/>
      <c r="O122" s="7"/>
      <c r="P122" s="7"/>
      <c r="Q122" s="7"/>
      <c r="R122" s="7"/>
      <c r="S122" s="7"/>
      <c r="T122" s="7"/>
      <c r="U122" s="7"/>
      <c r="V122" s="7"/>
      <c r="W122" s="7"/>
      <c r="X122" s="7"/>
      <c r="Y122" s="7"/>
      <c r="Z122" s="7"/>
      <c r="AA122" s="7"/>
      <c r="AB122" s="7"/>
      <c r="AC122" s="7"/>
    </row>
    <row r="123" spans="3:29" x14ac:dyDescent="0.25">
      <c r="C123" s="8"/>
      <c r="D123" s="8"/>
      <c r="E123" s="8"/>
      <c r="F123" s="7"/>
      <c r="G123" s="7"/>
      <c r="H123" s="7"/>
      <c r="I123" s="7"/>
      <c r="J123" s="7"/>
      <c r="K123" s="7"/>
      <c r="L123" s="7"/>
      <c r="M123" s="7"/>
      <c r="N123" s="7"/>
      <c r="O123" s="7"/>
      <c r="P123" s="7"/>
      <c r="Q123" s="7"/>
      <c r="R123" s="7"/>
      <c r="S123" s="7"/>
      <c r="T123" s="7"/>
      <c r="U123" s="7"/>
      <c r="V123" s="7"/>
      <c r="W123" s="7"/>
      <c r="X123" s="7"/>
      <c r="Y123" s="7"/>
      <c r="Z123" s="7"/>
      <c r="AA123" s="7"/>
      <c r="AB123" s="7"/>
      <c r="AC123" s="7"/>
    </row>
    <row r="124" spans="3:29" x14ac:dyDescent="0.25">
      <c r="C124" s="8"/>
      <c r="D124" s="8"/>
      <c r="E124" s="8"/>
      <c r="F124" s="7"/>
      <c r="G124" s="7"/>
      <c r="H124" s="7"/>
      <c r="I124" s="7"/>
      <c r="J124" s="7"/>
      <c r="K124" s="7"/>
      <c r="L124" s="7"/>
      <c r="M124" s="7"/>
      <c r="N124" s="7"/>
      <c r="O124" s="7"/>
      <c r="P124" s="7"/>
      <c r="Q124" s="7"/>
      <c r="R124" s="7"/>
      <c r="S124" s="7"/>
      <c r="T124" s="7"/>
      <c r="U124" s="7"/>
      <c r="V124" s="7"/>
      <c r="W124" s="7"/>
      <c r="X124" s="7"/>
      <c r="Y124" s="7"/>
      <c r="Z124" s="7"/>
      <c r="AA124" s="7"/>
      <c r="AB124" s="7"/>
      <c r="AC124" s="7"/>
    </row>
    <row r="125" spans="3:29" x14ac:dyDescent="0.25">
      <c r="C125" s="8"/>
      <c r="D125" s="8"/>
      <c r="E125" s="8"/>
      <c r="F125" s="7"/>
      <c r="G125" s="7"/>
      <c r="H125" s="7"/>
      <c r="I125" s="7"/>
      <c r="J125" s="7"/>
      <c r="K125" s="7"/>
      <c r="L125" s="7"/>
      <c r="M125" s="7"/>
      <c r="N125" s="7"/>
      <c r="O125" s="7"/>
      <c r="P125" s="7"/>
      <c r="Q125" s="7"/>
      <c r="R125" s="7"/>
      <c r="S125" s="7"/>
      <c r="T125" s="7"/>
      <c r="U125" s="7"/>
      <c r="V125" s="7"/>
      <c r="W125" s="7"/>
      <c r="X125" s="7"/>
      <c r="Y125" s="7"/>
      <c r="Z125" s="7"/>
      <c r="AA125" s="7"/>
      <c r="AB125" s="7"/>
      <c r="AC125" s="7"/>
    </row>
    <row r="126" spans="3:29" x14ac:dyDescent="0.25">
      <c r="C126" s="8"/>
      <c r="D126" s="8"/>
      <c r="E126" s="8"/>
      <c r="F126" s="7"/>
      <c r="G126" s="7"/>
      <c r="H126" s="7"/>
      <c r="I126" s="7"/>
      <c r="J126" s="7"/>
      <c r="K126" s="7"/>
      <c r="L126" s="7"/>
      <c r="M126" s="7"/>
      <c r="N126" s="7"/>
      <c r="O126" s="7"/>
      <c r="P126" s="7"/>
      <c r="Q126" s="7"/>
      <c r="R126" s="7"/>
      <c r="S126" s="7"/>
      <c r="T126" s="7"/>
      <c r="U126" s="7"/>
      <c r="V126" s="7"/>
      <c r="W126" s="7"/>
      <c r="X126" s="7"/>
      <c r="Y126" s="7"/>
      <c r="Z126" s="7"/>
      <c r="AA126" s="7"/>
      <c r="AB126" s="7"/>
      <c r="AC126" s="7"/>
    </row>
    <row r="127" spans="3:29" x14ac:dyDescent="0.25">
      <c r="C127" s="8"/>
      <c r="D127" s="8"/>
      <c r="E127" s="8"/>
      <c r="F127" s="7"/>
      <c r="G127" s="7"/>
      <c r="H127" s="7"/>
      <c r="I127" s="7"/>
      <c r="J127" s="7"/>
      <c r="K127" s="7"/>
      <c r="L127" s="7"/>
      <c r="M127" s="7"/>
      <c r="N127" s="7"/>
      <c r="O127" s="7"/>
      <c r="P127" s="7"/>
      <c r="Q127" s="7"/>
      <c r="R127" s="7"/>
      <c r="S127" s="7"/>
      <c r="T127" s="7"/>
      <c r="U127" s="7"/>
      <c r="V127" s="7"/>
      <c r="W127" s="7"/>
      <c r="X127" s="7"/>
      <c r="Y127" s="7"/>
      <c r="Z127" s="7"/>
      <c r="AA127" s="7"/>
      <c r="AB127" s="7"/>
      <c r="AC127" s="7"/>
    </row>
    <row r="128" spans="3:29" x14ac:dyDescent="0.25">
      <c r="C128" s="8"/>
      <c r="D128" s="8"/>
      <c r="E128" s="8"/>
      <c r="F128" s="7"/>
      <c r="G128" s="7"/>
      <c r="H128" s="7"/>
      <c r="I128" s="7"/>
      <c r="J128" s="7"/>
      <c r="K128" s="7"/>
      <c r="L128" s="7"/>
      <c r="M128" s="7"/>
      <c r="N128" s="7"/>
      <c r="O128" s="7"/>
      <c r="P128" s="7"/>
      <c r="Q128" s="7"/>
      <c r="R128" s="7"/>
      <c r="S128" s="7"/>
      <c r="T128" s="7"/>
      <c r="U128" s="7"/>
      <c r="V128" s="7"/>
      <c r="W128" s="7"/>
      <c r="X128" s="7"/>
      <c r="Y128" s="7"/>
      <c r="Z128" s="7"/>
      <c r="AA128" s="7"/>
      <c r="AB128" s="7"/>
      <c r="AC128" s="7"/>
    </row>
    <row r="129" spans="3:29" x14ac:dyDescent="0.25">
      <c r="C129" s="8"/>
      <c r="D129" s="8"/>
      <c r="E129" s="8"/>
      <c r="F129" s="7"/>
      <c r="G129" s="7"/>
      <c r="H129" s="7"/>
      <c r="I129" s="7"/>
      <c r="J129" s="7"/>
      <c r="K129" s="7"/>
      <c r="L129" s="7"/>
      <c r="M129" s="7"/>
      <c r="N129" s="7"/>
      <c r="O129" s="7"/>
      <c r="P129" s="7"/>
      <c r="Q129" s="7"/>
      <c r="R129" s="7"/>
      <c r="S129" s="7"/>
      <c r="T129" s="7"/>
      <c r="U129" s="7"/>
      <c r="V129" s="7"/>
      <c r="W129" s="7"/>
      <c r="X129" s="7"/>
      <c r="Y129" s="7"/>
      <c r="Z129" s="7"/>
      <c r="AA129" s="7"/>
      <c r="AB129" s="7"/>
      <c r="AC129" s="7"/>
    </row>
    <row r="130" spans="3:29" x14ac:dyDescent="0.25">
      <c r="C130" s="8"/>
      <c r="D130" s="8"/>
      <c r="E130" s="8"/>
      <c r="F130" s="7"/>
      <c r="G130" s="7"/>
      <c r="H130" s="7"/>
      <c r="I130" s="7"/>
      <c r="J130" s="7"/>
      <c r="K130" s="7"/>
      <c r="L130" s="7"/>
      <c r="M130" s="7"/>
      <c r="N130" s="7"/>
      <c r="O130" s="7"/>
      <c r="P130" s="7"/>
      <c r="Q130" s="7"/>
      <c r="R130" s="7"/>
      <c r="S130" s="7"/>
      <c r="T130" s="7"/>
      <c r="U130" s="7"/>
      <c r="V130" s="7"/>
      <c r="W130" s="7"/>
      <c r="X130" s="7"/>
      <c r="Y130" s="7"/>
      <c r="Z130" s="7"/>
      <c r="AA130" s="7"/>
      <c r="AB130" s="7"/>
      <c r="AC130" s="7"/>
    </row>
    <row r="131" spans="3:29" x14ac:dyDescent="0.25">
      <c r="C131" s="8"/>
      <c r="D131" s="8"/>
      <c r="E131" s="8"/>
      <c r="F131" s="7"/>
      <c r="G131" s="7"/>
      <c r="H131" s="7"/>
      <c r="I131" s="7"/>
      <c r="J131" s="7"/>
      <c r="K131" s="7"/>
      <c r="L131" s="7"/>
      <c r="M131" s="7"/>
      <c r="N131" s="7"/>
      <c r="O131" s="7"/>
      <c r="P131" s="7"/>
      <c r="Q131" s="7"/>
      <c r="R131" s="7"/>
      <c r="S131" s="7"/>
      <c r="T131" s="7"/>
      <c r="U131" s="7"/>
      <c r="V131" s="7"/>
      <c r="W131" s="7"/>
      <c r="X131" s="7"/>
      <c r="Y131" s="7"/>
      <c r="Z131" s="7"/>
      <c r="AA131" s="7"/>
      <c r="AB131" s="7"/>
      <c r="AC131" s="7"/>
    </row>
    <row r="132" spans="3:29" x14ac:dyDescent="0.25">
      <c r="C132" s="8"/>
      <c r="D132" s="8"/>
      <c r="E132" s="8"/>
      <c r="F132" s="7"/>
      <c r="G132" s="7"/>
      <c r="H132" s="7"/>
      <c r="I132" s="7"/>
      <c r="J132" s="7"/>
      <c r="K132" s="7"/>
      <c r="L132" s="7"/>
      <c r="M132" s="7"/>
      <c r="N132" s="7"/>
      <c r="O132" s="7"/>
      <c r="P132" s="7"/>
      <c r="Q132" s="7"/>
      <c r="R132" s="7"/>
      <c r="S132" s="7"/>
      <c r="T132" s="7"/>
      <c r="U132" s="7"/>
      <c r="V132" s="7"/>
      <c r="W132" s="7"/>
      <c r="X132" s="7"/>
      <c r="Y132" s="7"/>
      <c r="Z132" s="7"/>
      <c r="AA132" s="7"/>
      <c r="AB132" s="7"/>
      <c r="AC132" s="7"/>
    </row>
    <row r="133" spans="3:29" x14ac:dyDescent="0.25">
      <c r="C133" s="8"/>
      <c r="D133" s="8"/>
      <c r="E133" s="8"/>
      <c r="F133" s="7"/>
      <c r="G133" s="7"/>
      <c r="H133" s="7"/>
      <c r="I133" s="7"/>
      <c r="J133" s="7"/>
      <c r="K133" s="7"/>
      <c r="L133" s="7"/>
      <c r="M133" s="7"/>
      <c r="N133" s="7"/>
      <c r="O133" s="7"/>
      <c r="P133" s="7"/>
      <c r="Q133" s="7"/>
      <c r="R133" s="7"/>
      <c r="S133" s="7"/>
      <c r="T133" s="7"/>
      <c r="U133" s="7"/>
      <c r="V133" s="7"/>
      <c r="W133" s="7"/>
      <c r="X133" s="7"/>
      <c r="Y133" s="7"/>
      <c r="Z133" s="7"/>
      <c r="AA133" s="7"/>
      <c r="AB133" s="7"/>
      <c r="AC133" s="7"/>
    </row>
  </sheetData>
  <mergeCells count="14">
    <mergeCell ref="C75:E75"/>
    <mergeCell ref="C12:E12"/>
    <mergeCell ref="C18:E18"/>
    <mergeCell ref="C26:E26"/>
    <mergeCell ref="C20:E20"/>
    <mergeCell ref="C36:E36"/>
    <mergeCell ref="C40:E40"/>
    <mergeCell ref="C46:E46"/>
    <mergeCell ref="C50:E50"/>
    <mergeCell ref="C52:E52"/>
    <mergeCell ref="C58:E58"/>
    <mergeCell ref="C62:E62"/>
    <mergeCell ref="C64:E64"/>
    <mergeCell ref="C14:E14"/>
  </mergeCells>
  <hyperlinks>
    <hyperlink ref="E6" r:id="rId1" xr:uid="{00000000-0004-0000-0000-000000000000}"/>
    <hyperlink ref="D84" r:id="rId2" xr:uid="{00000000-0004-0000-0000-000001000000}"/>
    <hyperlink ref="D85" r:id="rId3" xr:uid="{00000000-0004-0000-0000-000002000000}"/>
  </hyperlinks>
  <pageMargins left="0.7" right="0.7" top="0.75" bottom="0.75" header="0.3" footer="0.3"/>
  <pageSetup paperSize="9" scale="94" orientation="landscape" horizontalDpi="200" verticalDpi="20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theme="7" tint="0.79998168889431442"/>
  </sheetPr>
  <dimension ref="A3:AE32"/>
  <sheetViews>
    <sheetView showGridLines="0" zoomScaleNormal="100" workbookViewId="0"/>
  </sheetViews>
  <sheetFormatPr defaultRowHeight="11.5" x14ac:dyDescent="0.25"/>
  <cols>
    <col min="1" max="2" width="2.69921875" customWidth="1"/>
    <col min="3" max="3" width="5.69921875" customWidth="1"/>
    <col min="7" max="7" width="9.09765625" customWidth="1"/>
  </cols>
  <sheetData>
    <row r="3" spans="3:7" ht="20" x14ac:dyDescent="0.4">
      <c r="C3" s="146" t="s">
        <v>111</v>
      </c>
    </row>
    <row r="6" spans="3:7" x14ac:dyDescent="0.25">
      <c r="C6" t="s">
        <v>197</v>
      </c>
      <c r="G6" s="218" t="s">
        <v>272</v>
      </c>
    </row>
    <row r="8" spans="3:7" ht="13.5" x14ac:dyDescent="0.35">
      <c r="C8" t="s">
        <v>68</v>
      </c>
    </row>
    <row r="10" spans="3:7" x14ac:dyDescent="0.25">
      <c r="C10" t="s">
        <v>61</v>
      </c>
    </row>
    <row r="12" spans="3:7" ht="13.5" x14ac:dyDescent="0.35">
      <c r="C12" s="37" t="s">
        <v>63</v>
      </c>
      <c r="D12" s="208" t="s">
        <v>200</v>
      </c>
    </row>
    <row r="13" spans="3:7" ht="13.5" x14ac:dyDescent="0.35">
      <c r="C13" s="37" t="s">
        <v>64</v>
      </c>
      <c r="D13" s="208" t="s">
        <v>201</v>
      </c>
      <c r="F13" s="2"/>
    </row>
    <row r="15" spans="3:7" x14ac:dyDescent="0.25">
      <c r="C15" t="str">
        <f ca="1">"The corresponding time series should be manually entered or linked to the following ranges in the "&amp;MID(CELL("filename",'MP Calculations'!$A$1),FIND("]",CELL("filename",'MP Calculations'!$A$1))+1,255)&amp;" worksheet. "</f>
        <v xml:space="preserve">The corresponding time series should be manually entered or linked to the following ranges in the MP Calculations worksheet. </v>
      </c>
    </row>
    <row r="17" spans="1:31" ht="13.5" x14ac:dyDescent="0.35">
      <c r="C17" s="54" t="s">
        <v>65</v>
      </c>
      <c r="D17" s="183" t="str">
        <f>ADDRESS(ROW(INDEX('MP Calculations'!$Q$39:$Q$129,MATCH('General inputs'!$I$16,'MP Calculations'!$D$39:$D$129))),COLUMN(INDEX('MP Calculations'!$Q$39:$Q$129,MATCH('General inputs'!$I$16,'MP Calculations'!$D$39:$D$129))))&amp;":"&amp;ADDRESS(ROW(INDEX('MP Calculations'!$Q$39:$Q$129,MATCH(LEFT('General inputs'!$I$16,4)+'General inputs'!$H$38-1&amp;"-"&amp;RIGHT('General inputs'!$I$16,2)+'General inputs'!$H$38-1,'MP Calculations'!$D$39:$D$129))),COLUMN(INDEX('MP Calculations'!$Q$39:$Q$129,MATCH('General inputs'!$I$16,'MP Calculations'!$D$39:$D$129))))</f>
        <v>$Q$62:$Q$91</v>
      </c>
      <c r="E17" s="184"/>
    </row>
    <row r="18" spans="1:31" ht="13.5" x14ac:dyDescent="0.35">
      <c r="C18" s="54" t="s">
        <v>66</v>
      </c>
      <c r="D18" s="183" t="str">
        <f>ADDRESS(ROW(INDEX('MP Calculations'!$T$39:$T$129,MATCH('General inputs'!$I$16,'MP Calculations'!$D$39:$D$129))),COLUMN(INDEX('MP Calculations'!$T$39:$T$129,MATCH('General inputs'!$I$16,'MP Calculations'!$D$39:$D$129))))&amp;":"&amp;ADDRESS(ROW(INDEX('MP Calculations'!$T$39:$T$129,MATCH(LEFT('General inputs'!$I$16,4)+'General inputs'!$H$38-1&amp;"-"&amp;RIGHT('General inputs'!$I$16,2)+'General inputs'!$H$38-1,'MP Calculations'!$D$39:$D$129))),COLUMN(INDEX('MP Calculations'!$T$39:$T$129,MATCH('General inputs'!$I$16,'MP Calculations'!$D$39:$D$129))))</f>
        <v>$T$62:$T$91</v>
      </c>
      <c r="E18" s="184"/>
    </row>
    <row r="19" spans="1:31" x14ac:dyDescent="0.25">
      <c r="C19" s="37"/>
    </row>
    <row r="20" spans="1:31" ht="13.5" x14ac:dyDescent="0.35">
      <c r="C20" t="s">
        <v>82</v>
      </c>
      <c r="G20" t="s">
        <v>83</v>
      </c>
      <c r="H20" s="185" t="str">
        <f>'General inputs'!I16</f>
        <v>2018-19</v>
      </c>
      <c r="J20" t="s">
        <v>84</v>
      </c>
      <c r="K20" s="186" t="str">
        <f>LEFT(H20,4)+'General inputs'!$H$38-1&amp;"-"&amp;RIGHT(H20,2)+'General inputs'!$H$38-1</f>
        <v>2047-48</v>
      </c>
    </row>
    <row r="21" spans="1:31" x14ac:dyDescent="0.25">
      <c r="C21" s="37"/>
    </row>
    <row r="22" spans="1:31" x14ac:dyDescent="0.25">
      <c r="C22" s="80" t="s">
        <v>131</v>
      </c>
    </row>
    <row r="23" spans="1:31" x14ac:dyDescent="0.25">
      <c r="C23" s="80"/>
      <c r="D23" s="80" t="s">
        <v>132</v>
      </c>
    </row>
    <row r="24" spans="1:31" x14ac:dyDescent="0.25">
      <c r="C24" s="80"/>
      <c r="D24" s="80"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$2018-19 before being linked into the MP Calculations.</v>
      </c>
    </row>
    <row r="25" spans="1:31" x14ac:dyDescent="0.25">
      <c r="C25" s="80"/>
      <c r="D25" s="80" t="s">
        <v>249</v>
      </c>
    </row>
    <row r="26" spans="1:31" x14ac:dyDescent="0.25">
      <c r="C26" s="80"/>
      <c r="D26" s="223" t="s">
        <v>251</v>
      </c>
    </row>
    <row r="27" spans="1:31" x14ac:dyDescent="0.25">
      <c r="C27" s="80"/>
      <c r="D27" s="223" t="s">
        <v>250</v>
      </c>
    </row>
    <row r="28" spans="1:31" x14ac:dyDescent="0.25">
      <c r="C28" s="80"/>
      <c r="D28" s="80" t="s">
        <v>252</v>
      </c>
    </row>
    <row r="29" spans="1:31" x14ac:dyDescent="0.25">
      <c r="C29" s="80"/>
      <c r="D29" s="223" t="s">
        <v>253</v>
      </c>
    </row>
    <row r="30" spans="1:31" x14ac:dyDescent="0.25">
      <c r="C30" s="80"/>
      <c r="D30" s="223" t="s">
        <v>254</v>
      </c>
    </row>
    <row r="32" spans="1:31" x14ac:dyDescent="0.25">
      <c r="A32" s="76"/>
      <c r="B32" s="76"/>
      <c r="C32" s="76" t="s">
        <v>70</v>
      </c>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row>
  </sheetData>
  <hyperlinks>
    <hyperlink ref="G6" r:id="rId1" display="https://www.ipart.nsw.gov.au/Home/Industries/Water/Reviews/Metro-Pricing/Developer-charges-and-backlog-sewerage-charges-for-metropolitan-water-agencies-2018" xr:uid="{99125846-88BD-4A8F-83F7-13EFBA2C77A9}"/>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theme="7" tint="0.79998168889431442"/>
  </sheetPr>
  <dimension ref="A3:AD18"/>
  <sheetViews>
    <sheetView showGridLines="0" workbookViewId="0"/>
  </sheetViews>
  <sheetFormatPr defaultRowHeight="11.5" x14ac:dyDescent="0.25"/>
  <cols>
    <col min="1" max="2" width="2.69921875" customWidth="1"/>
    <col min="13" max="13" width="9.09765625" customWidth="1"/>
    <col min="16" max="16" width="9.09765625" customWidth="1"/>
  </cols>
  <sheetData>
    <row r="3" spans="1:30" ht="20" x14ac:dyDescent="0.4">
      <c r="C3" s="146" t="s">
        <v>110</v>
      </c>
      <c r="M3" s="149"/>
    </row>
    <row r="6" spans="1:30" x14ac:dyDescent="0.25">
      <c r="C6" t="s">
        <v>197</v>
      </c>
      <c r="G6" s="218" t="s">
        <v>272</v>
      </c>
    </row>
    <row r="8" spans="1:30" x14ac:dyDescent="0.25">
      <c r="C8" t="s">
        <v>207</v>
      </c>
    </row>
    <row r="10" spans="1:30" x14ac:dyDescent="0.25">
      <c r="C10" t="s">
        <v>170</v>
      </c>
      <c r="J10" s="186" t="str">
        <f>ADDRESS(ROW('MP Calculations'!$F$22),COLUMN('MP Calculations'!$F$22))</f>
        <v>$F$22</v>
      </c>
      <c r="K10" t="str">
        <f ca="1">"on the "&amp;MID(CELL("filename",'MP Calculations'!$A$1),FIND("]",CELL("filename",'MP Calculations'!$A$1))+1,255)&amp;" worksheet."</f>
        <v>on the MP Calculations worksheet.</v>
      </c>
    </row>
    <row r="12" spans="1:30" x14ac:dyDescent="0.25">
      <c r="C12" s="81" t="s">
        <v>77</v>
      </c>
    </row>
    <row r="13" spans="1:30" x14ac:dyDescent="0.25">
      <c r="D13" s="209" t="s">
        <v>191</v>
      </c>
    </row>
    <row r="14" spans="1:30" x14ac:dyDescent="0.25">
      <c r="D14" s="80"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$2018-19 before being linked into the MP Calculations.</v>
      </c>
    </row>
    <row r="16" spans="1:30" x14ac:dyDescent="0.25">
      <c r="A16" s="76"/>
      <c r="B16" s="76"/>
      <c r="C16" s="76" t="s">
        <v>70</v>
      </c>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row>
    <row r="18" spans="4:4" x14ac:dyDescent="0.25">
      <c r="D18" s="80"/>
    </row>
  </sheetData>
  <hyperlinks>
    <hyperlink ref="G6" r:id="rId1" display="https://www.ipart.nsw.gov.au/Home/Industries/Water/Reviews/Metro-Pricing/Developer-charges-and-backlog-sewerage-charges-for-metropolitan-water-agencies-2018" xr:uid="{D02A4110-4DDB-487C-85D0-61E95B0327E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sheetPr>
  <dimension ref="A3:AD18"/>
  <sheetViews>
    <sheetView showGridLines="0" workbookViewId="0"/>
  </sheetViews>
  <sheetFormatPr defaultRowHeight="11.5" x14ac:dyDescent="0.25"/>
  <cols>
    <col min="1" max="2" width="2.69921875" customWidth="1"/>
    <col min="13" max="13" width="9.09765625" customWidth="1"/>
    <col min="16" max="16" width="9.09765625" customWidth="1"/>
  </cols>
  <sheetData>
    <row r="3" spans="1:30" ht="20" x14ac:dyDescent="0.4">
      <c r="C3" s="146" t="s">
        <v>219</v>
      </c>
      <c r="M3" s="149"/>
    </row>
    <row r="6" spans="1:30" x14ac:dyDescent="0.25">
      <c r="C6" t="s">
        <v>197</v>
      </c>
      <c r="G6" s="218" t="s">
        <v>236</v>
      </c>
    </row>
    <row r="8" spans="1:30" x14ac:dyDescent="0.25">
      <c r="C8" t="s">
        <v>220</v>
      </c>
    </row>
    <row r="10" spans="1:30" x14ac:dyDescent="0.25">
      <c r="C10" t="s">
        <v>170</v>
      </c>
      <c r="J10" s="186" t="str">
        <f>ADDRESS(ROW('MP Calculations'!$G$22),COLUMN('MP Calculations'!$G$22))</f>
        <v>$G$22</v>
      </c>
      <c r="K10" t="str">
        <f ca="1">"on the "&amp;MID(CELL("filename",'MP Calculations'!$A$1),FIND("]",CELL("filename",'MP Calculations'!$A$1))+1,255)&amp;" worksheet."</f>
        <v>on the MP Calculations worksheet.</v>
      </c>
    </row>
    <row r="12" spans="1:30" x14ac:dyDescent="0.25">
      <c r="C12" s="81" t="s">
        <v>77</v>
      </c>
    </row>
    <row r="13" spans="1:30" x14ac:dyDescent="0.25">
      <c r="D13" s="80" t="s">
        <v>237</v>
      </c>
    </row>
    <row r="14" spans="1:30" x14ac:dyDescent="0.25">
      <c r="D14" s="80"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$2018-19 before being linked into the MP Calculations.</v>
      </c>
    </row>
    <row r="16" spans="1:30" x14ac:dyDescent="0.25">
      <c r="A16" s="76"/>
      <c r="B16" s="76"/>
      <c r="C16" s="76" t="s">
        <v>70</v>
      </c>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row>
    <row r="18" spans="4:4" x14ac:dyDescent="0.25">
      <c r="D18" s="80"/>
    </row>
  </sheetData>
  <hyperlinks>
    <hyperlink ref="G6" r:id="rId1"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C3:G32"/>
  <sheetViews>
    <sheetView showGridLines="0" workbookViewId="0"/>
  </sheetViews>
  <sheetFormatPr defaultRowHeight="11.5" x14ac:dyDescent="0.25"/>
  <cols>
    <col min="1" max="2" width="2.69921875" customWidth="1"/>
    <col min="3" max="3" width="5.69921875" customWidth="1"/>
  </cols>
  <sheetData>
    <row r="3" spans="3:7" ht="20" x14ac:dyDescent="0.4">
      <c r="C3" s="64" t="s">
        <v>179</v>
      </c>
    </row>
    <row r="6" spans="3:7" x14ac:dyDescent="0.25">
      <c r="C6" t="s">
        <v>197</v>
      </c>
      <c r="G6" s="218" t="s">
        <v>272</v>
      </c>
    </row>
    <row r="8" spans="3:7" x14ac:dyDescent="0.25">
      <c r="C8" s="50" t="s">
        <v>180</v>
      </c>
      <c r="G8" s="149"/>
    </row>
    <row r="10" spans="3:7" x14ac:dyDescent="0.25">
      <c r="C10" t="s">
        <v>181</v>
      </c>
      <c r="D10" t="s">
        <v>182</v>
      </c>
    </row>
    <row r="12" spans="3:7" x14ac:dyDescent="0.25">
      <c r="C12" t="s">
        <v>183</v>
      </c>
      <c r="D12" t="s">
        <v>184</v>
      </c>
    </row>
    <row r="14" spans="3:7" x14ac:dyDescent="0.25">
      <c r="C14" t="s">
        <v>185</v>
      </c>
      <c r="D14" t="s">
        <v>186</v>
      </c>
    </row>
    <row r="16" spans="3:7" x14ac:dyDescent="0.25">
      <c r="C16" t="s">
        <v>187</v>
      </c>
      <c r="D16" t="s">
        <v>255</v>
      </c>
    </row>
    <row r="18" spans="3:4" x14ac:dyDescent="0.25">
      <c r="C18" t="s">
        <v>188</v>
      </c>
      <c r="D18" t="s">
        <v>264</v>
      </c>
    </row>
    <row r="20" spans="3:4" x14ac:dyDescent="0.25">
      <c r="C20" t="s">
        <v>189</v>
      </c>
      <c r="D20" t="s">
        <v>256</v>
      </c>
    </row>
    <row r="22" spans="3:4" x14ac:dyDescent="0.25">
      <c r="D22" t="s">
        <v>62</v>
      </c>
    </row>
    <row r="24" spans="3:4" x14ac:dyDescent="0.25">
      <c r="C24" s="50" t="s">
        <v>257</v>
      </c>
    </row>
    <row r="26" spans="3:4" x14ac:dyDescent="0.25">
      <c r="C26" t="s">
        <v>265</v>
      </c>
    </row>
    <row r="28" spans="3:4" x14ac:dyDescent="0.25">
      <c r="C28" t="s">
        <v>258</v>
      </c>
      <c r="D28" t="s">
        <v>259</v>
      </c>
    </row>
    <row r="30" spans="3:4" x14ac:dyDescent="0.25">
      <c r="C30" t="s">
        <v>260</v>
      </c>
      <c r="D30" t="s">
        <v>261</v>
      </c>
    </row>
    <row r="32" spans="3:4" x14ac:dyDescent="0.25">
      <c r="C32" t="s">
        <v>262</v>
      </c>
      <c r="D32" t="s">
        <v>263</v>
      </c>
    </row>
  </sheetData>
  <hyperlinks>
    <hyperlink ref="G6" r:id="rId1" display="https://www.ipart.nsw.gov.au/Home/Industries/Water/Reviews/Metro-Pricing/Developer-charges-and-backlog-sewerage-charges-for-metropolitan-water-agencies-2018" xr:uid="{1FD2ACEB-06D0-400A-BD58-FDBC809FA8E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3:G23"/>
  <sheetViews>
    <sheetView showGridLines="0" workbookViewId="0"/>
  </sheetViews>
  <sheetFormatPr defaultRowHeight="11.5" x14ac:dyDescent="0.25"/>
  <cols>
    <col min="1" max="2" width="2.69921875" customWidth="1"/>
    <col min="3" max="5" width="40.59765625" customWidth="1"/>
    <col min="6" max="6" width="20.59765625" customWidth="1"/>
    <col min="7" max="7" width="17.59765625" customWidth="1"/>
  </cols>
  <sheetData>
    <row r="3" spans="3:7" ht="20.25" customHeight="1" x14ac:dyDescent="0.35">
      <c r="C3" s="12" t="s">
        <v>235</v>
      </c>
    </row>
    <row r="5" spans="3:7" x14ac:dyDescent="0.25">
      <c r="C5" s="50" t="s">
        <v>223</v>
      </c>
      <c r="D5" s="50" t="s">
        <v>224</v>
      </c>
      <c r="E5" s="50" t="s">
        <v>225</v>
      </c>
      <c r="F5" s="50" t="s">
        <v>226</v>
      </c>
      <c r="G5" s="50" t="s">
        <v>231</v>
      </c>
    </row>
    <row r="6" spans="3:7" ht="34.5" x14ac:dyDescent="0.25">
      <c r="C6" s="215" t="s">
        <v>227</v>
      </c>
      <c r="D6" s="215" t="s">
        <v>232</v>
      </c>
      <c r="E6" s="215" t="s">
        <v>228</v>
      </c>
      <c r="F6" s="216" t="s">
        <v>229</v>
      </c>
      <c r="G6" s="217">
        <v>43678</v>
      </c>
    </row>
    <row r="7" spans="3:7" ht="23" x14ac:dyDescent="0.25">
      <c r="C7" s="215" t="s">
        <v>227</v>
      </c>
      <c r="D7" s="215" t="s">
        <v>233</v>
      </c>
      <c r="E7" s="215" t="s">
        <v>230</v>
      </c>
      <c r="F7" s="216" t="s">
        <v>229</v>
      </c>
      <c r="G7" s="217">
        <v>43678</v>
      </c>
    </row>
    <row r="8" spans="3:7" ht="46" x14ac:dyDescent="0.25">
      <c r="C8" s="215" t="s">
        <v>238</v>
      </c>
      <c r="D8" s="215" t="s">
        <v>234</v>
      </c>
      <c r="E8" s="215" t="s">
        <v>270</v>
      </c>
      <c r="F8" s="216" t="s">
        <v>229</v>
      </c>
      <c r="G8" s="217">
        <v>43678</v>
      </c>
    </row>
    <row r="9" spans="3:7" ht="34.5" x14ac:dyDescent="0.25">
      <c r="C9" s="215" t="s">
        <v>286</v>
      </c>
      <c r="D9" s="215" t="s">
        <v>287</v>
      </c>
      <c r="E9" s="215" t="s">
        <v>288</v>
      </c>
      <c r="F9" s="216" t="s">
        <v>289</v>
      </c>
      <c r="G9" s="217">
        <v>44805</v>
      </c>
    </row>
    <row r="10" spans="3:7" x14ac:dyDescent="0.25">
      <c r="C10" s="215"/>
      <c r="D10" s="215"/>
      <c r="E10" s="215"/>
      <c r="F10" s="216"/>
      <c r="G10" s="217"/>
    </row>
    <row r="11" spans="3:7" x14ac:dyDescent="0.25">
      <c r="C11" s="215"/>
      <c r="D11" s="215"/>
      <c r="E11" s="215"/>
      <c r="F11" s="216"/>
      <c r="G11" s="217"/>
    </row>
    <row r="12" spans="3:7" x14ac:dyDescent="0.25">
      <c r="C12" s="215"/>
      <c r="D12" s="215"/>
      <c r="E12" s="215"/>
      <c r="F12" s="216"/>
      <c r="G12" s="217"/>
    </row>
    <row r="13" spans="3:7" x14ac:dyDescent="0.25">
      <c r="C13" s="215"/>
      <c r="D13" s="215"/>
      <c r="E13" s="215"/>
      <c r="F13" s="216"/>
      <c r="G13" s="217"/>
    </row>
    <row r="14" spans="3:7" x14ac:dyDescent="0.25">
      <c r="C14" s="215"/>
      <c r="D14" s="215"/>
      <c r="E14" s="215"/>
      <c r="F14" s="216"/>
      <c r="G14" s="217"/>
    </row>
    <row r="15" spans="3:7" x14ac:dyDescent="0.25">
      <c r="C15" s="215"/>
      <c r="D15" s="215"/>
      <c r="E15" s="215"/>
      <c r="F15" s="216"/>
      <c r="G15" s="217"/>
    </row>
    <row r="16" spans="3:7" x14ac:dyDescent="0.25">
      <c r="C16" s="215"/>
      <c r="D16" s="215"/>
      <c r="E16" s="215"/>
      <c r="F16" s="216"/>
      <c r="G16" s="217"/>
    </row>
    <row r="17" spans="3:7" x14ac:dyDescent="0.25">
      <c r="C17" s="215"/>
      <c r="D17" s="215"/>
      <c r="E17" s="215"/>
      <c r="F17" s="216"/>
      <c r="G17" s="217"/>
    </row>
    <row r="18" spans="3:7" x14ac:dyDescent="0.25">
      <c r="C18" s="215"/>
      <c r="D18" s="215"/>
      <c r="E18" s="215"/>
      <c r="F18" s="216"/>
      <c r="G18" s="217"/>
    </row>
    <row r="19" spans="3:7" x14ac:dyDescent="0.25">
      <c r="C19" s="215"/>
      <c r="D19" s="215"/>
      <c r="E19" s="215"/>
      <c r="F19" s="216"/>
      <c r="G19" s="217"/>
    </row>
    <row r="20" spans="3:7" x14ac:dyDescent="0.25">
      <c r="C20" s="215"/>
      <c r="D20" s="215"/>
      <c r="E20" s="215"/>
      <c r="F20" s="216"/>
      <c r="G20" s="217"/>
    </row>
    <row r="21" spans="3:7" x14ac:dyDescent="0.25">
      <c r="C21" s="215"/>
      <c r="D21" s="215"/>
      <c r="E21" s="215"/>
      <c r="F21" s="216"/>
      <c r="G21" s="217"/>
    </row>
    <row r="22" spans="3:7" x14ac:dyDescent="0.25">
      <c r="C22" s="215"/>
      <c r="D22" s="215"/>
      <c r="E22" s="215"/>
      <c r="F22" s="216"/>
      <c r="G22" s="217"/>
    </row>
    <row r="23" spans="3:7" x14ac:dyDescent="0.25">
      <c r="C23" s="215"/>
      <c r="D23" s="215"/>
      <c r="E23" s="215"/>
      <c r="F23" s="216"/>
      <c r="G23" s="21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theme="7"/>
  </sheetPr>
  <dimension ref="A3:U27"/>
  <sheetViews>
    <sheetView showGridLines="0" zoomScaleNormal="100" workbookViewId="0"/>
  </sheetViews>
  <sheetFormatPr defaultRowHeight="11.5" x14ac:dyDescent="0.25"/>
  <cols>
    <col min="1" max="3" width="2.69921875" customWidth="1"/>
    <col min="4" max="4" width="23.8984375" customWidth="1"/>
    <col min="5" max="5" width="8" customWidth="1"/>
    <col min="6" max="6" width="2.69921875" customWidth="1"/>
    <col min="7" max="7" width="24.59765625" customWidth="1"/>
    <col min="9" max="9" width="18.19921875" customWidth="1"/>
    <col min="10" max="10" width="17.59765625" customWidth="1"/>
    <col min="14" max="14" width="9.8984375" bestFit="1" customWidth="1"/>
    <col min="16" max="16" width="8.8984375" customWidth="1"/>
    <col min="17" max="17" width="4.09765625" customWidth="1"/>
    <col min="20" max="20" width="14.8984375" customWidth="1"/>
  </cols>
  <sheetData>
    <row r="3" spans="1:17" ht="20" x14ac:dyDescent="0.4">
      <c r="C3" s="202" t="s">
        <v>192</v>
      </c>
    </row>
    <row r="5" spans="1:17" x14ac:dyDescent="0.25">
      <c r="D5" t="s">
        <v>243</v>
      </c>
      <c r="Q5" s="218" t="s">
        <v>272</v>
      </c>
    </row>
    <row r="6" spans="1:17" x14ac:dyDescent="0.25">
      <c r="Q6" s="222"/>
    </row>
    <row r="8" spans="1:17" x14ac:dyDescent="0.25">
      <c r="D8" s="2" t="str">
        <f>"The maximum price for the new development area '"&amp;'General inputs'!H7&amp;"' is:"</f>
        <v>The maximum price for the new development area 'generic coastal DSP' is:</v>
      </c>
      <c r="J8" s="78">
        <f>G19</f>
        <v>3931.570958652535</v>
      </c>
      <c r="K8" t="str">
        <f>"per ET ($"&amp;'General inputs'!$I$40&amp;")."</f>
        <v>per ET ($2018-19).</v>
      </c>
    </row>
    <row r="10" spans="1:17" x14ac:dyDescent="0.25">
      <c r="A10" s="131"/>
      <c r="B10" s="131"/>
      <c r="C10" s="2"/>
      <c r="D10" s="132" t="s">
        <v>102</v>
      </c>
      <c r="E10" s="2"/>
      <c r="F10" s="2"/>
      <c r="G10" s="2"/>
      <c r="H10" s="2"/>
      <c r="J10" s="189">
        <f>IF($J$8&lt;=0,0,IF('General inputs'!$H$42='General inputs'!$L$37,'MP Calculations'!F22,IF('General inputs'!$H$42='General inputs'!$L$38,'MP Calculations'!F22*1000,'MP Calculations'!F22*1000000)))</f>
        <v>1000</v>
      </c>
      <c r="K10" s="2" t="s">
        <v>88</v>
      </c>
      <c r="L10" s="2"/>
      <c r="M10" s="2"/>
    </row>
    <row r="12" spans="1:17" x14ac:dyDescent="0.25">
      <c r="G12" s="2"/>
    </row>
    <row r="13" spans="1:17" x14ac:dyDescent="0.25">
      <c r="D13" s="132" t="s">
        <v>193</v>
      </c>
      <c r="G13" s="2"/>
    </row>
    <row r="14" spans="1:17" x14ac:dyDescent="0.25">
      <c r="G14" s="2"/>
    </row>
    <row r="15" spans="1:17" x14ac:dyDescent="0.25">
      <c r="G15" s="2"/>
    </row>
    <row r="17" spans="4:21" x14ac:dyDescent="0.25">
      <c r="D17" t="str">
        <f>"in $, $"&amp;'General inputs'!$I$40&amp;", where:"</f>
        <v>in $, $2018-19, where:</v>
      </c>
    </row>
    <row r="19" spans="4:21" x14ac:dyDescent="0.25">
      <c r="E19" t="s">
        <v>209</v>
      </c>
      <c r="F19" s="41" t="s">
        <v>67</v>
      </c>
      <c r="G19" s="148">
        <f>IF('General inputs'!$H$42='General inputs'!$L$37,'MP Calculations'!C22,IF('General inputs'!$H$42='General inputs'!$L$38,'MP Calculations'!C22*1000,'MP Calculations'!C22*1000000))</f>
        <v>3931.570958652535</v>
      </c>
      <c r="H19" s="41" t="s">
        <v>67</v>
      </c>
      <c r="I19" s="206" t="s">
        <v>244</v>
      </c>
      <c r="J19" s="2"/>
      <c r="K19" s="2"/>
      <c r="L19" s="2"/>
      <c r="M19" s="2"/>
      <c r="N19" s="2"/>
      <c r="O19" s="2"/>
      <c r="P19" s="2"/>
      <c r="Q19" s="2"/>
      <c r="R19" s="2"/>
      <c r="S19" s="2"/>
      <c r="T19" s="2"/>
      <c r="U19" s="2"/>
    </row>
    <row r="20" spans="4:21" ht="13.5" x14ac:dyDescent="0.35">
      <c r="E20" t="s">
        <v>71</v>
      </c>
      <c r="F20" s="41" t="s">
        <v>67</v>
      </c>
      <c r="G20" s="148">
        <f>IF('General inputs'!$H$42='General inputs'!$L$37,'MP Calculations'!H20,IF('General inputs'!$H$42='General inputs'!$L$38,'MP Calculations'!H20*1000,'MP Calculations'!H20*1000000))</f>
        <v>13163822.029214449</v>
      </c>
      <c r="H20" s="41" t="s">
        <v>67</v>
      </c>
      <c r="I20" s="2" t="s">
        <v>172</v>
      </c>
      <c r="J20" s="2"/>
      <c r="K20" s="2"/>
      <c r="L20" s="2"/>
      <c r="M20" s="2"/>
      <c r="N20" s="2"/>
      <c r="O20" s="2"/>
      <c r="P20" s="2"/>
      <c r="Q20" s="2"/>
      <c r="R20" s="2"/>
      <c r="S20" s="2"/>
      <c r="T20" s="2"/>
      <c r="U20" s="2"/>
    </row>
    <row r="21" spans="4:21" ht="13.5" x14ac:dyDescent="0.35">
      <c r="E21" t="s">
        <v>72</v>
      </c>
      <c r="F21" s="41" t="s">
        <v>67</v>
      </c>
      <c r="G21" s="148">
        <f>IF('General inputs'!$H$42='General inputs'!$L$37,SUM('MP Calculations'!I20:K20),IF('General inputs'!$H$42='General inputs'!$L$38,SUM('MP Calculations'!I20:K20)*1000,SUM('MP Calculations'!I20:K20)*1000000))</f>
        <v>12052930.457768915</v>
      </c>
      <c r="H21" s="41" t="s">
        <v>67</v>
      </c>
      <c r="I21" s="2" t="s">
        <v>173</v>
      </c>
      <c r="J21" s="2"/>
      <c r="K21" s="2"/>
      <c r="L21" s="2"/>
      <c r="M21" s="2"/>
      <c r="N21" s="2"/>
      <c r="O21" s="2"/>
      <c r="P21" s="2"/>
      <c r="Q21" s="2"/>
      <c r="R21" s="2"/>
      <c r="S21" s="2"/>
      <c r="T21" s="2"/>
      <c r="U21" s="2"/>
    </row>
    <row r="22" spans="4:21" ht="13.5" x14ac:dyDescent="0.35">
      <c r="E22" t="s">
        <v>267</v>
      </c>
      <c r="F22" s="41" t="s">
        <v>67</v>
      </c>
      <c r="G22" s="77">
        <f>'MP Calculations'!H21</f>
        <v>10798.144296672966</v>
      </c>
      <c r="H22" s="41" t="s">
        <v>67</v>
      </c>
      <c r="I22" s="204" t="s">
        <v>174</v>
      </c>
      <c r="J22" s="205"/>
      <c r="K22" s="205"/>
      <c r="L22" s="205"/>
      <c r="M22" s="205"/>
      <c r="N22" s="205"/>
      <c r="O22" s="205"/>
      <c r="P22" s="205"/>
      <c r="Q22" s="205"/>
      <c r="R22" s="205"/>
      <c r="S22" s="205"/>
      <c r="T22" s="205"/>
      <c r="U22" s="205"/>
    </row>
    <row r="23" spans="4:21" ht="13.5" x14ac:dyDescent="0.35">
      <c r="E23" t="s">
        <v>268</v>
      </c>
      <c r="F23" s="41" t="s">
        <v>67</v>
      </c>
      <c r="G23" s="77">
        <f>'MP Calculations'!J21</f>
        <v>9940.6507251227504</v>
      </c>
      <c r="H23" s="41" t="s">
        <v>67</v>
      </c>
      <c r="I23" s="204" t="s">
        <v>175</v>
      </c>
      <c r="J23" s="205"/>
      <c r="K23" s="205"/>
      <c r="L23" s="205"/>
      <c r="M23" s="205"/>
      <c r="N23" s="205"/>
      <c r="O23" s="205"/>
      <c r="P23" s="205"/>
      <c r="Q23" s="205"/>
      <c r="R23" s="205"/>
      <c r="S23" s="205"/>
      <c r="T23" s="205"/>
      <c r="U23" s="205"/>
    </row>
    <row r="24" spans="4:21" ht="13.5" x14ac:dyDescent="0.35">
      <c r="E24" t="s">
        <v>269</v>
      </c>
      <c r="F24" s="41" t="s">
        <v>67</v>
      </c>
      <c r="G24" s="77">
        <f>'MP Calculations'!L21</f>
        <v>5819.9954868542172</v>
      </c>
      <c r="H24" s="41" t="s">
        <v>67</v>
      </c>
      <c r="I24" s="204" t="s">
        <v>176</v>
      </c>
      <c r="J24" s="205"/>
      <c r="K24" s="205"/>
      <c r="L24" s="205"/>
      <c r="M24" s="205"/>
      <c r="N24" s="205"/>
      <c r="O24" s="205"/>
      <c r="P24" s="205"/>
      <c r="Q24" s="205"/>
      <c r="R24" s="205"/>
      <c r="S24" s="205"/>
      <c r="T24" s="205"/>
      <c r="U24" s="205"/>
    </row>
    <row r="25" spans="4:21" ht="13.5" x14ac:dyDescent="0.35">
      <c r="E25" t="s">
        <v>73</v>
      </c>
      <c r="F25" s="41" t="s">
        <v>67</v>
      </c>
      <c r="G25" s="148">
        <f>'MP Calculations'!R29</f>
        <v>0</v>
      </c>
      <c r="H25" s="41" t="s">
        <v>67</v>
      </c>
      <c r="I25" s="2" t="s">
        <v>177</v>
      </c>
      <c r="J25" s="2"/>
      <c r="K25" s="2"/>
      <c r="L25" s="2"/>
      <c r="M25" s="2"/>
      <c r="N25" s="2"/>
      <c r="O25" s="2"/>
      <c r="P25" s="2"/>
      <c r="Q25" s="2"/>
      <c r="R25" s="2"/>
      <c r="S25" s="2"/>
      <c r="T25" s="2"/>
      <c r="U25" s="2"/>
    </row>
    <row r="26" spans="4:21" ht="13.5" x14ac:dyDescent="0.35">
      <c r="E26" t="s">
        <v>74</v>
      </c>
      <c r="F26" s="41" t="s">
        <v>67</v>
      </c>
      <c r="G26" s="148">
        <f>'MP Calculations'!U29</f>
        <v>0</v>
      </c>
      <c r="H26" s="41" t="s">
        <v>67</v>
      </c>
      <c r="I26" s="2" t="s">
        <v>178</v>
      </c>
      <c r="J26" s="2"/>
      <c r="K26" s="2"/>
      <c r="L26" s="2"/>
      <c r="M26" s="2"/>
      <c r="N26" s="2"/>
      <c r="O26" s="2"/>
      <c r="P26" s="2"/>
      <c r="Q26" s="2"/>
      <c r="R26" s="2"/>
      <c r="S26" s="2"/>
      <c r="T26" s="2"/>
      <c r="U26" s="2"/>
    </row>
    <row r="27" spans="4:21" x14ac:dyDescent="0.25">
      <c r="E27" t="s">
        <v>75</v>
      </c>
      <c r="F27" s="41" t="s">
        <v>67</v>
      </c>
      <c r="G27" s="37" t="str">
        <f>INDEX('MP Calculations'!$D$39:$D$129,MATCH('General inputs'!$H$38-1,'MP Calculations'!C39:C129))</f>
        <v>2047-48</v>
      </c>
      <c r="H27" s="41" t="s">
        <v>67</v>
      </c>
      <c r="I27" s="2" t="s">
        <v>266</v>
      </c>
      <c r="J27" s="2"/>
      <c r="K27" s="2"/>
      <c r="L27" s="2"/>
      <c r="M27" s="2"/>
      <c r="N27" s="2"/>
      <c r="O27" s="2"/>
      <c r="P27" s="2"/>
      <c r="Q27" s="2"/>
      <c r="R27" s="2"/>
      <c r="S27" s="2"/>
      <c r="T27" s="2"/>
      <c r="U27" s="2"/>
    </row>
  </sheetData>
  <hyperlinks>
    <hyperlink ref="Q5" r:id="rId1" display="https://www.ipart.nsw.gov.au/Home/Industries/Water/Reviews/Metro-Pricing/Developer-charges-and-backlog-sewerage-charges-for-metropolitan-water-agencies-2018" xr:uid="{77BFD019-0E73-4FC5-8846-946DCAF6FC3D}"/>
  </hyperlinks>
  <pageMargins left="0.7" right="0.7" top="0.75" bottom="0.75" header="0.3" footer="0.3"/>
  <pageSetup paperSize="9" orientation="portrait" horizontalDpi="200" verticalDpi="200"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theme="7"/>
  </sheetPr>
  <dimension ref="A1:AA130"/>
  <sheetViews>
    <sheetView showGridLines="0" zoomScaleNormal="100" workbookViewId="0"/>
  </sheetViews>
  <sheetFormatPr defaultRowHeight="11.5" x14ac:dyDescent="0.25"/>
  <cols>
    <col min="1" max="2" width="2.69921875" customWidth="1"/>
    <col min="3" max="3" width="20.09765625" customWidth="1"/>
    <col min="4" max="4" width="21.59765625" customWidth="1"/>
    <col min="5" max="5" width="28.19921875" customWidth="1"/>
    <col min="6" max="8" width="15.69921875" customWidth="1"/>
    <col min="9" max="9" width="2.69921875" customWidth="1"/>
    <col min="10" max="15" width="15.69921875" customWidth="1"/>
    <col min="16" max="16" width="2.69921875" customWidth="1"/>
    <col min="17" max="18" width="15.69921875" customWidth="1"/>
    <col min="19" max="19" width="2.69921875" customWidth="1"/>
    <col min="20" max="21" width="15.69921875" customWidth="1"/>
    <col min="22" max="22" width="2.69921875" customWidth="1"/>
    <col min="23" max="23" width="15.69921875" customWidth="1"/>
  </cols>
  <sheetData>
    <row r="1" spans="1:25" x14ac:dyDescent="0.25">
      <c r="A1" t="s">
        <v>62</v>
      </c>
    </row>
    <row r="3" spans="1:25" ht="20" x14ac:dyDescent="0.4">
      <c r="C3" s="64" t="s">
        <v>202</v>
      </c>
    </row>
    <row r="6" spans="1:25" ht="15.5" x14ac:dyDescent="0.35">
      <c r="C6" s="3" t="s">
        <v>35</v>
      </c>
      <c r="E6" s="46"/>
    </row>
    <row r="7" spans="1:25" x14ac:dyDescent="0.25">
      <c r="B7" s="58"/>
      <c r="C7" s="45"/>
      <c r="D7" s="45"/>
      <c r="E7" s="45"/>
      <c r="F7" s="45"/>
      <c r="G7" s="45"/>
      <c r="H7" s="45"/>
      <c r="I7" s="45"/>
      <c r="J7" s="45"/>
      <c r="K7" s="59"/>
    </row>
    <row r="8" spans="1:25" x14ac:dyDescent="0.25">
      <c r="B8" s="60"/>
      <c r="C8" s="1"/>
      <c r="D8" s="1"/>
      <c r="F8" s="1"/>
      <c r="G8" s="1"/>
      <c r="H8" s="1"/>
      <c r="I8" s="1"/>
      <c r="J8" s="54" t="s">
        <v>36</v>
      </c>
      <c r="K8" s="61"/>
    </row>
    <row r="9" spans="1:25" x14ac:dyDescent="0.25">
      <c r="A9" s="66">
        <v>1</v>
      </c>
      <c r="B9" s="60"/>
      <c r="C9" s="86" t="str">
        <f>"Table "&amp;A9&amp;":  Calculation of maximum price ("&amp;'General inputs'!H42&amp;", $"&amp;'General inputs'!I40&amp;")"</f>
        <v>Table 1:  Calculation of maximum price ($, $2018-19)</v>
      </c>
      <c r="D9" s="87"/>
      <c r="E9" s="87"/>
      <c r="F9" s="86"/>
      <c r="G9" s="86"/>
      <c r="H9" s="86"/>
      <c r="I9" s="86"/>
      <c r="J9" s="86">
        <f>ROW(C17)</f>
        <v>17</v>
      </c>
      <c r="K9" s="88"/>
      <c r="L9" s="87"/>
      <c r="M9" s="87"/>
      <c r="N9" s="87"/>
      <c r="O9" s="87"/>
      <c r="P9" s="87"/>
      <c r="Q9" s="87"/>
      <c r="R9" s="87"/>
      <c r="U9" s="87"/>
      <c r="V9" s="87"/>
      <c r="W9" s="87"/>
      <c r="X9" s="87"/>
      <c r="Y9" s="87"/>
    </row>
    <row r="10" spans="1:25" x14ac:dyDescent="0.25">
      <c r="A10" s="97">
        <f>A9+1</f>
        <v>2</v>
      </c>
      <c r="B10" s="98"/>
      <c r="C10" s="86" t="str">
        <f>"Table "&amp;A10&amp;":  Key variables used in maximum price calculation ("&amp;'General inputs'!H42&amp;", $"&amp;'General inputs'!I40&amp;")"</f>
        <v>Table 2:  Key variables used in maximum price calculation ($, $2018-19)</v>
      </c>
      <c r="D10" s="87"/>
      <c r="E10" s="87"/>
      <c r="F10" s="86"/>
      <c r="G10" s="86"/>
      <c r="H10" s="86"/>
      <c r="I10" s="86"/>
      <c r="J10" s="86">
        <f>ROW(C26)</f>
        <v>26</v>
      </c>
      <c r="K10" s="88"/>
      <c r="L10" s="87"/>
      <c r="M10" s="87"/>
      <c r="N10" s="87"/>
      <c r="O10" s="87"/>
      <c r="P10" s="87"/>
      <c r="Q10" s="87"/>
      <c r="R10" s="87"/>
      <c r="U10" s="87"/>
      <c r="V10" s="87"/>
      <c r="W10" s="87"/>
      <c r="X10" s="87"/>
      <c r="Y10" s="87"/>
    </row>
    <row r="11" spans="1:25" x14ac:dyDescent="0.25">
      <c r="A11" s="97">
        <f>A10+1</f>
        <v>3</v>
      </c>
      <c r="B11" s="98"/>
      <c r="C11" s="86" t="str">
        <f>"Table "&amp;A11&amp;":  Annual calculation over analysis horizon ("&amp;'General inputs'!H42&amp;", $"&amp;'General inputs'!I40&amp;")"</f>
        <v>Table 3:  Annual calculation over analysis horizon ($, $2018-19)</v>
      </c>
      <c r="D11" s="87"/>
      <c r="E11" s="87"/>
      <c r="F11" s="86"/>
      <c r="G11" s="86"/>
      <c r="H11" s="86"/>
      <c r="I11" s="86"/>
      <c r="J11" s="86">
        <f>ROW(C35)</f>
        <v>35</v>
      </c>
      <c r="K11" s="88"/>
      <c r="L11" s="87"/>
      <c r="M11" s="87"/>
      <c r="N11" s="87"/>
      <c r="O11" s="87"/>
      <c r="P11" s="87"/>
      <c r="Q11" s="87"/>
      <c r="R11" s="87"/>
      <c r="S11" s="87"/>
      <c r="T11" s="87"/>
      <c r="U11" s="87"/>
      <c r="V11" s="87"/>
      <c r="W11" s="87"/>
      <c r="X11" s="87"/>
      <c r="Y11" s="87"/>
    </row>
    <row r="12" spans="1:25" x14ac:dyDescent="0.25">
      <c r="A12" s="87"/>
      <c r="B12" s="99"/>
      <c r="C12" s="89"/>
      <c r="D12" s="89"/>
      <c r="E12" s="89"/>
      <c r="F12" s="89"/>
      <c r="G12" s="89"/>
      <c r="H12" s="89"/>
      <c r="I12" s="89"/>
      <c r="J12" s="89"/>
      <c r="K12" s="90"/>
      <c r="L12" s="87"/>
      <c r="M12" s="87"/>
      <c r="N12" s="87"/>
      <c r="O12" s="87"/>
      <c r="P12" s="87"/>
      <c r="Q12" s="87"/>
      <c r="R12" s="87"/>
      <c r="S12" s="87"/>
      <c r="T12" s="87"/>
      <c r="U12" s="87"/>
      <c r="V12" s="87"/>
      <c r="W12" s="87"/>
      <c r="X12" s="87"/>
      <c r="Y12" s="87"/>
    </row>
    <row r="13" spans="1:25" x14ac:dyDescent="0.25">
      <c r="A13" s="87"/>
      <c r="B13" s="86"/>
      <c r="C13" s="86"/>
      <c r="D13" s="86"/>
      <c r="E13" s="91"/>
      <c r="F13" s="86"/>
      <c r="G13" s="86"/>
      <c r="H13" s="86"/>
      <c r="I13" s="86"/>
      <c r="J13" s="86"/>
      <c r="K13" s="86"/>
      <c r="L13" s="87"/>
      <c r="M13" s="87"/>
      <c r="N13" s="87"/>
      <c r="O13" s="87"/>
      <c r="P13" s="87"/>
      <c r="Q13" s="87"/>
      <c r="R13" s="87"/>
      <c r="S13" s="87"/>
      <c r="T13" s="87"/>
      <c r="U13" s="87"/>
      <c r="V13" s="87"/>
      <c r="W13" s="87"/>
      <c r="X13" s="87"/>
      <c r="Y13" s="87"/>
    </row>
    <row r="14" spans="1:25" x14ac:dyDescent="0.25">
      <c r="A14" s="87"/>
      <c r="B14" s="152" t="str">
        <f>"Note:  an input is required in "&amp;ADDRESS(ROW($G$22),COLUMN($G$22))&amp;" to incorporate the Headwork costs per ET into the maximum price."</f>
        <v>Note:  an input is required in $G$22 to incorporate the Headwork costs per ET into the maximum price.</v>
      </c>
      <c r="C14" s="86"/>
      <c r="D14" s="86"/>
      <c r="E14" s="86"/>
      <c r="F14" s="86"/>
      <c r="G14" s="86"/>
      <c r="H14" s="86"/>
      <c r="I14" s="86"/>
      <c r="J14" s="86"/>
      <c r="K14" s="86"/>
      <c r="L14" s="87"/>
      <c r="M14" s="87"/>
      <c r="N14" s="87"/>
      <c r="O14" s="87"/>
      <c r="P14" s="87"/>
      <c r="Q14" s="87"/>
      <c r="R14" s="87"/>
      <c r="S14" s="87"/>
      <c r="T14" s="87"/>
      <c r="U14" s="87"/>
      <c r="V14" s="87"/>
      <c r="W14" s="87"/>
      <c r="X14" s="87"/>
      <c r="Y14" s="87"/>
    </row>
    <row r="15" spans="1:25" x14ac:dyDescent="0.25">
      <c r="A15" s="87"/>
      <c r="B15" s="152" t="str">
        <f>"Note:  an input is required in "&amp;ADDRESS(ROW($F$22),COLUMN($F$22))&amp;" to incorporate the Scheme cost allocation per ET into the maximum price."</f>
        <v>Note:  an input is required in $F$22 to incorporate the Scheme cost allocation per ET into the maximum price.</v>
      </c>
      <c r="C15" s="86"/>
      <c r="D15" s="86"/>
      <c r="E15" s="86"/>
      <c r="F15" s="86"/>
      <c r="G15" s="86"/>
      <c r="H15" s="86"/>
      <c r="I15" s="86"/>
      <c r="J15" s="86"/>
      <c r="K15" s="86"/>
      <c r="L15" s="87"/>
      <c r="M15" s="87"/>
      <c r="N15" s="87"/>
      <c r="O15" s="87"/>
      <c r="P15" s="87"/>
      <c r="Q15" s="87"/>
      <c r="R15" s="87"/>
      <c r="S15" s="87"/>
      <c r="T15" s="87"/>
      <c r="U15" s="87"/>
      <c r="V15" s="87"/>
      <c r="W15" s="87"/>
      <c r="X15" s="87"/>
      <c r="Y15" s="87"/>
    </row>
    <row r="16" spans="1:25" x14ac:dyDescent="0.25">
      <c r="A16" s="87"/>
      <c r="B16" s="87"/>
      <c r="C16" s="87"/>
      <c r="D16" s="87"/>
      <c r="F16" s="87"/>
      <c r="G16" s="87"/>
      <c r="H16" s="87"/>
      <c r="I16" s="87"/>
      <c r="J16" s="87"/>
      <c r="K16" s="87"/>
      <c r="L16" s="87"/>
      <c r="M16" s="87"/>
      <c r="N16" s="87"/>
      <c r="O16" s="87"/>
      <c r="P16" s="87"/>
      <c r="Q16" s="87"/>
      <c r="R16" s="87"/>
      <c r="S16" s="87"/>
      <c r="T16" s="87"/>
      <c r="U16" s="87"/>
      <c r="V16" s="87"/>
      <c r="W16" s="87"/>
      <c r="X16" s="87"/>
      <c r="Y16" s="87"/>
    </row>
    <row r="17" spans="1:25" ht="18" x14ac:dyDescent="0.4">
      <c r="A17" s="87"/>
      <c r="B17" s="87"/>
      <c r="C17" s="92" t="str">
        <f>C9</f>
        <v>Table 1:  Calculation of maximum price ($, $2018-19)</v>
      </c>
      <c r="D17" s="87"/>
      <c r="E17" s="89"/>
      <c r="F17" s="87"/>
      <c r="G17" s="87"/>
      <c r="H17" s="87"/>
      <c r="I17" s="87"/>
      <c r="J17" s="87"/>
      <c r="K17" s="87"/>
      <c r="L17" s="87"/>
      <c r="M17" s="87"/>
      <c r="N17" s="87"/>
      <c r="O17" s="87"/>
      <c r="P17" s="87"/>
      <c r="Q17" s="87"/>
      <c r="R17" s="87"/>
      <c r="S17" s="87"/>
      <c r="T17" s="87"/>
      <c r="U17" s="87"/>
      <c r="V17" s="87"/>
      <c r="W17" s="87"/>
      <c r="X17" s="87"/>
      <c r="Y17" s="87"/>
    </row>
    <row r="18" spans="1:25" x14ac:dyDescent="0.25">
      <c r="A18" s="87"/>
      <c r="B18" s="100"/>
      <c r="C18" s="164"/>
      <c r="D18" s="150"/>
      <c r="E18" s="150"/>
      <c r="F18" s="164"/>
      <c r="G18" s="164"/>
      <c r="H18" s="164"/>
      <c r="I18" s="150"/>
      <c r="J18" s="164"/>
      <c r="K18" s="164"/>
      <c r="L18" s="91"/>
      <c r="M18" s="93"/>
      <c r="N18" s="87"/>
      <c r="O18" s="87"/>
      <c r="P18" s="87"/>
      <c r="Q18" s="87"/>
      <c r="R18" s="87"/>
      <c r="S18" s="87"/>
      <c r="T18" s="87"/>
      <c r="U18" s="87"/>
      <c r="V18" s="87"/>
      <c r="W18" s="87"/>
      <c r="X18" s="87"/>
      <c r="Y18" s="87"/>
    </row>
    <row r="19" spans="1:25" ht="46" x14ac:dyDescent="0.25">
      <c r="A19" s="87"/>
      <c r="B19" s="98"/>
      <c r="C19" s="94" t="s">
        <v>203</v>
      </c>
      <c r="F19" s="172" t="s">
        <v>151</v>
      </c>
      <c r="G19" s="172" t="s">
        <v>221</v>
      </c>
      <c r="H19" s="171" t="s">
        <v>133</v>
      </c>
      <c r="I19" s="173"/>
      <c r="J19" s="171" t="s">
        <v>134</v>
      </c>
      <c r="K19" s="171" t="s">
        <v>135</v>
      </c>
      <c r="L19" s="171" t="s">
        <v>153</v>
      </c>
      <c r="M19" s="88"/>
      <c r="N19" s="87"/>
      <c r="O19" s="87"/>
      <c r="P19" s="87"/>
      <c r="Q19" s="87"/>
      <c r="R19" s="87"/>
      <c r="S19" s="87"/>
      <c r="T19" s="87"/>
      <c r="U19" s="87"/>
      <c r="V19" s="87"/>
      <c r="W19" s="87"/>
      <c r="X19" s="87"/>
      <c r="Y19" s="87"/>
    </row>
    <row r="20" spans="1:25" x14ac:dyDescent="0.25">
      <c r="A20" s="87"/>
      <c r="B20" s="98"/>
      <c r="C20" s="86"/>
      <c r="E20" s="96" t="s">
        <v>150</v>
      </c>
      <c r="F20" s="86"/>
      <c r="H20" s="174">
        <f>K29</f>
        <v>13163822.029214449</v>
      </c>
      <c r="I20" s="176"/>
      <c r="J20" s="177">
        <f>M29</f>
        <v>1829523.8071183078</v>
      </c>
      <c r="K20" s="177">
        <f>O29</f>
        <v>10223406.650650607</v>
      </c>
      <c r="L20" s="174">
        <f>R29-U29</f>
        <v>0</v>
      </c>
      <c r="M20" s="88"/>
      <c r="N20" s="87"/>
      <c r="O20" s="87"/>
      <c r="P20" s="87"/>
      <c r="Q20" s="87"/>
      <c r="R20" s="87"/>
      <c r="S20" s="87"/>
      <c r="T20" s="87"/>
      <c r="U20" s="87"/>
      <c r="V20" s="87"/>
      <c r="W20" s="87"/>
      <c r="X20" s="87"/>
      <c r="Y20" s="87"/>
    </row>
    <row r="21" spans="1:25" x14ac:dyDescent="0.25">
      <c r="A21" s="87"/>
      <c r="B21" s="98"/>
      <c r="C21" s="86"/>
      <c r="E21" s="96" t="s">
        <v>22</v>
      </c>
      <c r="F21" s="89"/>
      <c r="H21" s="174">
        <f>F29</f>
        <v>10798.144296672966</v>
      </c>
      <c r="I21" s="176"/>
      <c r="J21" s="177">
        <f>G29</f>
        <v>9940.6507251227504</v>
      </c>
      <c r="K21" s="177">
        <f>G29</f>
        <v>9940.6507251227504</v>
      </c>
      <c r="L21" s="174">
        <f>H29</f>
        <v>5819.9954868542172</v>
      </c>
      <c r="M21" s="88"/>
      <c r="N21" s="87"/>
      <c r="O21" s="87"/>
      <c r="P21" s="87"/>
      <c r="Q21" s="87"/>
      <c r="R21" s="87"/>
      <c r="S21" s="87"/>
      <c r="T21" s="87"/>
      <c r="U21" s="87"/>
      <c r="V21" s="87"/>
      <c r="W21" s="87"/>
      <c r="X21" s="87"/>
      <c r="Y21" s="87"/>
    </row>
    <row r="22" spans="1:25" ht="12" customHeight="1" x14ac:dyDescent="0.25">
      <c r="B22" s="60"/>
      <c r="C22" s="101">
        <f>IF(SUM(F22:K22,-L22)&lt;0,0,SUM(F22:K22,-L22))</f>
        <v>3931.570958652535</v>
      </c>
      <c r="E22" s="96" t="s">
        <v>152</v>
      </c>
      <c r="F22" s="175">
        <v>1000</v>
      </c>
      <c r="G22" s="175">
        <v>500</v>
      </c>
      <c r="H22" s="105">
        <f>H20/H21</f>
        <v>1219.0818781029232</v>
      </c>
      <c r="I22" s="179"/>
      <c r="J22" s="178">
        <f>J20/J21</f>
        <v>184.04467249760617</v>
      </c>
      <c r="K22" s="178">
        <f>K20/K21</f>
        <v>1028.4444080520057</v>
      </c>
      <c r="L22" s="105">
        <f>L20/L21</f>
        <v>0</v>
      </c>
      <c r="M22" s="61"/>
    </row>
    <row r="23" spans="1:25" x14ac:dyDescent="0.25">
      <c r="B23" s="62"/>
      <c r="C23" s="65"/>
      <c r="D23" s="46"/>
      <c r="E23" s="46"/>
      <c r="F23" s="46"/>
      <c r="G23" s="46"/>
      <c r="H23" s="46"/>
      <c r="I23" s="46"/>
      <c r="J23" s="46"/>
      <c r="K23" s="46"/>
      <c r="L23" s="46"/>
      <c r="M23" s="63"/>
    </row>
    <row r="24" spans="1:25" x14ac:dyDescent="0.25">
      <c r="E24" s="45"/>
    </row>
    <row r="25" spans="1:25" x14ac:dyDescent="0.25">
      <c r="C25" s="44"/>
      <c r="D25" s="57"/>
    </row>
    <row r="26" spans="1:25" ht="18" x14ac:dyDescent="0.4">
      <c r="C26" s="92" t="str">
        <f>C10</f>
        <v>Table 2:  Key variables used in maximum price calculation ($, $2018-19)</v>
      </c>
      <c r="D26" s="102"/>
      <c r="E26" s="87"/>
      <c r="F26" s="87"/>
      <c r="G26" s="87"/>
      <c r="H26" s="87"/>
      <c r="I26" s="87"/>
      <c r="J26" s="87"/>
      <c r="K26" s="87"/>
      <c r="L26" s="87"/>
      <c r="M26" s="87"/>
      <c r="N26" s="87"/>
      <c r="O26" s="87"/>
      <c r="P26" s="87"/>
      <c r="Q26" s="87"/>
      <c r="R26" s="87"/>
      <c r="S26" s="87"/>
      <c r="T26" s="87"/>
      <c r="U26" s="87"/>
      <c r="V26" s="87"/>
      <c r="W26" s="87"/>
      <c r="X26" s="87"/>
      <c r="Y26" s="87"/>
    </row>
    <row r="27" spans="1:25" ht="18" x14ac:dyDescent="0.4">
      <c r="B27" s="58"/>
      <c r="C27" s="103"/>
      <c r="D27" s="104"/>
      <c r="E27" s="91"/>
      <c r="F27" s="91"/>
      <c r="G27" s="91"/>
      <c r="H27" s="91"/>
      <c r="I27" s="91"/>
      <c r="J27" s="91"/>
      <c r="K27" s="91"/>
      <c r="L27" s="91"/>
      <c r="M27" s="91"/>
      <c r="N27" s="91"/>
      <c r="O27" s="91"/>
      <c r="P27" s="91"/>
      <c r="Q27" s="91"/>
      <c r="R27" s="91"/>
      <c r="S27" s="91"/>
      <c r="T27" s="91"/>
      <c r="U27" s="91"/>
      <c r="V27" s="93"/>
      <c r="W27" s="87"/>
    </row>
    <row r="28" spans="1:25" ht="92" x14ac:dyDescent="0.25">
      <c r="B28" s="60"/>
      <c r="C28" s="86"/>
      <c r="D28" s="86"/>
      <c r="E28" s="181" t="s">
        <v>34</v>
      </c>
      <c r="F28" s="181" t="s">
        <v>154</v>
      </c>
      <c r="G28" s="181" t="s">
        <v>155</v>
      </c>
      <c r="H28" s="181" t="s">
        <v>156</v>
      </c>
      <c r="I28" s="182"/>
      <c r="J28" s="182"/>
      <c r="K28" s="181" t="s">
        <v>167</v>
      </c>
      <c r="L28" s="182"/>
      <c r="M28" s="181" t="s">
        <v>168</v>
      </c>
      <c r="N28" s="182"/>
      <c r="O28" s="181" t="s">
        <v>169</v>
      </c>
      <c r="P28" s="182"/>
      <c r="Q28" s="182"/>
      <c r="R28" s="181" t="s">
        <v>171</v>
      </c>
      <c r="S28" s="86"/>
      <c r="T28" s="86"/>
      <c r="U28" s="181" t="s">
        <v>157</v>
      </c>
      <c r="V28" s="88"/>
      <c r="W28" s="87"/>
    </row>
    <row r="29" spans="1:25" x14ac:dyDescent="0.25">
      <c r="B29" s="60"/>
      <c r="D29" s="1"/>
      <c r="E29" s="162">
        <f>SUM(E39:E129)</f>
        <v>13340</v>
      </c>
      <c r="F29" s="105">
        <f t="shared" ref="F29:H29" si="0">SUM(F39:F129)</f>
        <v>10798.144296672966</v>
      </c>
      <c r="G29" s="105">
        <f t="shared" si="0"/>
        <v>9940.6507251227504</v>
      </c>
      <c r="H29" s="101">
        <f t="shared" si="0"/>
        <v>5819.9954868542172</v>
      </c>
      <c r="I29" s="1"/>
      <c r="J29" s="1"/>
      <c r="K29" s="105">
        <f>K39</f>
        <v>13163822.029214449</v>
      </c>
      <c r="L29" s="1"/>
      <c r="M29" s="105">
        <f>SUM(M39:M129)</f>
        <v>1829523.8071183078</v>
      </c>
      <c r="N29" s="1"/>
      <c r="O29" s="105">
        <f>SUM(O39:O129)</f>
        <v>10223406.650650607</v>
      </c>
      <c r="P29" s="1"/>
      <c r="Q29" s="1"/>
      <c r="R29" s="105">
        <f>SUM(R39:R129)</f>
        <v>0</v>
      </c>
      <c r="S29" s="1"/>
      <c r="T29" s="1"/>
      <c r="U29" s="105">
        <f>SUM(U39:U129)</f>
        <v>0</v>
      </c>
      <c r="V29" s="61"/>
    </row>
    <row r="30" spans="1:25" x14ac:dyDescent="0.25">
      <c r="B30" s="62"/>
      <c r="C30" s="46"/>
      <c r="D30" s="46"/>
      <c r="E30" s="46"/>
      <c r="F30" s="46"/>
      <c r="G30" s="46"/>
      <c r="H30" s="46"/>
      <c r="I30" s="46"/>
      <c r="J30" s="46"/>
      <c r="K30" s="46"/>
      <c r="L30" s="46"/>
      <c r="M30" s="46"/>
      <c r="N30" s="46"/>
      <c r="O30" s="46"/>
      <c r="P30" s="46"/>
      <c r="Q30" s="46"/>
      <c r="R30" s="46"/>
      <c r="S30" s="46"/>
      <c r="T30" s="46"/>
      <c r="U30" s="46"/>
      <c r="V30" s="63"/>
    </row>
    <row r="33" spans="2:27" x14ac:dyDescent="0.25">
      <c r="B33" s="152" t="str">
        <f>"Note:  inputs are required in "&amp;'Reduction amount'!D17&amp;" and "&amp;'Reduction amount'!D18&amp;" to calculate the 'Reduction amount'."</f>
        <v>Note:  inputs are required in $Q$62:$Q$91 and $T$62:$T$91 to calculate the 'Reduction amount'.</v>
      </c>
      <c r="C33" s="87"/>
      <c r="D33" s="87"/>
      <c r="E33" s="87"/>
      <c r="F33" s="87"/>
      <c r="G33" s="87"/>
      <c r="H33" s="87"/>
      <c r="I33" s="87"/>
      <c r="J33" s="87"/>
      <c r="K33" s="87"/>
      <c r="L33" s="87"/>
      <c r="M33" s="87"/>
      <c r="N33" s="87"/>
      <c r="O33" s="87"/>
      <c r="P33" s="87"/>
      <c r="Q33" s="87"/>
      <c r="R33" s="87"/>
      <c r="S33" s="87"/>
      <c r="T33" s="87"/>
      <c r="U33" s="87"/>
      <c r="V33" s="87"/>
      <c r="W33" s="87"/>
    </row>
    <row r="34" spans="2:27" x14ac:dyDescent="0.25">
      <c r="B34" s="87"/>
      <c r="C34" s="87"/>
      <c r="D34" s="87"/>
      <c r="E34" s="87"/>
      <c r="F34" s="87"/>
      <c r="G34" s="87"/>
      <c r="H34" s="87"/>
      <c r="I34" s="87"/>
      <c r="J34" s="87"/>
      <c r="K34" s="87"/>
      <c r="L34" s="87"/>
      <c r="M34" s="87"/>
      <c r="N34" s="87"/>
      <c r="O34" s="87"/>
      <c r="P34" s="87"/>
      <c r="Q34" s="87"/>
      <c r="R34" s="87"/>
      <c r="S34" s="87"/>
      <c r="T34" s="87"/>
      <c r="U34" s="87"/>
      <c r="V34" s="87"/>
      <c r="W34" s="87"/>
    </row>
    <row r="35" spans="2:27" ht="18" x14ac:dyDescent="0.4">
      <c r="B35" s="87"/>
      <c r="C35" s="92" t="str">
        <f>C11</f>
        <v>Table 3:  Annual calculation over analysis horizon ($, $2018-19)</v>
      </c>
      <c r="D35" s="190"/>
      <c r="E35" s="190"/>
      <c r="F35" s="190"/>
      <c r="G35" s="190"/>
      <c r="H35" s="190"/>
      <c r="I35" s="190"/>
      <c r="J35" s="190"/>
      <c r="K35" s="190"/>
      <c r="L35" s="190"/>
      <c r="M35" s="190"/>
      <c r="N35" s="190"/>
      <c r="O35" s="190"/>
      <c r="P35" s="2"/>
      <c r="Q35" s="190"/>
      <c r="R35" s="190"/>
      <c r="S35" s="2"/>
      <c r="T35" s="190"/>
      <c r="U35" s="190"/>
      <c r="V35" s="87"/>
      <c r="W35" s="87"/>
    </row>
    <row r="36" spans="2:27" ht="36" x14ac:dyDescent="0.4">
      <c r="B36" s="100"/>
      <c r="C36" s="103"/>
      <c r="D36" s="191"/>
      <c r="E36" s="164"/>
      <c r="F36" s="164"/>
      <c r="G36" s="164"/>
      <c r="H36" s="164"/>
      <c r="I36" s="164"/>
      <c r="J36" s="164"/>
      <c r="K36" s="91"/>
      <c r="L36" s="164"/>
      <c r="M36" s="91"/>
      <c r="N36" s="91"/>
      <c r="O36" s="91"/>
      <c r="P36" s="91"/>
      <c r="Q36" s="167" t="str">
        <f>IF(COUNT(Q39:Q129)&lt;&gt;'General inputs'!H38,"Data required in input range "&amp;'Reduction amount'!D17,"OK")</f>
        <v>Data required in input range $Q$62:$Q$91</v>
      </c>
      <c r="R36" s="150"/>
      <c r="S36" s="91"/>
      <c r="T36" s="166" t="str">
        <f>IF(COUNT(T39:T129)&lt;&gt;'General inputs'!H38,"Data required in input range "&amp;'Reduction amount'!D18,"OK")</f>
        <v>Data required in input range $T$62:$T$91</v>
      </c>
      <c r="U36" s="91"/>
      <c r="V36" s="93"/>
      <c r="W36" s="87"/>
    </row>
    <row r="37" spans="2:27" ht="18" x14ac:dyDescent="0.4">
      <c r="B37" s="98"/>
      <c r="C37" s="180"/>
      <c r="D37" s="192"/>
      <c r="E37" s="169" t="s">
        <v>146</v>
      </c>
      <c r="F37" s="165"/>
      <c r="G37" s="165"/>
      <c r="H37" s="165"/>
      <c r="I37" s="165"/>
      <c r="J37" s="169" t="s">
        <v>147</v>
      </c>
      <c r="K37" s="86"/>
      <c r="L37" s="165"/>
      <c r="M37" s="86"/>
      <c r="N37" s="86"/>
      <c r="O37" s="86"/>
      <c r="P37" s="86"/>
      <c r="Q37" s="169" t="s">
        <v>148</v>
      </c>
      <c r="R37" s="151"/>
      <c r="S37" s="86"/>
      <c r="T37" s="169" t="s">
        <v>149</v>
      </c>
      <c r="U37" s="86"/>
      <c r="V37" s="88"/>
      <c r="W37" s="87"/>
    </row>
    <row r="38" spans="2:27" ht="82" x14ac:dyDescent="0.4">
      <c r="B38" s="98"/>
      <c r="C38" s="180"/>
      <c r="D38" s="193" t="s">
        <v>23</v>
      </c>
      <c r="E38" s="168" t="s">
        <v>99</v>
      </c>
      <c r="F38" s="168" t="s">
        <v>165</v>
      </c>
      <c r="G38" s="168" t="s">
        <v>164</v>
      </c>
      <c r="H38" s="34" t="s">
        <v>166</v>
      </c>
      <c r="I38" s="107"/>
      <c r="J38" s="34" t="s">
        <v>136</v>
      </c>
      <c r="K38" s="168" t="s">
        <v>163</v>
      </c>
      <c r="L38" s="34" t="s">
        <v>137</v>
      </c>
      <c r="M38" s="35" t="s">
        <v>162</v>
      </c>
      <c r="N38" s="35" t="s">
        <v>239</v>
      </c>
      <c r="O38" s="35" t="s">
        <v>240</v>
      </c>
      <c r="P38" s="107"/>
      <c r="Q38" s="35" t="s">
        <v>160</v>
      </c>
      <c r="R38" s="35" t="s">
        <v>158</v>
      </c>
      <c r="S38" s="170"/>
      <c r="T38" s="35" t="s">
        <v>161</v>
      </c>
      <c r="U38" s="35" t="s">
        <v>159</v>
      </c>
      <c r="V38" s="88"/>
      <c r="W38" s="87"/>
    </row>
    <row r="39" spans="2:27" ht="12" thickBot="1" x14ac:dyDescent="0.3">
      <c r="B39" s="60"/>
      <c r="C39" s="106">
        <f>IF(D39='General inputs'!$I$16,0,IF(D39&lt;'General inputs'!$I$16,C40-1,C38+1))</f>
        <v>-23</v>
      </c>
      <c r="D39" s="194" t="str">
        <f>RIGHT(YEAR('General inputs'!$H$24),4)&amp;"-"&amp;RIGHT(YEAR('General inputs'!H24),2)+1</f>
        <v>1995-96</v>
      </c>
      <c r="E39" s="109">
        <f>IF(LEFT(D39,4)*1&gt;LEFT('General inputs'!$I$16,4)+'General inputs'!$H$38-1,"",'ET inputs'!D12)</f>
        <v>0</v>
      </c>
      <c r="F39" s="109">
        <f>IF(LEFT(D39,4)*1&gt;LEFT('General inputs'!$I$16,4)+'General inputs'!$H$38-1,"",E39/(1+'General inputs'!$H$30)^C39)</f>
        <v>0</v>
      </c>
      <c r="G39" s="109">
        <f>IF(LEFT(D39,4)*1&gt;LEFT('General inputs'!$I$16,4)+'General inputs'!$H$38-1,"",E39/(1+'General inputs'!$H$32)^C39)</f>
        <v>0</v>
      </c>
      <c r="H39" s="108" t="str">
        <f>IF(LEFT(D39,4)*1&lt;LEFT('General inputs'!$I$16,4)*1,"",IF(LEFT(D39,4)*1&gt;LEFT('General inputs'!$I$16,4)+'General inputs'!$H$38-1,"",E39/(1+'General inputs'!$H$34)^C39))</f>
        <v/>
      </c>
      <c r="I39" s="86"/>
      <c r="J39" s="109">
        <f>'Pre-1996 assets'!P219</f>
        <v>6670000</v>
      </c>
      <c r="K39" s="109">
        <f>J39/(1+'General inputs'!$H$30)^C39</f>
        <v>13163822.029214449</v>
      </c>
      <c r="L39" s="195">
        <f>IF(LEFT(D39,4)*1&gt;LEFT('General inputs'!$I$18,4)*1,"",SUMIF('Post-1996 commissioned assets'!$F$22:$F$218,$D39,'Post-1996 commissioned assets'!$P$22:$P$218))</f>
        <v>400200</v>
      </c>
      <c r="M39" s="195">
        <f>IF(L39="","",L39/(1+'General inputs'!$H$32)^C39)</f>
        <v>1229223.8071183078</v>
      </c>
      <c r="N39" s="109" t="str">
        <f>IF(LEFT(D39,4)*1&lt;LEFT('General inputs'!$I$18,4)*1+1,"",SUMIF('Uncommissioned assets'!$F$22:$F$218,$D39,'Uncommissioned assets'!$P$22:$P$218))</f>
        <v/>
      </c>
      <c r="O39" s="109" t="str">
        <f>IF(N39="","",N39/(1+'General inputs'!$H$32)^C39)</f>
        <v/>
      </c>
      <c r="P39" s="86"/>
      <c r="Q39" s="43"/>
      <c r="R39" s="108" t="str">
        <f>IF(OR(LEFT(D39,4)*1&lt;LEFT('General inputs'!$I$16,4)*1,LEFT(D39,4)*1&gt;LEFT('General inputs'!$I$16,4)+'General inputs'!$H$38-1),"",Q39/(1+'General inputs'!$H$34)^C39)</f>
        <v/>
      </c>
      <c r="S39" s="86"/>
      <c r="T39" s="43"/>
      <c r="U39" s="108" t="str">
        <f>IF(OR(LEFT(D39,4)*1&lt;LEFT('General inputs'!$I$16,4)*1,LEFT(D39,4)*1&gt;LEFT('General inputs'!$I$16,4)+'General inputs'!$H$38-1),"",T39/(1+'General inputs'!$H$34)^C39)</f>
        <v/>
      </c>
      <c r="V39" s="88"/>
      <c r="W39" s="87"/>
      <c r="X39" s="56"/>
      <c r="Y39" s="56"/>
      <c r="Z39" s="56"/>
      <c r="AA39" s="56"/>
    </row>
    <row r="40" spans="2:27" ht="12" thickTop="1" x14ac:dyDescent="0.25">
      <c r="B40" s="60"/>
      <c r="C40" s="106">
        <f>IF(D40='General inputs'!$I$16,0,IF(D40&lt;'General inputs'!$I$16,C41-1,C39+1))</f>
        <v>-22</v>
      </c>
      <c r="D40" s="106" t="str">
        <f>LEFT(D39,4)+1&amp;"-"&amp;RIGHT(D39,2)+1</f>
        <v>1996-97</v>
      </c>
      <c r="E40" s="108">
        <f>IF(LEFT(D40,4)*1&gt;LEFT('General inputs'!$I$16,4)+'General inputs'!$H$38-1,"",'ET inputs'!D13)</f>
        <v>0</v>
      </c>
      <c r="F40" s="108">
        <f>IF(LEFT(D40,4)*1&gt;LEFT('General inputs'!$I$16,4)+'General inputs'!$H$38-1,"",E40/(1+'General inputs'!$H$30)^C40)</f>
        <v>0</v>
      </c>
      <c r="G40" s="108">
        <f>IF(LEFT(D40,4)*1&gt;LEFT('General inputs'!$I$16,4)+'General inputs'!$H$38-1,"",E40/(1+'General inputs'!$H$32)^C40)</f>
        <v>0</v>
      </c>
      <c r="H40" s="108" t="str">
        <f>IF(LEFT(D40,4)*1&lt;LEFT('General inputs'!$I$16,4)*1,"",IF(LEFT(D40,4)*1&gt;LEFT('General inputs'!$I$16,4)+'General inputs'!$H$38-1,"",E40/(1+'General inputs'!$H$34)^C40))</f>
        <v/>
      </c>
      <c r="I40" s="86"/>
      <c r="J40" s="135"/>
      <c r="K40" s="135"/>
      <c r="L40" s="108">
        <f>IF(LEFT(D40,4)*1&gt;LEFT('General inputs'!$I$18,4)*1,"",SUMIF('Post-1996 commissioned assets'!$F$22:$F$218,$D40,'Post-1996 commissioned assets'!$P$22:$P$218))</f>
        <v>0</v>
      </c>
      <c r="M40" s="108">
        <f>IF(L40="","",L40/(1+'General inputs'!$H$32)^C40)</f>
        <v>0</v>
      </c>
      <c r="N40" s="108" t="str">
        <f>IF(LEFT(D40,4)*1&lt;LEFT('General inputs'!$I$18,4)*1+1,"",SUMIF('Uncommissioned assets'!$F$22:$F$218,$D40,'Uncommissioned assets'!$P$22:$P$218))</f>
        <v/>
      </c>
      <c r="O40" s="108" t="str">
        <f>IF(N40="","",N40/(1+'General inputs'!$H$32)^C40)</f>
        <v/>
      </c>
      <c r="P40" s="86"/>
      <c r="Q40" s="43"/>
      <c r="R40" s="108" t="str">
        <f>IF(OR(LEFT(D40,4)*1&lt;LEFT('General inputs'!$I$16,4)*1,LEFT(D40,4)*1&gt;LEFT('General inputs'!$I$16,4)+'General inputs'!$H$38-1),"",Q40/(1+'General inputs'!$H$34)^C40)</f>
        <v/>
      </c>
      <c r="S40" s="86"/>
      <c r="T40" s="43"/>
      <c r="U40" s="108" t="str">
        <f>IF(OR(LEFT(D40,4)*1&lt;LEFT('General inputs'!$I$16,4)*1,LEFT(D40,4)*1&gt;LEFT('General inputs'!$I$16,4)+'General inputs'!$H$38-1),"",T40/(1+'General inputs'!$H$34)^C40)</f>
        <v/>
      </c>
      <c r="V40" s="88"/>
      <c r="W40" s="87"/>
    </row>
    <row r="41" spans="2:27" x14ac:dyDescent="0.25">
      <c r="B41" s="60"/>
      <c r="C41" s="106">
        <f>IF(D41='General inputs'!$I$16,0,IF(D41&lt;'General inputs'!$I$16,C42-1,C40+1))</f>
        <v>-21</v>
      </c>
      <c r="D41" s="106" t="str">
        <f t="shared" ref="D41:D99" si="1">LEFT(D40,4)+1&amp;"-"&amp;RIGHT(D40,2)+1</f>
        <v>1997-98</v>
      </c>
      <c r="E41" s="108">
        <f>IF(LEFT(D41,4)*1&gt;LEFT('General inputs'!$I$16,4)+'General inputs'!$H$38-1,"",'ET inputs'!D14)</f>
        <v>0</v>
      </c>
      <c r="F41" s="108">
        <f>IF(LEFT(D41,4)*1&gt;LEFT('General inputs'!$I$16,4)+'General inputs'!$H$38-1,"",E41/(1+'General inputs'!$H$30)^C41)</f>
        <v>0</v>
      </c>
      <c r="G41" s="108">
        <f>IF(LEFT(D41,4)*1&gt;LEFT('General inputs'!$I$16,4)+'General inputs'!$H$38-1,"",E41/(1+'General inputs'!$H$32)^C41)</f>
        <v>0</v>
      </c>
      <c r="H41" s="108" t="str">
        <f>IF(LEFT(D41,4)*1&lt;LEFT('General inputs'!$I$16,4)*1,"",IF(LEFT(D41,4)*1&gt;LEFT('General inputs'!$I$16,4)+'General inputs'!$H$38-1,"",E41/(1+'General inputs'!$H$34)^C41))</f>
        <v/>
      </c>
      <c r="I41" s="86"/>
      <c r="J41" s="135"/>
      <c r="K41" s="135"/>
      <c r="L41" s="108">
        <f>IF(LEFT(D41,4)*1&gt;LEFT('General inputs'!$I$18,4)*1,"",SUMIF('Post-1996 commissioned assets'!$F$22:$F$218,$D41,'Post-1996 commissioned assets'!$P$22:$P$218))</f>
        <v>0</v>
      </c>
      <c r="M41" s="108">
        <f>IF(L41="","",L41/(1+'General inputs'!$H$32)^C41)</f>
        <v>0</v>
      </c>
      <c r="N41" s="108" t="str">
        <f>IF(LEFT(D41,4)*1&lt;LEFT('General inputs'!$I$18,4)*1+1,"",SUMIF('Uncommissioned assets'!$F$22:$F$218,$D41,'Uncommissioned assets'!$P$22:$P$218))</f>
        <v/>
      </c>
      <c r="O41" s="108" t="str">
        <f>IF(N41="","",N41/(1+'General inputs'!$H$32)^C41)</f>
        <v/>
      </c>
      <c r="P41" s="86"/>
      <c r="Q41" s="43"/>
      <c r="R41" s="108" t="str">
        <f>IF(OR(LEFT(D41,4)*1&lt;LEFT('General inputs'!$I$16,4)*1,LEFT(D41,4)*1&gt;LEFT('General inputs'!$I$16,4)+'General inputs'!$H$38-1),"",Q41/(1+'General inputs'!$H$34)^C41)</f>
        <v/>
      </c>
      <c r="S41" s="86"/>
      <c r="T41" s="43"/>
      <c r="U41" s="108" t="str">
        <f>IF(OR(LEFT(D41,4)*1&lt;LEFT('General inputs'!$I$16,4)*1,LEFT(D41,4)*1&gt;LEFT('General inputs'!$I$16,4)+'General inputs'!$H$38-1),"",T41/(1+'General inputs'!$H$34)^C41)</f>
        <v/>
      </c>
      <c r="V41" s="88"/>
      <c r="W41" s="87"/>
      <c r="X41" s="42"/>
      <c r="Y41" s="42"/>
      <c r="Z41" s="42"/>
    </row>
    <row r="42" spans="2:27" ht="12" thickBot="1" x14ac:dyDescent="0.3">
      <c r="B42" s="60"/>
      <c r="C42" s="106">
        <f>IF(D42='General inputs'!$I$16,0,IF(D42&lt;'General inputs'!$I$16,C43-1,C41+1))</f>
        <v>-20</v>
      </c>
      <c r="D42" s="111" t="str">
        <f t="shared" si="1"/>
        <v>1998-99</v>
      </c>
      <c r="E42" s="108">
        <f>IF(LEFT(D42,4)*1&gt;LEFT('General inputs'!$I$16,4)+'General inputs'!$H$38-1,"",'ET inputs'!D15)</f>
        <v>0</v>
      </c>
      <c r="F42" s="108">
        <f>IF(LEFT(D42,4)*1&gt;LEFT('General inputs'!$I$16,4)+'General inputs'!$H$38-1,"",E42/(1+'General inputs'!$H$30)^C42)</f>
        <v>0</v>
      </c>
      <c r="G42" s="108">
        <f>IF(LEFT(D42,4)*1&gt;LEFT('General inputs'!$I$16,4)+'General inputs'!$H$38-1,"",E42/(1+'General inputs'!$H$32)^C42)</f>
        <v>0</v>
      </c>
      <c r="H42" s="108" t="str">
        <f>IF(LEFT(D42,4)*1&lt;LEFT('General inputs'!$I$16,4)*1,"",IF(LEFT(D42,4)*1&gt;LEFT('General inputs'!$I$16,4)+'General inputs'!$H$38-1,"",E42/(1+'General inputs'!$H$34)^C42))</f>
        <v/>
      </c>
      <c r="I42" s="86"/>
      <c r="J42" s="135"/>
      <c r="K42" s="135"/>
      <c r="L42" s="108">
        <f>IF(LEFT(D42,4)*1&gt;LEFT('General inputs'!$I$18,4)*1,"",SUMIF('Post-1996 commissioned assets'!$F$22:$F$218,$D42,'Post-1996 commissioned assets'!$P$22:$P$218))</f>
        <v>0</v>
      </c>
      <c r="M42" s="108">
        <f>IF(L42="","",L42/(1+'General inputs'!$H$32)^C42)</f>
        <v>0</v>
      </c>
      <c r="N42" s="108" t="str">
        <f>IF(LEFT(D42,4)*1&lt;LEFT('General inputs'!$I$18,4)*1+1,"",SUMIF('Uncommissioned assets'!$F$22:$F$218,$D42,'Uncommissioned assets'!$P$22:$P$218))</f>
        <v/>
      </c>
      <c r="O42" s="108" t="str">
        <f>IF(N42="","",N42/(1+'General inputs'!$H$32)^C42)</f>
        <v/>
      </c>
      <c r="P42" s="86"/>
      <c r="Q42" s="43"/>
      <c r="R42" s="108" t="str">
        <f>IF(OR(LEFT(D42,4)*1&lt;LEFT('General inputs'!$I$16,4)*1,LEFT(D42,4)*1&gt;LEFT('General inputs'!$I$16,4)+'General inputs'!$H$38-1),"",Q42/(1+'General inputs'!$H$34)^C42)</f>
        <v/>
      </c>
      <c r="S42" s="86"/>
      <c r="T42" s="43"/>
      <c r="U42" s="108" t="str">
        <f>IF(OR(LEFT(D42,4)*1&lt;LEFT('General inputs'!$I$16,4)*1,LEFT(D42,4)*1&gt;LEFT('General inputs'!$I$16,4)+'General inputs'!$H$38-1),"",T42/(1+'General inputs'!$H$34)^C42)</f>
        <v/>
      </c>
      <c r="V42" s="88"/>
      <c r="W42" s="87"/>
      <c r="X42" s="42"/>
      <c r="Y42" s="42"/>
      <c r="Z42" s="42"/>
    </row>
    <row r="43" spans="2:27" ht="12.5" thickTop="1" thickBot="1" x14ac:dyDescent="0.3">
      <c r="B43" s="60"/>
      <c r="C43" s="106">
        <f>IF(D43='General inputs'!$I$16,0,IF(D43&lt;'General inputs'!$I$16,C44-1,C42+1))</f>
        <v>-19</v>
      </c>
      <c r="D43" s="112" t="str">
        <f>LEFT(D42,4)+1&amp;"-00"</f>
        <v>1999-00</v>
      </c>
      <c r="E43" s="108">
        <f>IF(LEFT(D43,4)*1&gt;LEFT('General inputs'!$I$16,4)+'General inputs'!$H$38-1,"",'ET inputs'!D16)</f>
        <v>0</v>
      </c>
      <c r="F43" s="108">
        <f>IF(LEFT(D43,4)*1&gt;LEFT('General inputs'!$I$16,4)+'General inputs'!$H$38-1,"",E43/(1+'General inputs'!$H$30)^C43)</f>
        <v>0</v>
      </c>
      <c r="G43" s="108">
        <f>IF(LEFT(D43,4)*1&gt;LEFT('General inputs'!$I$16,4)+'General inputs'!$H$38-1,"",E43/(1+'General inputs'!$H$32)^C43)</f>
        <v>0</v>
      </c>
      <c r="H43" s="108" t="str">
        <f>IF(LEFT(D43,4)*1&lt;LEFT('General inputs'!$I$16,4)*1,"",IF(LEFT(D43,4)*1&gt;LEFT('General inputs'!$I$16,4)+'General inputs'!$H$38-1,"",E43/(1+'General inputs'!$H$34)^C43))</f>
        <v/>
      </c>
      <c r="I43" s="86"/>
      <c r="J43" s="135"/>
      <c r="K43" s="135"/>
      <c r="L43" s="108">
        <f>IF(LEFT(D43,4)*1&gt;LEFT('General inputs'!$I$18,4)*1,"",SUMIF('Post-1996 commissioned assets'!$F$22:$F$218,$D43,'Post-1996 commissioned assets'!$P$22:$P$218))</f>
        <v>0</v>
      </c>
      <c r="M43" s="108">
        <f>IF(L43="","",L43/(1+'General inputs'!$H$32)^C43)</f>
        <v>0</v>
      </c>
      <c r="N43" s="108" t="str">
        <f>IF(LEFT(D43,4)*1&lt;LEFT('General inputs'!$I$18,4)*1+1,"",SUMIF('Uncommissioned assets'!$F$22:$F$218,$D43,'Uncommissioned assets'!$P$22:$P$218))</f>
        <v/>
      </c>
      <c r="O43" s="108" t="str">
        <f>IF(N43="","",N43/(1+'General inputs'!$H$32)^C43)</f>
        <v/>
      </c>
      <c r="P43" s="86"/>
      <c r="Q43" s="43"/>
      <c r="R43" s="108" t="str">
        <f>IF(OR(LEFT(D43,4)*1&lt;LEFT('General inputs'!$I$16,4)*1,LEFT(D43,4)*1&gt;LEFT('General inputs'!$I$16,4)+'General inputs'!$H$38-1),"",Q43/(1+'General inputs'!$H$34)^C43)</f>
        <v/>
      </c>
      <c r="S43" s="86"/>
      <c r="T43" s="43"/>
      <c r="U43" s="108" t="str">
        <f>IF(OR(LEFT(D43,4)*1&lt;LEFT('General inputs'!$I$16,4)*1,LEFT(D43,4)*1&gt;LEFT('General inputs'!$I$16,4)+'General inputs'!$H$38-1),"",T43/(1+'General inputs'!$H$34)^C43)</f>
        <v/>
      </c>
      <c r="V43" s="88"/>
      <c r="W43" s="87"/>
      <c r="X43" s="42"/>
      <c r="Y43" s="42"/>
      <c r="Z43" s="42"/>
    </row>
    <row r="44" spans="2:27" ht="12" thickTop="1" x14ac:dyDescent="0.25">
      <c r="B44" s="60"/>
      <c r="C44" s="106">
        <f>IF(D44='General inputs'!$I$16,0,IF(D44&lt;'General inputs'!$I$16,C45-1,C43+1))</f>
        <v>-18</v>
      </c>
      <c r="D44" s="113" t="str">
        <f>LEFT(D43,4)+1&amp;"-0"&amp;RIGHT(D43,2)+1</f>
        <v>2000-01</v>
      </c>
      <c r="E44" s="108">
        <f>IF(LEFT(D44,4)*1&gt;LEFT('General inputs'!$I$16,4)+'General inputs'!$H$38-1,"",'ET inputs'!D17)</f>
        <v>0</v>
      </c>
      <c r="F44" s="108">
        <f>IF(LEFT(D44,4)*1&gt;LEFT('General inputs'!$I$16,4)+'General inputs'!$H$38-1,"",E44/(1+'General inputs'!$H$30)^C44)</f>
        <v>0</v>
      </c>
      <c r="G44" s="108">
        <f>IF(LEFT(D44,4)*1&gt;LEFT('General inputs'!$I$16,4)+'General inputs'!$H$38-1,"",E44/(1+'General inputs'!$H$32)^C44)</f>
        <v>0</v>
      </c>
      <c r="H44" s="108" t="str">
        <f>IF(LEFT(D44,4)*1&lt;LEFT('General inputs'!$I$16,4)*1,"",IF(LEFT(D44,4)*1&gt;LEFT('General inputs'!$I$16,4)+'General inputs'!$H$38-1,"",E44/(1+'General inputs'!$H$34)^C44))</f>
        <v/>
      </c>
      <c r="I44" s="86"/>
      <c r="J44" s="135"/>
      <c r="K44" s="135"/>
      <c r="L44" s="108">
        <f>IF(LEFT(D44,4)*1&gt;LEFT('General inputs'!$I$18,4)*1,"",SUMIF('Post-1996 commissioned assets'!$F$22:$F$218,$D44,'Post-1996 commissioned assets'!$P$22:$P$218))</f>
        <v>0</v>
      </c>
      <c r="M44" s="108">
        <f>IF(L44="","",L44/(1+'General inputs'!$H$32)^C44)</f>
        <v>0</v>
      </c>
      <c r="N44" s="108" t="str">
        <f>IF(LEFT(D44,4)*1&lt;LEFT('General inputs'!$I$18,4)*1+1,"",SUMIF('Uncommissioned assets'!$F$22:$F$218,$D44,'Uncommissioned assets'!$P$22:$P$218))</f>
        <v/>
      </c>
      <c r="O44" s="108" t="str">
        <f>IF(N44="","",N44/(1+'General inputs'!$H$32)^C44)</f>
        <v/>
      </c>
      <c r="P44" s="86"/>
      <c r="Q44" s="43"/>
      <c r="R44" s="108" t="str">
        <f>IF(OR(LEFT(D44,4)*1&lt;LEFT('General inputs'!$I$16,4)*1,LEFT(D44,4)*1&gt;LEFT('General inputs'!$I$16,4)+'General inputs'!$H$38-1),"",Q44/(1+'General inputs'!$H$34)^C44)</f>
        <v/>
      </c>
      <c r="S44" s="86"/>
      <c r="T44" s="43"/>
      <c r="U44" s="108" t="str">
        <f>IF(OR(LEFT(D44,4)*1&lt;LEFT('General inputs'!$I$16,4)*1,LEFT(D44,4)*1&gt;LEFT('General inputs'!$I$16,4)+'General inputs'!$H$38-1),"",T44/(1+'General inputs'!$H$34)^C44)</f>
        <v/>
      </c>
      <c r="V44" s="88"/>
      <c r="W44" s="87"/>
      <c r="X44" s="42"/>
      <c r="Y44" s="42"/>
      <c r="Z44" s="42"/>
    </row>
    <row r="45" spans="2:27" x14ac:dyDescent="0.25">
      <c r="B45" s="60"/>
      <c r="C45" s="106">
        <f>IF(D45='General inputs'!$I$16,0,IF(D45&lt;'General inputs'!$I$16,C46-1,C44+1))</f>
        <v>-17</v>
      </c>
      <c r="D45" s="106" t="str">
        <f t="shared" ref="D45:D52" si="2">LEFT(D44,4)+1&amp;"-0"&amp;RIGHT(D44,2)+1</f>
        <v>2001-02</v>
      </c>
      <c r="E45" s="108">
        <f>IF(LEFT(D45,4)*1&gt;LEFT('General inputs'!$I$16,4)+'General inputs'!$H$38-1,"",'ET inputs'!D18)</f>
        <v>0</v>
      </c>
      <c r="F45" s="108">
        <f>IF(LEFT(D45,4)*1&gt;LEFT('General inputs'!$I$16,4)+'General inputs'!$H$38-1,"",E45/(1+'General inputs'!$H$30)^C45)</f>
        <v>0</v>
      </c>
      <c r="G45" s="108">
        <f>IF(LEFT(D45,4)*1&gt;LEFT('General inputs'!$I$16,4)+'General inputs'!$H$38-1,"",E45/(1+'General inputs'!$H$32)^C45)</f>
        <v>0</v>
      </c>
      <c r="H45" s="108" t="str">
        <f>IF(LEFT(D45,4)*1&lt;LEFT('General inputs'!$I$16,4)*1,"",IF(LEFT(D45,4)*1&gt;LEFT('General inputs'!$I$16,4)+'General inputs'!$H$38-1,"",E45/(1+'General inputs'!$H$34)^C45))</f>
        <v/>
      </c>
      <c r="I45" s="86"/>
      <c r="J45" s="135"/>
      <c r="K45" s="135"/>
      <c r="L45" s="108">
        <f>IF(LEFT(D45,4)*1&gt;LEFT('General inputs'!$I$18,4)*1,"",SUMIF('Post-1996 commissioned assets'!$F$22:$F$218,$D45,'Post-1996 commissioned assets'!$P$22:$P$218))</f>
        <v>0</v>
      </c>
      <c r="M45" s="108">
        <f>IF(L45="","",L45/(1+'General inputs'!$H$32)^C45)</f>
        <v>0</v>
      </c>
      <c r="N45" s="108" t="str">
        <f>IF(LEFT(D45,4)*1&lt;LEFT('General inputs'!$I$18,4)*1+1,"",SUMIF('Uncommissioned assets'!$F$22:$F$218,$D45,'Uncommissioned assets'!$P$22:$P$218))</f>
        <v/>
      </c>
      <c r="O45" s="108" t="str">
        <f>IF(N45="","",N45/(1+'General inputs'!$H$32)^C45)</f>
        <v/>
      </c>
      <c r="P45" s="86"/>
      <c r="Q45" s="43"/>
      <c r="R45" s="108" t="str">
        <f>IF(OR(LEFT(D45,4)*1&lt;LEFT('General inputs'!$I$16,4)*1,LEFT(D45,4)*1&gt;LEFT('General inputs'!$I$16,4)+'General inputs'!$H$38-1),"",Q45/(1+'General inputs'!$H$34)^C45)</f>
        <v/>
      </c>
      <c r="S45" s="86"/>
      <c r="T45" s="43"/>
      <c r="U45" s="108" t="str">
        <f>IF(OR(LEFT(D45,4)*1&lt;LEFT('General inputs'!$I$16,4)*1,LEFT(D45,4)*1&gt;LEFT('General inputs'!$I$16,4)+'General inputs'!$H$38-1),"",T45/(1+'General inputs'!$H$34)^C45)</f>
        <v/>
      </c>
      <c r="V45" s="88"/>
      <c r="W45" s="87"/>
      <c r="X45" s="42"/>
      <c r="Y45" s="42"/>
      <c r="Z45" s="42"/>
    </row>
    <row r="46" spans="2:27" x14ac:dyDescent="0.25">
      <c r="B46" s="60"/>
      <c r="C46" s="106">
        <f>IF(D46='General inputs'!$I$16,0,IF(D46&lt;'General inputs'!$I$16,C47-1,C45+1))</f>
        <v>-16</v>
      </c>
      <c r="D46" s="106" t="str">
        <f t="shared" si="2"/>
        <v>2002-03</v>
      </c>
      <c r="E46" s="108">
        <f>IF(LEFT(D46,4)*1&gt;LEFT('General inputs'!$I$16,4)+'General inputs'!$H$38-1,"",'ET inputs'!D19)</f>
        <v>0</v>
      </c>
      <c r="F46" s="108">
        <f>IF(LEFT(D46,4)*1&gt;LEFT('General inputs'!$I$16,4)+'General inputs'!$H$38-1,"",E46/(1+'General inputs'!$H$30)^C46)</f>
        <v>0</v>
      </c>
      <c r="G46" s="108">
        <f>IF(LEFT(D46,4)*1&gt;LEFT('General inputs'!$I$16,4)+'General inputs'!$H$38-1,"",E46/(1+'General inputs'!$H$32)^C46)</f>
        <v>0</v>
      </c>
      <c r="H46" s="108" t="str">
        <f>IF(LEFT(D46,4)*1&lt;LEFT('General inputs'!$I$16,4)*1,"",IF(LEFT(D46,4)*1&gt;LEFT('General inputs'!$I$16,4)+'General inputs'!$H$38-1,"",E46/(1+'General inputs'!$H$34)^C46))</f>
        <v/>
      </c>
      <c r="I46" s="86"/>
      <c r="J46" s="135"/>
      <c r="K46" s="135"/>
      <c r="L46" s="108">
        <f>IF(LEFT(D46,4)*1&gt;LEFT('General inputs'!$I$18,4)*1,"",SUMIF('Post-1996 commissioned assets'!$F$22:$F$218,$D46,'Post-1996 commissioned assets'!$P$22:$P$218))</f>
        <v>0</v>
      </c>
      <c r="M46" s="108">
        <f>IF(L46="","",L46/(1+'General inputs'!$H$32)^C46)</f>
        <v>0</v>
      </c>
      <c r="N46" s="108" t="str">
        <f>IF(LEFT(D46,4)*1&lt;LEFT('General inputs'!$I$18,4)*1+1,"",SUMIF('Uncommissioned assets'!$F$22:$F$218,$D46,'Uncommissioned assets'!$P$22:$P$218))</f>
        <v/>
      </c>
      <c r="O46" s="108" t="str">
        <f>IF(N46="","",N46/(1+'General inputs'!$H$32)^C46)</f>
        <v/>
      </c>
      <c r="P46" s="86"/>
      <c r="Q46" s="43"/>
      <c r="R46" s="108" t="str">
        <f>IF(OR(LEFT(D46,4)*1&lt;LEFT('General inputs'!$I$16,4)*1,LEFT(D46,4)*1&gt;LEFT('General inputs'!$I$16,4)+'General inputs'!$H$38-1),"",Q46/(1+'General inputs'!$H$34)^C46)</f>
        <v/>
      </c>
      <c r="S46" s="86"/>
      <c r="T46" s="43"/>
      <c r="U46" s="108" t="str">
        <f>IF(OR(LEFT(D46,4)*1&lt;LEFT('General inputs'!$I$16,4)*1,LEFT(D46,4)*1&gt;LEFT('General inputs'!$I$16,4)+'General inputs'!$H$38-1),"",T46/(1+'General inputs'!$H$34)^C46)</f>
        <v/>
      </c>
      <c r="V46" s="88"/>
      <c r="W46" s="87"/>
      <c r="X46" s="42"/>
      <c r="Y46" s="42"/>
      <c r="Z46" s="42"/>
    </row>
    <row r="47" spans="2:27" x14ac:dyDescent="0.25">
      <c r="B47" s="60"/>
      <c r="C47" s="106">
        <f>IF(D47='General inputs'!$I$16,0,IF(D47&lt;'General inputs'!$I$16,C48-1,C46+1))</f>
        <v>-15</v>
      </c>
      <c r="D47" s="106" t="str">
        <f t="shared" si="2"/>
        <v>2003-04</v>
      </c>
      <c r="E47" s="108">
        <f>IF(LEFT(D47,4)*1&gt;LEFT('General inputs'!$I$16,4)+'General inputs'!$H$38-1,"",'ET inputs'!D20)</f>
        <v>0</v>
      </c>
      <c r="F47" s="108">
        <f>IF(LEFT(D47,4)*1&gt;LEFT('General inputs'!$I$16,4)+'General inputs'!$H$38-1,"",E47/(1+'General inputs'!$H$30)^C47)</f>
        <v>0</v>
      </c>
      <c r="G47" s="108">
        <f>IF(LEFT(D47,4)*1&gt;LEFT('General inputs'!$I$16,4)+'General inputs'!$H$38-1,"",E47/(1+'General inputs'!$H$32)^C47)</f>
        <v>0</v>
      </c>
      <c r="H47" s="108" t="str">
        <f>IF(LEFT(D47,4)*1&lt;LEFT('General inputs'!$I$16,4)*1,"",IF(LEFT(D47,4)*1&gt;LEFT('General inputs'!$I$16,4)+'General inputs'!$H$38-1,"",E47/(1+'General inputs'!$H$34)^C47))</f>
        <v/>
      </c>
      <c r="I47" s="86"/>
      <c r="J47" s="135"/>
      <c r="K47" s="135"/>
      <c r="L47" s="108">
        <f>IF(LEFT(D47,4)*1&gt;LEFT('General inputs'!$I$18,4)*1,"",SUMIF('Post-1996 commissioned assets'!$F$22:$F$218,$D47,'Post-1996 commissioned assets'!$P$22:$P$218))</f>
        <v>0</v>
      </c>
      <c r="M47" s="108">
        <f>IF(L47="","",L47/(1+'General inputs'!$H$32)^C47)</f>
        <v>0</v>
      </c>
      <c r="N47" s="108" t="str">
        <f>IF(LEFT(D47,4)*1&lt;LEFT('General inputs'!$I$18,4)*1+1,"",SUMIF('Uncommissioned assets'!$F$22:$F$218,$D47,'Uncommissioned assets'!$P$22:$P$218))</f>
        <v/>
      </c>
      <c r="O47" s="108" t="str">
        <f>IF(N47="","",N47/(1+'General inputs'!$H$32)^C47)</f>
        <v/>
      </c>
      <c r="P47" s="86"/>
      <c r="Q47" s="43"/>
      <c r="R47" s="108" t="str">
        <f>IF(OR(LEFT(D47,4)*1&lt;LEFT('General inputs'!$I$16,4)*1,LEFT(D47,4)*1&gt;LEFT('General inputs'!$I$16,4)+'General inputs'!$H$38-1),"",Q47/(1+'General inputs'!$H$34)^C47)</f>
        <v/>
      </c>
      <c r="S47" s="86"/>
      <c r="T47" s="43"/>
      <c r="U47" s="108" t="str">
        <f>IF(OR(LEFT(D47,4)*1&lt;LEFT('General inputs'!$I$16,4)*1,LEFT(D47,4)*1&gt;LEFT('General inputs'!$I$16,4)+'General inputs'!$H$38-1),"",T47/(1+'General inputs'!$H$34)^C47)</f>
        <v/>
      </c>
      <c r="V47" s="88"/>
      <c r="W47" s="87"/>
      <c r="X47" s="42"/>
      <c r="Y47" s="42"/>
      <c r="Z47" s="42"/>
    </row>
    <row r="48" spans="2:27" x14ac:dyDescent="0.25">
      <c r="B48" s="60"/>
      <c r="C48" s="106">
        <f>IF(D48='General inputs'!$I$16,0,IF(D48&lt;'General inputs'!$I$16,C49-1,C47+1))</f>
        <v>-14</v>
      </c>
      <c r="D48" s="106" t="str">
        <f t="shared" si="2"/>
        <v>2004-05</v>
      </c>
      <c r="E48" s="108">
        <f>IF(LEFT(D48,4)*1&gt;LEFT('General inputs'!$I$16,4)+'General inputs'!$H$38-1,"",'ET inputs'!D21)</f>
        <v>100</v>
      </c>
      <c r="F48" s="108">
        <f>IF(LEFT(D48,4)*1&gt;LEFT('General inputs'!$I$16,4)+'General inputs'!$H$38-1,"",E48/(1+'General inputs'!$H$30)^C48)</f>
        <v>151.25897248551109</v>
      </c>
      <c r="G48" s="108">
        <f>IF(LEFT(D48,4)*1&gt;LEFT('General inputs'!$I$16,4)+'General inputs'!$H$38-1,"",E48/(1+'General inputs'!$H$32)^C48)</f>
        <v>197.99315994393973</v>
      </c>
      <c r="H48" s="108" t="str">
        <f>IF(LEFT(D48,4)*1&lt;LEFT('General inputs'!$I$16,4)*1,"",IF(LEFT(D48,4)*1&gt;LEFT('General inputs'!$I$16,4)+'General inputs'!$H$38-1,"",E48/(1+'General inputs'!$H$34)^C48))</f>
        <v/>
      </c>
      <c r="I48" s="86"/>
      <c r="J48" s="135"/>
      <c r="K48" s="135"/>
      <c r="L48" s="108">
        <f>IF(LEFT(D48,4)*1&gt;LEFT('General inputs'!$I$18,4)*1,"",SUMIF('Post-1996 commissioned assets'!$F$22:$F$218,$D48,'Post-1996 commissioned assets'!$P$22:$P$218))</f>
        <v>0</v>
      </c>
      <c r="M48" s="108">
        <f>IF(L48="","",L48/(1+'General inputs'!$H$32)^C48)</f>
        <v>0</v>
      </c>
      <c r="N48" s="108" t="str">
        <f>IF(LEFT(D48,4)*1&lt;LEFT('General inputs'!$I$18,4)*1+1,"",SUMIF('Uncommissioned assets'!$F$22:$F$218,$D48,'Uncommissioned assets'!$P$22:$P$218))</f>
        <v/>
      </c>
      <c r="O48" s="108" t="str">
        <f>IF(N48="","",N48/(1+'General inputs'!$H$32)^C48)</f>
        <v/>
      </c>
      <c r="P48" s="86"/>
      <c r="Q48" s="114"/>
      <c r="R48" s="108" t="str">
        <f>IF(OR(LEFT(D48,4)*1&lt;LEFT('General inputs'!$I$16,4)*1,LEFT(D48,4)*1&gt;LEFT('General inputs'!$I$16,4)+'General inputs'!$H$38-1),"",Q48/(1+'General inputs'!$H$34)^C48)</f>
        <v/>
      </c>
      <c r="S48" s="86"/>
      <c r="T48" s="114"/>
      <c r="U48" s="108" t="str">
        <f>IF(OR(LEFT(D48,4)*1&lt;LEFT('General inputs'!$I$16,4)*1,LEFT(D48,4)*1&gt;LEFT('General inputs'!$I$16,4)+'General inputs'!$H$38-1),"",T48/(1+'General inputs'!$H$34)^C48)</f>
        <v/>
      </c>
      <c r="V48" s="88"/>
      <c r="W48" s="87"/>
      <c r="X48" s="42"/>
      <c r="Y48" s="42"/>
      <c r="Z48" s="42"/>
    </row>
    <row r="49" spans="1:26" x14ac:dyDescent="0.25">
      <c r="B49" s="60"/>
      <c r="C49" s="106">
        <f>IF(D49='General inputs'!$I$16,0,IF(D49&lt;'General inputs'!$I$16,C50-1,C48+1))</f>
        <v>-13</v>
      </c>
      <c r="D49" s="106" t="str">
        <f t="shared" si="2"/>
        <v>2005-06</v>
      </c>
      <c r="E49" s="108">
        <f>IF(LEFT(D49,4)*1&gt;LEFT('General inputs'!$I$16,4)+'General inputs'!$H$38-1,"",'ET inputs'!D22)</f>
        <v>100</v>
      </c>
      <c r="F49" s="108">
        <f>IF(LEFT(D49,4)*1&gt;LEFT('General inputs'!$I$16,4)+'General inputs'!$H$38-1,"",E49/(1+'General inputs'!$H$30)^C49)</f>
        <v>146.85337134515638</v>
      </c>
      <c r="G49" s="108">
        <f>IF(LEFT(D49,4)*1&gt;LEFT('General inputs'!$I$16,4)+'General inputs'!$H$38-1,"",E49/(1+'General inputs'!$H$32)^C49)</f>
        <v>188.56491423232362</v>
      </c>
      <c r="H49" s="108" t="str">
        <f>IF(LEFT(D49,4)*1&lt;LEFT('General inputs'!$I$16,4)*1,"",IF(LEFT(D49,4)*1&gt;LEFT('General inputs'!$I$16,4)+'General inputs'!$H$38-1,"",E49/(1+'General inputs'!$H$34)^C49))</f>
        <v/>
      </c>
      <c r="I49" s="86"/>
      <c r="J49" s="135"/>
      <c r="K49" s="135"/>
      <c r="L49" s="108">
        <f>IF(LEFT(D49,4)*1&gt;LEFT('General inputs'!$I$18,4)*1,"",SUMIF('Post-1996 commissioned assets'!$F$22:$F$218,$D49,'Post-1996 commissioned assets'!$P$22:$P$218))</f>
        <v>0</v>
      </c>
      <c r="M49" s="108">
        <f>IF(L49="","",L49/(1+'General inputs'!$H$32)^C49)</f>
        <v>0</v>
      </c>
      <c r="N49" s="108" t="str">
        <f>IF(LEFT(D49,4)*1&lt;LEFT('General inputs'!$I$18,4)*1+1,"",SUMIF('Uncommissioned assets'!$F$22:$F$218,$D49,'Uncommissioned assets'!$P$22:$P$218))</f>
        <v/>
      </c>
      <c r="O49" s="108" t="str">
        <f>IF(N49="","",N49/(1+'General inputs'!$H$32)^C49)</f>
        <v/>
      </c>
      <c r="P49" s="86"/>
      <c r="Q49" s="114"/>
      <c r="R49" s="108" t="str">
        <f>IF(OR(LEFT(D49,4)*1&lt;LEFT('General inputs'!$I$16,4)*1,LEFT(D49,4)*1&gt;LEFT('General inputs'!$I$16,4)+'General inputs'!$H$38-1),"",Q49/(1+'General inputs'!$H$34)^C49)</f>
        <v/>
      </c>
      <c r="S49" s="86"/>
      <c r="T49" s="114"/>
      <c r="U49" s="108" t="str">
        <f>IF(OR(LEFT(D49,4)*1&lt;LEFT('General inputs'!$I$16,4)*1,LEFT(D49,4)*1&gt;LEFT('General inputs'!$I$16,4)+'General inputs'!$H$38-1),"",T49/(1+'General inputs'!$H$34)^C49)</f>
        <v/>
      </c>
      <c r="V49" s="88"/>
      <c r="W49" s="87"/>
      <c r="X49" s="42"/>
      <c r="Y49" s="42"/>
      <c r="Z49" s="42"/>
    </row>
    <row r="50" spans="1:26" x14ac:dyDescent="0.25">
      <c r="B50" s="60"/>
      <c r="C50" s="106">
        <f>IF(D50='General inputs'!$I$16,0,IF(D50&lt;'General inputs'!$I$16,C51-1,C49+1))</f>
        <v>-12</v>
      </c>
      <c r="D50" s="106" t="str">
        <f t="shared" si="2"/>
        <v>2006-07</v>
      </c>
      <c r="E50" s="108">
        <f>IF(LEFT(D50,4)*1&gt;LEFT('General inputs'!$I$16,4)+'General inputs'!$H$38-1,"",'ET inputs'!D23)</f>
        <v>100</v>
      </c>
      <c r="F50" s="108">
        <f>IF(LEFT(D50,4)*1&gt;LEFT('General inputs'!$I$16,4)+'General inputs'!$H$38-1,"",E50/(1+'General inputs'!$H$30)^C50)</f>
        <v>142.57608868461784</v>
      </c>
      <c r="G50" s="108">
        <f>IF(LEFT(D50,4)*1&gt;LEFT('General inputs'!$I$16,4)+'General inputs'!$H$38-1,"",E50/(1+'General inputs'!$H$32)^C50)</f>
        <v>179.58563260221291</v>
      </c>
      <c r="H50" s="108" t="str">
        <f>IF(LEFT(D50,4)*1&lt;LEFT('General inputs'!$I$16,4)*1,"",IF(LEFT(D50,4)*1&gt;LEFT('General inputs'!$I$16,4)+'General inputs'!$H$38-1,"",E50/(1+'General inputs'!$H$34)^C50))</f>
        <v/>
      </c>
      <c r="I50" s="86"/>
      <c r="J50" s="135"/>
      <c r="K50" s="135"/>
      <c r="L50" s="108">
        <f>IF(LEFT(D50,4)*1&gt;LEFT('General inputs'!$I$18,4)*1,"",SUMIF('Post-1996 commissioned assets'!$F$22:$F$218,$D50,'Post-1996 commissioned assets'!$P$22:$P$218))</f>
        <v>0</v>
      </c>
      <c r="M50" s="108">
        <f>IF(L50="","",L50/(1+'General inputs'!$H$32)^C50)</f>
        <v>0</v>
      </c>
      <c r="N50" s="108" t="str">
        <f>IF(LEFT(D50,4)*1&lt;LEFT('General inputs'!$I$18,4)*1+1,"",SUMIF('Uncommissioned assets'!$F$22:$F$218,$D50,'Uncommissioned assets'!$P$22:$P$218))</f>
        <v/>
      </c>
      <c r="O50" s="108" t="str">
        <f>IF(N50="","",N50/(1+'General inputs'!$H$32)^C50)</f>
        <v/>
      </c>
      <c r="P50" s="86"/>
      <c r="Q50" s="114"/>
      <c r="R50" s="108" t="str">
        <f>IF(OR(LEFT(D50,4)*1&lt;LEFT('General inputs'!$I$16,4)*1,LEFT(D50,4)*1&gt;LEFT('General inputs'!$I$16,4)+'General inputs'!$H$38-1),"",Q50/(1+'General inputs'!$H$34)^C50)</f>
        <v/>
      </c>
      <c r="S50" s="86"/>
      <c r="T50" s="114"/>
      <c r="U50" s="108" t="str">
        <f>IF(OR(LEFT(D50,4)*1&lt;LEFT('General inputs'!$I$16,4)*1,LEFT(D50,4)*1&gt;LEFT('General inputs'!$I$16,4)+'General inputs'!$H$38-1),"",T50/(1+'General inputs'!$H$34)^C50)</f>
        <v/>
      </c>
      <c r="V50" s="88"/>
      <c r="W50" s="87"/>
      <c r="X50" s="42"/>
      <c r="Y50" s="42"/>
      <c r="Z50" s="42"/>
    </row>
    <row r="51" spans="1:26" x14ac:dyDescent="0.25">
      <c r="B51" s="60"/>
      <c r="C51" s="106">
        <f>IF(D51='General inputs'!$I$16,0,IF(D51&lt;'General inputs'!$I$16,C52-1,C50+1))</f>
        <v>-11</v>
      </c>
      <c r="D51" s="106" t="str">
        <f t="shared" si="2"/>
        <v>2007-08</v>
      </c>
      <c r="E51" s="108">
        <f>IF(LEFT(D51,4)*1&gt;LEFT('General inputs'!$I$16,4)+'General inputs'!$H$38-1,"",'ET inputs'!D24)</f>
        <v>100</v>
      </c>
      <c r="F51" s="108">
        <f>IF(LEFT(D51,4)*1&gt;LEFT('General inputs'!$I$16,4)+'General inputs'!$H$38-1,"",E51/(1+'General inputs'!$H$30)^C51)</f>
        <v>138.42338707244454</v>
      </c>
      <c r="G51" s="108">
        <f>IF(LEFT(D51,4)*1&gt;LEFT('General inputs'!$I$16,4)+'General inputs'!$H$38-1,"",E51/(1+'General inputs'!$H$32)^C51)</f>
        <v>171.03393581163138</v>
      </c>
      <c r="H51" s="108" t="str">
        <f>IF(LEFT(D51,4)*1&lt;LEFT('General inputs'!$I$16,4)*1,"",IF(LEFT(D51,4)*1&gt;LEFT('General inputs'!$I$16,4)+'General inputs'!$H$38-1,"",E51/(1+'General inputs'!$H$34)^C51))</f>
        <v/>
      </c>
      <c r="I51" s="86"/>
      <c r="J51" s="135"/>
      <c r="K51" s="135"/>
      <c r="L51" s="108">
        <f>IF(LEFT(D51,4)*1&gt;LEFT('General inputs'!$I$18,4)*1,"",SUMIF('Post-1996 commissioned assets'!$F$22:$F$218,$D51,'Post-1996 commissioned assets'!$P$22:$P$218))</f>
        <v>0</v>
      </c>
      <c r="M51" s="108">
        <f>IF(L51="","",L51/(1+'General inputs'!$H$32)^C51)</f>
        <v>0</v>
      </c>
      <c r="N51" s="108" t="str">
        <f>IF(LEFT(D51,4)*1&lt;LEFT('General inputs'!$I$18,4)*1+1,"",SUMIF('Uncommissioned assets'!$F$22:$F$218,$D51,'Uncommissioned assets'!$P$22:$P$218))</f>
        <v/>
      </c>
      <c r="O51" s="108" t="str">
        <f>IF(N51="","",N51/(1+'General inputs'!$H$32)^C51)</f>
        <v/>
      </c>
      <c r="P51" s="86"/>
      <c r="Q51" s="114"/>
      <c r="R51" s="108" t="str">
        <f>IF(OR(LEFT(D51,4)*1&lt;LEFT('General inputs'!$I$16,4)*1,LEFT(D51,4)*1&gt;LEFT('General inputs'!$I$16,4)+'General inputs'!$H$38-1),"",Q51/(1+'General inputs'!$H$34)^C51)</f>
        <v/>
      </c>
      <c r="S51" s="86"/>
      <c r="T51" s="114"/>
      <c r="U51" s="108" t="str">
        <f>IF(OR(LEFT(D51,4)*1&lt;LEFT('General inputs'!$I$16,4)*1,LEFT(D51,4)*1&gt;LEFT('General inputs'!$I$16,4)+'General inputs'!$H$38-1),"",T51/(1+'General inputs'!$H$34)^C51)</f>
        <v/>
      </c>
      <c r="V51" s="88"/>
      <c r="W51" s="87"/>
      <c r="X51" s="42"/>
      <c r="Y51" s="42"/>
      <c r="Z51" s="42"/>
    </row>
    <row r="52" spans="1:26" ht="12" thickBot="1" x14ac:dyDescent="0.3">
      <c r="B52" s="60"/>
      <c r="C52" s="106">
        <f>IF(D52='General inputs'!$I$16,0,IF(D52&lt;'General inputs'!$I$16,C53-1,C51+1))</f>
        <v>-10</v>
      </c>
      <c r="D52" s="111" t="str">
        <f t="shared" si="2"/>
        <v>2008-09</v>
      </c>
      <c r="E52" s="108">
        <f>IF(LEFT(D52,4)*1&gt;LEFT('General inputs'!$I$16,4)+'General inputs'!$H$38-1,"",'ET inputs'!D25)</f>
        <v>100</v>
      </c>
      <c r="F52" s="108">
        <f>IF(LEFT(D52,4)*1&gt;LEFT('General inputs'!$I$16,4)+'General inputs'!$H$38-1,"",E52/(1+'General inputs'!$H$30)^C52)</f>
        <v>134.39163793441219</v>
      </c>
      <c r="G52" s="108">
        <f>IF(LEFT(D52,4)*1&gt;LEFT('General inputs'!$I$16,4)+'General inputs'!$H$38-1,"",E52/(1+'General inputs'!$H$32)^C52)</f>
        <v>162.88946267774415</v>
      </c>
      <c r="H52" s="108" t="str">
        <f>IF(LEFT(D52,4)*1&lt;LEFT('General inputs'!$I$16,4)*1,"",IF(LEFT(D52,4)*1&gt;LEFT('General inputs'!$I$16,4)+'General inputs'!$H$38-1,"",E52/(1+'General inputs'!$H$34)^C52))</f>
        <v/>
      </c>
      <c r="I52" s="86"/>
      <c r="J52" s="135"/>
      <c r="K52" s="135"/>
      <c r="L52" s="108">
        <f>IF(LEFT(D52,4)*1&gt;LEFT('General inputs'!$I$18,4)*1,"",SUMIF('Post-1996 commissioned assets'!$F$22:$F$218,$D52,'Post-1996 commissioned assets'!$P$22:$P$218))</f>
        <v>0</v>
      </c>
      <c r="M52" s="108">
        <f>IF(L52="","",L52/(1+'General inputs'!$H$32)^C52)</f>
        <v>0</v>
      </c>
      <c r="N52" s="108" t="str">
        <f>IF(LEFT(D52,4)*1&lt;LEFT('General inputs'!$I$18,4)*1+1,"",SUMIF('Uncommissioned assets'!$F$22:$F$218,$D52,'Uncommissioned assets'!$P$22:$P$218))</f>
        <v/>
      </c>
      <c r="O52" s="108" t="str">
        <f>IF(N52="","",N52/(1+'General inputs'!$H$32)^C52)</f>
        <v/>
      </c>
      <c r="P52" s="86"/>
      <c r="Q52" s="114"/>
      <c r="R52" s="108" t="str">
        <f>IF(OR(LEFT(D52,4)*1&lt;LEFT('General inputs'!$I$16,4)*1,LEFT(D52,4)*1&gt;LEFT('General inputs'!$I$16,4)+'General inputs'!$H$38-1),"",Q52/(1+'General inputs'!$H$34)^C52)</f>
        <v/>
      </c>
      <c r="S52" s="86"/>
      <c r="T52" s="114"/>
      <c r="U52" s="108" t="str">
        <f>IF(OR(LEFT(D52,4)*1&lt;LEFT('General inputs'!$I$16,4)*1,LEFT(D52,4)*1&gt;LEFT('General inputs'!$I$16,4)+'General inputs'!$H$38-1),"",T52/(1+'General inputs'!$H$34)^C52)</f>
        <v/>
      </c>
      <c r="V52" s="88"/>
      <c r="W52" s="87"/>
      <c r="X52" s="42"/>
      <c r="Y52" s="42"/>
      <c r="Z52" s="42"/>
    </row>
    <row r="53" spans="1:26" ht="12" thickTop="1" x14ac:dyDescent="0.25">
      <c r="B53" s="60"/>
      <c r="C53" s="106">
        <f>IF(D53='General inputs'!$I$16,0,IF(D53&lt;'General inputs'!$I$16,C54-1,C52+1))</f>
        <v>-9</v>
      </c>
      <c r="D53" s="113" t="str">
        <f t="shared" si="1"/>
        <v>2009-10</v>
      </c>
      <c r="E53" s="108">
        <f>IF(LEFT(D53,4)*1&gt;LEFT('General inputs'!$I$16,4)+'General inputs'!$H$38-1,"",'ET inputs'!D26)</f>
        <v>350</v>
      </c>
      <c r="F53" s="108">
        <f>IF(LEFT(D53,4)*1&gt;LEFT('General inputs'!$I$16,4)+'General inputs'!$H$38-1,"",E53/(1+'General inputs'!$H$30)^C53)</f>
        <v>456.67061434023555</v>
      </c>
      <c r="G53" s="108">
        <f>IF(LEFT(D53,4)*1&gt;LEFT('General inputs'!$I$16,4)+'General inputs'!$H$38-1,"",E53/(1+'General inputs'!$H$32)^C53)</f>
        <v>542.96487559248055</v>
      </c>
      <c r="H53" s="108" t="str">
        <f>IF(LEFT(D53,4)*1&lt;LEFT('General inputs'!$I$16,4)*1,"",IF(LEFT(D53,4)*1&gt;LEFT('General inputs'!$I$16,4)+'General inputs'!$H$38-1,"",E53/(1+'General inputs'!$H$34)^C53))</f>
        <v/>
      </c>
      <c r="I53" s="86"/>
      <c r="J53" s="135"/>
      <c r="K53" s="135"/>
      <c r="L53" s="108">
        <f>IF(LEFT(D53,4)*1&gt;LEFT('General inputs'!$I$18,4)*1,"",SUMIF('Post-1996 commissioned assets'!$F$22:$F$218,$D53,'Post-1996 commissioned assets'!$P$22:$P$218))</f>
        <v>0</v>
      </c>
      <c r="M53" s="108">
        <f>IF(L53="","",L53/(1+'General inputs'!$H$32)^C53)</f>
        <v>0</v>
      </c>
      <c r="N53" s="108" t="str">
        <f>IF(LEFT(D53,4)*1&lt;LEFT('General inputs'!$I$18,4)*1+1,"",SUMIF('Uncommissioned assets'!$F$22:$F$218,$D53,'Uncommissioned assets'!$P$22:$P$218))</f>
        <v/>
      </c>
      <c r="O53" s="108" t="str">
        <f>IF(N53="","",N53/(1+'General inputs'!$H$32)^C53)</f>
        <v/>
      </c>
      <c r="P53" s="86"/>
      <c r="Q53" s="114"/>
      <c r="R53" s="108" t="str">
        <f>IF(OR(LEFT(D53,4)*1&lt;LEFT('General inputs'!$I$16,4)*1,LEFT(D53,4)*1&gt;LEFT('General inputs'!$I$16,4)+'General inputs'!$H$38-1),"",Q53/(1+'General inputs'!$H$34)^C53)</f>
        <v/>
      </c>
      <c r="S53" s="86"/>
      <c r="T53" s="114"/>
      <c r="U53" s="108" t="str">
        <f>IF(OR(LEFT(D53,4)*1&lt;LEFT('General inputs'!$I$16,4)*1,LEFT(D53,4)*1&gt;LEFT('General inputs'!$I$16,4)+'General inputs'!$H$38-1),"",T53/(1+'General inputs'!$H$34)^C53)</f>
        <v/>
      </c>
      <c r="V53" s="88"/>
      <c r="W53" s="87"/>
      <c r="X53" s="42"/>
      <c r="Y53" s="42"/>
      <c r="Z53" s="42"/>
    </row>
    <row r="54" spans="1:26" x14ac:dyDescent="0.25">
      <c r="B54" s="60"/>
      <c r="C54" s="106">
        <f>IF(D54='General inputs'!$I$16,0,IF(D54&lt;'General inputs'!$I$16,C55-1,C53+1))</f>
        <v>-8</v>
      </c>
      <c r="D54" s="106" t="str">
        <f t="shared" si="1"/>
        <v>2010-11</v>
      </c>
      <c r="E54" s="108">
        <f>IF(LEFT(D54,4)*1&gt;LEFT('General inputs'!$I$16,4)+'General inputs'!$H$38-1,"",'ET inputs'!D27)</f>
        <v>250</v>
      </c>
      <c r="F54" s="108">
        <f>IF(LEFT(D54,4)*1&gt;LEFT('General inputs'!$I$16,4)+'General inputs'!$H$38-1,"",E54/(1+'General inputs'!$H$30)^C54)</f>
        <v>316.69252034690402</v>
      </c>
      <c r="G54" s="108">
        <f>IF(LEFT(D54,4)*1&gt;LEFT('General inputs'!$I$16,4)+'General inputs'!$H$38-1,"",E54/(1+'General inputs'!$H$32)^C54)</f>
        <v>369.36386094726561</v>
      </c>
      <c r="H54" s="108" t="str">
        <f>IF(LEFT(D54,4)*1&lt;LEFT('General inputs'!$I$16,4)*1,"",IF(LEFT(D54,4)*1&gt;LEFT('General inputs'!$I$16,4)+'General inputs'!$H$38-1,"",E54/(1+'General inputs'!$H$34)^C54))</f>
        <v/>
      </c>
      <c r="I54" s="86"/>
      <c r="J54" s="135"/>
      <c r="K54" s="135"/>
      <c r="L54" s="108">
        <f>IF(LEFT(D54,4)*1&gt;LEFT('General inputs'!$I$18,4)*1,"",SUMIF('Post-1996 commissioned assets'!$F$22:$F$218,$D54,'Post-1996 commissioned assets'!$P$22:$P$218))</f>
        <v>0</v>
      </c>
      <c r="M54" s="108">
        <f>IF(L54="","",L54/(1+'General inputs'!$H$32)^C54)</f>
        <v>0</v>
      </c>
      <c r="N54" s="108" t="str">
        <f>IF(LEFT(D54,4)*1&lt;LEFT('General inputs'!$I$18,4)*1+1,"",SUMIF('Uncommissioned assets'!$F$22:$F$218,$D54,'Uncommissioned assets'!$P$22:$P$218))</f>
        <v/>
      </c>
      <c r="O54" s="108" t="str">
        <f>IF(N54="","",N54/(1+'General inputs'!$H$32)^C54)</f>
        <v/>
      </c>
      <c r="P54" s="86"/>
      <c r="Q54" s="114"/>
      <c r="R54" s="108" t="str">
        <f>IF(OR(LEFT(D54,4)*1&lt;LEFT('General inputs'!$I$16,4)*1,LEFT(D54,4)*1&gt;LEFT('General inputs'!$I$16,4)+'General inputs'!$H$38-1),"",Q54/(1+'General inputs'!$H$34)^C54)</f>
        <v/>
      </c>
      <c r="S54" s="86"/>
      <c r="T54" s="114"/>
      <c r="U54" s="108" t="str">
        <f>IF(OR(LEFT(D54,4)*1&lt;LEFT('General inputs'!$I$16,4)*1,LEFT(D54,4)*1&gt;LEFT('General inputs'!$I$16,4)+'General inputs'!$H$38-1),"",T54/(1+'General inputs'!$H$34)^C54)</f>
        <v/>
      </c>
      <c r="V54" s="88"/>
      <c r="W54" s="87"/>
      <c r="X54" s="42"/>
      <c r="Y54" s="42"/>
      <c r="Z54" s="42"/>
    </row>
    <row r="55" spans="1:26" x14ac:dyDescent="0.25">
      <c r="B55" s="60"/>
      <c r="C55" s="106">
        <f>IF(D55='General inputs'!$I$16,0,IF(D55&lt;'General inputs'!$I$16,C56-1,C54+1))</f>
        <v>-7</v>
      </c>
      <c r="D55" s="106" t="str">
        <f t="shared" si="1"/>
        <v>2011-12</v>
      </c>
      <c r="E55" s="108">
        <f>IF(LEFT(D55,4)*1&gt;LEFT('General inputs'!$I$16,4)+'General inputs'!$H$38-1,"",'ET inputs'!D28)</f>
        <v>270</v>
      </c>
      <c r="F55" s="108">
        <f>IF(LEFT(D55,4)*1&gt;LEFT('General inputs'!$I$16,4)+'General inputs'!$H$38-1,"",E55/(1+'General inputs'!$H$30)^C55)</f>
        <v>332.06594366471489</v>
      </c>
      <c r="G55" s="108">
        <f>IF(LEFT(D55,4)*1&gt;LEFT('General inputs'!$I$16,4)+'General inputs'!$H$38-1,"",E55/(1+'General inputs'!$H$32)^C55)</f>
        <v>379.91711411718757</v>
      </c>
      <c r="H55" s="108" t="str">
        <f>IF(LEFT(D55,4)*1&lt;LEFT('General inputs'!$I$16,4)*1,"",IF(LEFT(D55,4)*1&gt;LEFT('General inputs'!$I$16,4)+'General inputs'!$H$38-1,"",E55/(1+'General inputs'!$H$34)^C55))</f>
        <v/>
      </c>
      <c r="I55" s="86"/>
      <c r="J55" s="135"/>
      <c r="K55" s="135"/>
      <c r="L55" s="108">
        <f>IF(LEFT(D55,4)*1&gt;LEFT('General inputs'!$I$18,4)*1,"",SUMIF('Post-1996 commissioned assets'!$F$22:$F$218,$D55,'Post-1996 commissioned assets'!$P$22:$P$218))</f>
        <v>0</v>
      </c>
      <c r="M55" s="108">
        <f>IF(L55="","",L55/(1+'General inputs'!$H$32)^C55)</f>
        <v>0</v>
      </c>
      <c r="N55" s="108" t="str">
        <f>IF(LEFT(D55,4)*1&lt;LEFT('General inputs'!$I$18,4)*1+1,"",SUMIF('Uncommissioned assets'!$F$22:$F$218,$D55,'Uncommissioned assets'!$P$22:$P$218))</f>
        <v/>
      </c>
      <c r="O55" s="108" t="str">
        <f>IF(N55="","",N55/(1+'General inputs'!$H$32)^C55)</f>
        <v/>
      </c>
      <c r="P55" s="86"/>
      <c r="Q55" s="114"/>
      <c r="R55" s="108" t="str">
        <f>IF(OR(LEFT(D55,4)*1&lt;LEFT('General inputs'!$I$16,4)*1,LEFT(D55,4)*1&gt;LEFT('General inputs'!$I$16,4)+'General inputs'!$H$38-1),"",Q55/(1+'General inputs'!$H$34)^C55)</f>
        <v/>
      </c>
      <c r="S55" s="86"/>
      <c r="T55" s="114"/>
      <c r="U55" s="108" t="str">
        <f>IF(OR(LEFT(D55,4)*1&lt;LEFT('General inputs'!$I$16,4)*1,LEFT(D55,4)*1&gt;LEFT('General inputs'!$I$16,4)+'General inputs'!$H$38-1),"",T55/(1+'General inputs'!$H$34)^C55)</f>
        <v/>
      </c>
      <c r="V55" s="88"/>
      <c r="W55" s="87"/>
      <c r="X55" s="42"/>
      <c r="Y55" s="42"/>
      <c r="Z55" s="42"/>
    </row>
    <row r="56" spans="1:26" x14ac:dyDescent="0.25">
      <c r="B56" s="60"/>
      <c r="C56" s="106">
        <f>IF(D56='General inputs'!$I$16,0,IF(D56&lt;'General inputs'!$I$16,C57-1,C55+1))</f>
        <v>-6</v>
      </c>
      <c r="D56" s="106" t="str">
        <f t="shared" si="1"/>
        <v>2012-13</v>
      </c>
      <c r="E56" s="108">
        <f>IF(LEFT(D56,4)*1&gt;LEFT('General inputs'!$I$16,4)+'General inputs'!$H$38-1,"",'ET inputs'!D29)</f>
        <v>270</v>
      </c>
      <c r="F56" s="108">
        <f>IF(LEFT(D56,4)*1&gt;LEFT('General inputs'!$I$16,4)+'General inputs'!$H$38-1,"",E56/(1+'General inputs'!$H$30)^C56)</f>
        <v>322.39412006282998</v>
      </c>
      <c r="G56" s="108">
        <f>IF(LEFT(D56,4)*1&gt;LEFT('General inputs'!$I$16,4)+'General inputs'!$H$38-1,"",E56/(1+'General inputs'!$H$32)^C56)</f>
        <v>361.82582296875</v>
      </c>
      <c r="H56" s="108" t="str">
        <f>IF(LEFT(D56,4)*1&lt;LEFT('General inputs'!$I$16,4)*1,"",IF(LEFT(D56,4)*1&gt;LEFT('General inputs'!$I$16,4)+'General inputs'!$H$38-1,"",E56/(1+'General inputs'!$H$34)^C56))</f>
        <v/>
      </c>
      <c r="I56" s="86"/>
      <c r="J56" s="135"/>
      <c r="K56" s="135"/>
      <c r="L56" s="108">
        <f>IF(LEFT(D56,4)*1&gt;LEFT('General inputs'!$I$18,4)*1,"",SUMIF('Post-1996 commissioned assets'!$F$22:$F$218,$D56,'Post-1996 commissioned assets'!$P$22:$P$218))</f>
        <v>0</v>
      </c>
      <c r="M56" s="108">
        <f>IF(L56="","",L56/(1+'General inputs'!$H$32)^C56)</f>
        <v>0</v>
      </c>
      <c r="N56" s="108" t="str">
        <f>IF(LEFT(D56,4)*1&lt;LEFT('General inputs'!$I$18,4)*1+1,"",SUMIF('Uncommissioned assets'!$F$22:$F$218,$D56,'Uncommissioned assets'!$P$22:$P$218))</f>
        <v/>
      </c>
      <c r="O56" s="108" t="str">
        <f>IF(N56="","",N56/(1+'General inputs'!$H$32)^C56)</f>
        <v/>
      </c>
      <c r="P56" s="86"/>
      <c r="Q56" s="114"/>
      <c r="R56" s="108" t="str">
        <f>IF(OR(LEFT(D56,4)*1&lt;LEFT('General inputs'!$I$16,4)*1,LEFT(D56,4)*1&gt;LEFT('General inputs'!$I$16,4)+'General inputs'!$H$38-1),"",Q56/(1+'General inputs'!$H$34)^C56)</f>
        <v/>
      </c>
      <c r="S56" s="86"/>
      <c r="T56" s="114"/>
      <c r="U56" s="108" t="str">
        <f>IF(OR(LEFT(D56,4)*1&lt;LEFT('General inputs'!$I$16,4)*1,LEFT(D56,4)*1&gt;LEFT('General inputs'!$I$16,4)+'General inputs'!$H$38-1),"",T56/(1+'General inputs'!$H$34)^C56)</f>
        <v/>
      </c>
      <c r="V56" s="88"/>
      <c r="W56" s="87"/>
      <c r="X56" s="42"/>
      <c r="Y56" s="42"/>
      <c r="Z56" s="42"/>
    </row>
    <row r="57" spans="1:26" x14ac:dyDescent="0.25">
      <c r="B57" s="60"/>
      <c r="C57" s="106">
        <f>IF(D57='General inputs'!$I$16,0,IF(D57&lt;'General inputs'!$I$16,C58-1,C56+1))</f>
        <v>-5</v>
      </c>
      <c r="D57" s="106" t="str">
        <f t="shared" si="1"/>
        <v>2013-14</v>
      </c>
      <c r="E57" s="108">
        <f>IF(LEFT(D57,4)*1&gt;LEFT('General inputs'!$I$16,4)+'General inputs'!$H$38-1,"",'ET inputs'!D30)</f>
        <v>270</v>
      </c>
      <c r="F57" s="108">
        <f>IF(LEFT(D57,4)*1&gt;LEFT('General inputs'!$I$16,4)+'General inputs'!$H$38-1,"",E57/(1+'General inputs'!$H$30)^C57)</f>
        <v>313.00400006099994</v>
      </c>
      <c r="G57" s="108">
        <f>IF(LEFT(D57,4)*1&gt;LEFT('General inputs'!$I$16,4)+'General inputs'!$H$38-1,"",E57/(1+'General inputs'!$H$32)^C57)</f>
        <v>344.59602187500002</v>
      </c>
      <c r="H57" s="108" t="str">
        <f>IF(LEFT(D57,4)*1&lt;LEFT('General inputs'!$I$16,4)*1,"",IF(LEFT(D57,4)*1&gt;LEFT('General inputs'!$I$16,4)+'General inputs'!$H$38-1,"",E57/(1+'General inputs'!$H$34)^C57))</f>
        <v/>
      </c>
      <c r="I57" s="86"/>
      <c r="J57" s="135"/>
      <c r="K57" s="135"/>
      <c r="L57" s="108">
        <f>IF(LEFT(D57,4)*1&gt;LEFT('General inputs'!$I$18,4)*1,"",SUMIF('Post-1996 commissioned assets'!$F$22:$F$218,$D57,'Post-1996 commissioned assets'!$P$22:$P$218))</f>
        <v>0</v>
      </c>
      <c r="M57" s="108">
        <f>IF(L57="","",L57/(1+'General inputs'!$H$32)^C57)</f>
        <v>0</v>
      </c>
      <c r="N57" s="108" t="str">
        <f>IF(LEFT(D57,4)*1&lt;LEFT('General inputs'!$I$18,4)*1+1,"",SUMIF('Uncommissioned assets'!$F$22:$F$218,$D57,'Uncommissioned assets'!$P$22:$P$218))</f>
        <v/>
      </c>
      <c r="O57" s="108" t="str">
        <f>IF(N57="","",N57/(1+'General inputs'!$H$32)^C57)</f>
        <v/>
      </c>
      <c r="P57" s="86"/>
      <c r="Q57" s="114"/>
      <c r="R57" s="108" t="str">
        <f>IF(OR(LEFT(D57,4)*1&lt;LEFT('General inputs'!$I$16,4)*1,LEFT(D57,4)*1&gt;LEFT('General inputs'!$I$16,4)+'General inputs'!$H$38-1),"",Q57/(1+'General inputs'!$H$34)^C57)</f>
        <v/>
      </c>
      <c r="S57" s="86"/>
      <c r="T57" s="114"/>
      <c r="U57" s="108" t="str">
        <f>IF(OR(LEFT(D57,4)*1&lt;LEFT('General inputs'!$I$16,4)*1,LEFT(D57,4)*1&gt;LEFT('General inputs'!$I$16,4)+'General inputs'!$H$38-1),"",T57/(1+'General inputs'!$H$34)^C57)</f>
        <v/>
      </c>
      <c r="V57" s="88"/>
      <c r="W57" s="87"/>
      <c r="X57" s="42"/>
      <c r="Y57" s="42"/>
      <c r="Z57" s="42"/>
    </row>
    <row r="58" spans="1:26" x14ac:dyDescent="0.25">
      <c r="B58" s="60"/>
      <c r="C58" s="106">
        <f>IF(D58='General inputs'!$I$16,0,IF(D58&lt;'General inputs'!$I$16,C59-1,C57+1))</f>
        <v>-4</v>
      </c>
      <c r="D58" s="106" t="str">
        <f t="shared" si="1"/>
        <v>2014-15</v>
      </c>
      <c r="E58" s="108">
        <f>IF(LEFT(D58,4)*1&gt;LEFT('General inputs'!$I$16,4)+'General inputs'!$H$38-1,"",'ET inputs'!D31)</f>
        <v>270</v>
      </c>
      <c r="F58" s="108">
        <f>IF(LEFT(D58,4)*1&gt;LEFT('General inputs'!$I$16,4)+'General inputs'!$H$38-1,"",E58/(1+'General inputs'!$H$30)^C58)</f>
        <v>303.88737869999994</v>
      </c>
      <c r="G58" s="108">
        <f>IF(LEFT(D58,4)*1&gt;LEFT('General inputs'!$I$16,4)+'General inputs'!$H$38-1,"",E58/(1+'General inputs'!$H$32)^C58)</f>
        <v>328.18668750000001</v>
      </c>
      <c r="H58" s="108" t="str">
        <f>IF(LEFT(D58,4)*1&lt;LEFT('General inputs'!$I$16,4)*1,"",IF(LEFT(D58,4)*1&gt;LEFT('General inputs'!$I$16,4)+'General inputs'!$H$38-1,"",E58/(1+'General inputs'!$H$34)^C58))</f>
        <v/>
      </c>
      <c r="I58" s="86"/>
      <c r="J58" s="135"/>
      <c r="K58" s="135"/>
      <c r="L58" s="108">
        <f>IF(LEFT(D58,4)*1&gt;LEFT('General inputs'!$I$18,4)*1,"",SUMIF('Post-1996 commissioned assets'!$F$22:$F$218,$D58,'Post-1996 commissioned assets'!$P$22:$P$218))</f>
        <v>0</v>
      </c>
      <c r="M58" s="108">
        <f>IF(L58="","",L58/(1+'General inputs'!$H$32)^C58)</f>
        <v>0</v>
      </c>
      <c r="N58" s="108" t="str">
        <f>IF(LEFT(D58,4)*1&lt;LEFT('General inputs'!$I$18,4)*1+1,"",SUMIF('Uncommissioned assets'!$F$22:$F$218,$D58,'Uncommissioned assets'!$P$22:$P$218))</f>
        <v/>
      </c>
      <c r="O58" s="108" t="str">
        <f>IF(N58="","",N58/(1+'General inputs'!$H$32)^C58)</f>
        <v/>
      </c>
      <c r="P58" s="86"/>
      <c r="Q58" s="114"/>
      <c r="R58" s="108" t="str">
        <f>IF(OR(LEFT(D58,4)*1&lt;LEFT('General inputs'!$I$16,4)*1,LEFT(D58,4)*1&gt;LEFT('General inputs'!$I$16,4)+'General inputs'!$H$38-1),"",Q58/(1+'General inputs'!$H$34)^C58)</f>
        <v/>
      </c>
      <c r="S58" s="86"/>
      <c r="T58" s="114"/>
      <c r="U58" s="108" t="str">
        <f>IF(OR(LEFT(D58,4)*1&lt;LEFT('General inputs'!$I$16,4)*1,LEFT(D58,4)*1&gt;LEFT('General inputs'!$I$16,4)+'General inputs'!$H$38-1),"",T58/(1+'General inputs'!$H$34)^C58)</f>
        <v/>
      </c>
      <c r="V58" s="88"/>
      <c r="W58" s="87"/>
      <c r="X58" s="42"/>
      <c r="Y58" s="42"/>
      <c r="Z58" s="42"/>
    </row>
    <row r="59" spans="1:26" x14ac:dyDescent="0.25">
      <c r="B59" s="60"/>
      <c r="C59" s="106">
        <f>IF(D59='General inputs'!$I$16,0,IF(D59&lt;'General inputs'!$I$16,C60-1,C58+1))</f>
        <v>-3</v>
      </c>
      <c r="D59" s="106" t="str">
        <f t="shared" si="1"/>
        <v>2015-16</v>
      </c>
      <c r="E59" s="108">
        <f>IF(LEFT(D59,4)*1&gt;LEFT('General inputs'!$I$16,4)+'General inputs'!$H$38-1,"",'ET inputs'!D32)</f>
        <v>270</v>
      </c>
      <c r="F59" s="108">
        <f>IF(LEFT(D59,4)*1&gt;LEFT('General inputs'!$I$16,4)+'General inputs'!$H$38-1,"",E59/(1+'General inputs'!$H$30)^C59)</f>
        <v>295.03629000000001</v>
      </c>
      <c r="G59" s="108">
        <f>IF(LEFT(D59,4)*1&gt;LEFT('General inputs'!$I$16,4)+'General inputs'!$H$38-1,"",E59/(1+'General inputs'!$H$32)^C59)</f>
        <v>312.55875000000003</v>
      </c>
      <c r="H59" s="108" t="str">
        <f>IF(LEFT(D59,4)*1&lt;LEFT('General inputs'!$I$16,4)*1,"",IF(LEFT(D59,4)*1&gt;LEFT('General inputs'!$I$16,4)+'General inputs'!$H$38-1,"",E59/(1+'General inputs'!$H$34)^C59))</f>
        <v/>
      </c>
      <c r="I59" s="86"/>
      <c r="J59" s="135"/>
      <c r="K59" s="135"/>
      <c r="L59" s="108">
        <f>IF(LEFT(D59,4)*1&gt;LEFT('General inputs'!$I$18,4)*1,"",SUMIF('Post-1996 commissioned assets'!$F$22:$F$218,$D59,'Post-1996 commissioned assets'!$P$22:$P$218))</f>
        <v>0</v>
      </c>
      <c r="M59" s="108">
        <f>IF(L59="","",L59/(1+'General inputs'!$H$32)^C59)</f>
        <v>0</v>
      </c>
      <c r="N59" s="108" t="str">
        <f>IF(LEFT(D59,4)*1&lt;LEFT('General inputs'!$I$18,4)*1+1,"",SUMIF('Uncommissioned assets'!$F$22:$F$218,$D59,'Uncommissioned assets'!$P$22:$P$218))</f>
        <v/>
      </c>
      <c r="O59" s="108" t="str">
        <f>IF(N59="","",N59/(1+'General inputs'!$H$32)^C59)</f>
        <v/>
      </c>
      <c r="P59" s="86"/>
      <c r="Q59" s="114"/>
      <c r="R59" s="108" t="str">
        <f>IF(OR(LEFT(D59,4)*1&lt;LEFT('General inputs'!$I$16,4)*1,LEFT(D59,4)*1&gt;LEFT('General inputs'!$I$16,4)+'General inputs'!$H$38-1),"",Q59/(1+'General inputs'!$H$34)^C59)</f>
        <v/>
      </c>
      <c r="S59" s="86"/>
      <c r="T59" s="114"/>
      <c r="U59" s="108" t="str">
        <f>IF(OR(LEFT(D59,4)*1&lt;LEFT('General inputs'!$I$16,4)*1,LEFT(D59,4)*1&gt;LEFT('General inputs'!$I$16,4)+'General inputs'!$H$38-1),"",T59/(1+'General inputs'!$H$34)^C59)</f>
        <v/>
      </c>
      <c r="V59" s="88"/>
      <c r="W59" s="87"/>
      <c r="X59" s="42"/>
      <c r="Y59" s="42"/>
      <c r="Z59" s="42"/>
    </row>
    <row r="60" spans="1:26" x14ac:dyDescent="0.25">
      <c r="B60" s="60"/>
      <c r="C60" s="106">
        <f>IF(D60='General inputs'!$I$16,0,IF(D60&lt;'General inputs'!$I$16,C61-1,C59+1))</f>
        <v>-2</v>
      </c>
      <c r="D60" s="106" t="str">
        <f t="shared" si="1"/>
        <v>2016-17</v>
      </c>
      <c r="E60" s="108">
        <f>IF(LEFT(D60,4)*1&gt;LEFT('General inputs'!$I$16,4)+'General inputs'!$H$38-1,"",'ET inputs'!D33)</f>
        <v>270</v>
      </c>
      <c r="F60" s="108">
        <f>IF(LEFT(D60,4)*1&gt;LEFT('General inputs'!$I$16,4)+'General inputs'!$H$38-1,"",E60/(1+'General inputs'!$H$30)^C60)</f>
        <v>286.44299999999998</v>
      </c>
      <c r="G60" s="108">
        <f>IF(LEFT(D60,4)*1&gt;LEFT('General inputs'!$I$16,4)+'General inputs'!$H$38-1,"",E60/(1+'General inputs'!$H$32)^C60)</f>
        <v>297.67500000000001</v>
      </c>
      <c r="H60" s="108" t="str">
        <f>IF(LEFT(D60,4)*1&lt;LEFT('General inputs'!$I$16,4)*1,"",IF(LEFT(D60,4)*1&gt;LEFT('General inputs'!$I$16,4)+'General inputs'!$H$38-1,"",E60/(1+'General inputs'!$H$34)^C60))</f>
        <v/>
      </c>
      <c r="I60" s="86"/>
      <c r="J60" s="135"/>
      <c r="K60" s="135"/>
      <c r="L60" s="108">
        <f>IF(LEFT(D60,4)*1&gt;LEFT('General inputs'!$I$18,4)*1,"",SUMIF('Post-1996 commissioned assets'!$F$22:$F$218,$D60,'Post-1996 commissioned assets'!$P$22:$P$218))</f>
        <v>0</v>
      </c>
      <c r="M60" s="108">
        <f>IF(L60="","",L60/(1+'General inputs'!$H$32)^C60)</f>
        <v>0</v>
      </c>
      <c r="N60" s="108" t="str">
        <f>IF(LEFT(D60,4)*1&lt;LEFT('General inputs'!$I$18,4)*1+1,"",SUMIF('Uncommissioned assets'!$F$22:$F$218,$D60,'Uncommissioned assets'!$P$22:$P$218))</f>
        <v/>
      </c>
      <c r="O60" s="108" t="str">
        <f>IF(N60="","",N60/(1+'General inputs'!$H$32)^C60)</f>
        <v/>
      </c>
      <c r="P60" s="86"/>
      <c r="Q60" s="114"/>
      <c r="R60" s="108" t="str">
        <f>IF(OR(LEFT(D60,4)*1&lt;LEFT('General inputs'!$I$16,4)*1,LEFT(D60,4)*1&gt;LEFT('General inputs'!$I$16,4)+'General inputs'!$H$38-1),"",Q60/(1+'General inputs'!$H$34)^C60)</f>
        <v/>
      </c>
      <c r="S60" s="86"/>
      <c r="T60" s="114"/>
      <c r="U60" s="108" t="str">
        <f>IF(OR(LEFT(D60,4)*1&lt;LEFT('General inputs'!$I$16,4)*1,LEFT(D60,4)*1&gt;LEFT('General inputs'!$I$16,4)+'General inputs'!$H$38-1),"",T60/(1+'General inputs'!$H$34)^C60)</f>
        <v/>
      </c>
      <c r="V60" s="88"/>
      <c r="W60" s="87"/>
      <c r="X60" s="42"/>
      <c r="Y60" s="42"/>
      <c r="Z60" s="42"/>
    </row>
    <row r="61" spans="1:26" x14ac:dyDescent="0.25">
      <c r="B61" s="60"/>
      <c r="C61" s="106">
        <f>IF(D61='General inputs'!$I$16,0,IF(D61&lt;'General inputs'!$I$16,C62-1,C60+1))</f>
        <v>-1</v>
      </c>
      <c r="D61" s="106" t="str">
        <f t="shared" si="1"/>
        <v>2017-18</v>
      </c>
      <c r="E61" s="108">
        <f>IF(LEFT(D61,4)*1&gt;LEFT('General inputs'!$I$16,4)+'General inputs'!$H$38-1,"",'ET inputs'!D34)</f>
        <v>270</v>
      </c>
      <c r="F61" s="108">
        <f>IF(LEFT(D61,4)*1&gt;LEFT('General inputs'!$I$16,4)+'General inputs'!$H$38-1,"",E61/(1+'General inputs'!$H$30)^C61)</f>
        <v>278.10000000000002</v>
      </c>
      <c r="G61" s="108">
        <f>IF(LEFT(D61,4)*1&gt;LEFT('General inputs'!$I$16,4)+'General inputs'!$H$38-1,"",E61/(1+'General inputs'!$H$32)^C61)</f>
        <v>283.5</v>
      </c>
      <c r="H61" s="108" t="str">
        <f>IF(LEFT(D61,4)*1&lt;LEFT('General inputs'!$I$16,4)*1,"",IF(LEFT(D61,4)*1&gt;LEFT('General inputs'!$I$16,4)+'General inputs'!$H$38-1,"",E61/(1+'General inputs'!$H$34)^C61))</f>
        <v/>
      </c>
      <c r="I61" s="86"/>
      <c r="J61" s="135"/>
      <c r="K61" s="135"/>
      <c r="L61" s="108">
        <f>IF(LEFT(D61,4)*1&gt;LEFT('General inputs'!$I$18,4)*1,"",SUMIF('Post-1996 commissioned assets'!$F$22:$F$218,$D61,'Post-1996 commissioned assets'!$P$22:$P$218))</f>
        <v>571714.28571428568</v>
      </c>
      <c r="M61" s="108">
        <f>IF(L61="","",L61/(1+'General inputs'!$H$32)^C61)</f>
        <v>600300</v>
      </c>
      <c r="N61" s="108" t="str">
        <f>IF(LEFT(D61,4)*1&lt;LEFT('General inputs'!$I$18,4)*1+1,"",SUMIF('Uncommissioned assets'!$F$22:$F$218,$D61,'Uncommissioned assets'!$P$22:$P$218))</f>
        <v/>
      </c>
      <c r="O61" s="108" t="str">
        <f>IF(N61="","",N61/(1+'General inputs'!$H$32)^C61)</f>
        <v/>
      </c>
      <c r="P61" s="86"/>
      <c r="Q61" s="114"/>
      <c r="R61" s="108" t="str">
        <f>IF(OR(LEFT(D61,4)*1&lt;LEFT('General inputs'!$I$16,4)*1,LEFT(D61,4)*1&gt;LEFT('General inputs'!$I$16,4)+'General inputs'!$H$38-1),"",Q61/(1+'General inputs'!$H$34)^C61)</f>
        <v/>
      </c>
      <c r="S61" s="86"/>
      <c r="T61" s="114"/>
      <c r="U61" s="108" t="str">
        <f>IF(OR(LEFT(D61,4)*1&lt;LEFT('General inputs'!$I$16,4)*1,LEFT(D61,4)*1&gt;LEFT('General inputs'!$I$16,4)+'General inputs'!$H$38-1),"",T61/(1+'General inputs'!$H$34)^C61)</f>
        <v/>
      </c>
      <c r="V61" s="88"/>
      <c r="W61" s="87"/>
    </row>
    <row r="62" spans="1:26" x14ac:dyDescent="0.25">
      <c r="A62" s="87"/>
      <c r="B62" s="98"/>
      <c r="C62" s="106">
        <f>IF(D62='General inputs'!$I$16,0,IF(D62&lt;'General inputs'!$I$16,C63-1,C61+1))</f>
        <v>0</v>
      </c>
      <c r="D62" s="106" t="str">
        <f t="shared" si="1"/>
        <v>2018-19</v>
      </c>
      <c r="E62" s="108">
        <f>IF(LEFT(D62,4)*1&gt;LEFT('General inputs'!$I$16,4)+'General inputs'!$H$38-1,"",'ET inputs'!D35)</f>
        <v>270</v>
      </c>
      <c r="F62" s="108">
        <f>IF(LEFT(D62,4)*1&gt;LEFT('General inputs'!$I$16,4)+'General inputs'!$H$38-1,"",E62/(1+'General inputs'!$H$30)^C62)</f>
        <v>270</v>
      </c>
      <c r="G62" s="108">
        <f>IF(LEFT(D62,4)*1&gt;LEFT('General inputs'!$I$16,4)+'General inputs'!$H$38-1,"",E62/(1+'General inputs'!$H$32)^C62)</f>
        <v>270</v>
      </c>
      <c r="H62" s="108">
        <f>IF(LEFT(D62,4)*1&lt;LEFT('General inputs'!$I$16,4)*1,"",IF(LEFT(D62,4)*1&gt;LEFT('General inputs'!$I$16,4)+'General inputs'!$H$38-1,"",E62/(1+'General inputs'!$H$34)^C62))</f>
        <v>270</v>
      </c>
      <c r="I62" s="86"/>
      <c r="J62" s="135"/>
      <c r="K62" s="135"/>
      <c r="L62" s="108" t="str">
        <f>IF(LEFT(D62,4)*1&gt;LEFT('General inputs'!$I$18,4)*1,"",SUMIF('Post-1996 commissioned assets'!$F$22:$F$218,$D62,'Post-1996 commissioned assets'!$P$22:$P$218))</f>
        <v/>
      </c>
      <c r="M62" s="108" t="str">
        <f>IF(L62="","",L62/(1+'General inputs'!$H$32)^C62)</f>
        <v/>
      </c>
      <c r="N62" s="108">
        <f>IF(LEFT(D62,4)*1&lt;LEFT('General inputs'!$I$18,4)*1+1,"",SUMIF('Uncommissioned assets'!$F$22:$F$218,$D62,'Uncommissioned assets'!$P$22:$P$218))</f>
        <v>6670000</v>
      </c>
      <c r="O62" s="108">
        <f>IF(N62="","",N62/(1+'General inputs'!$H$32)^C62)</f>
        <v>6670000</v>
      </c>
      <c r="P62" s="86"/>
      <c r="Q62" s="114"/>
      <c r="R62" s="108">
        <f>IF(OR(LEFT(D62,4)*1&lt;LEFT('General inputs'!$I$16,4)*1,LEFT(D62,4)*1&gt;LEFT('General inputs'!$I$16,4)+'General inputs'!$H$38-1),"",Q62/(1+'General inputs'!$H$34)^C62)</f>
        <v>0</v>
      </c>
      <c r="S62" s="86"/>
      <c r="T62" s="114"/>
      <c r="U62" s="108">
        <f>IF(OR(LEFT(D62,4)*1&lt;LEFT('General inputs'!$I$16,4)*1,LEFT(D62,4)*1&gt;LEFT('General inputs'!$I$16,4)+'General inputs'!$H$38-1),"",T62/(1+'General inputs'!$H$34)^C62)</f>
        <v>0</v>
      </c>
      <c r="V62" s="88"/>
      <c r="W62" s="87"/>
    </row>
    <row r="63" spans="1:26" x14ac:dyDescent="0.25">
      <c r="B63" s="60"/>
      <c r="C63" s="106">
        <f>IF(D63='General inputs'!$I$16,0,IF(D63&lt;'General inputs'!$I$16,C64-1,C62+1))</f>
        <v>1</v>
      </c>
      <c r="D63" s="106" t="str">
        <f t="shared" si="1"/>
        <v>2019-20</v>
      </c>
      <c r="E63" s="108">
        <f>IF(LEFT(D63,4)*1&gt;LEFT('General inputs'!$I$16,4)+'General inputs'!$H$38-1,"",'ET inputs'!D36)</f>
        <v>270</v>
      </c>
      <c r="F63" s="108">
        <f>IF(LEFT(D63,4)*1&gt;LEFT('General inputs'!$I$16,4)+'General inputs'!$H$38-1,"",E63/(1+'General inputs'!$H$30)^C63)</f>
        <v>262.13592233009706</v>
      </c>
      <c r="G63" s="108">
        <f>IF(LEFT(D63,4)*1&gt;LEFT('General inputs'!$I$16,4)+'General inputs'!$H$38-1,"",E63/(1+'General inputs'!$H$32)^C63)</f>
        <v>257.14285714285711</v>
      </c>
      <c r="H63" s="108">
        <f>IF(LEFT(D63,4)*1&lt;LEFT('General inputs'!$I$16,4)*1,"",IF(LEFT(D63,4)*1&gt;LEFT('General inputs'!$I$16,4)+'General inputs'!$H$38-1,"",E63/(1+'General inputs'!$H$34)^C63))</f>
        <v>257.14285714285711</v>
      </c>
      <c r="I63" s="86"/>
      <c r="J63" s="135"/>
      <c r="K63" s="135"/>
      <c r="L63" s="108" t="str">
        <f>IF(LEFT(D63,4)*1&gt;LEFT('General inputs'!$I$18,4)*1,"",SUMIF('Post-1996 commissioned assets'!$F$22:$F$218,$D63,'Post-1996 commissioned assets'!$P$22:$P$218))</f>
        <v/>
      </c>
      <c r="M63" s="108" t="str">
        <f>IF(L63="","",L63/(1+'General inputs'!$H$32)^C63)</f>
        <v/>
      </c>
      <c r="N63" s="108">
        <f>IF(LEFT(D63,4)*1&lt;LEFT('General inputs'!$I$18,4)*1+1,"",SUMIF('Uncommissioned assets'!$F$22:$F$218,$D63,'Uncommissioned assets'!$P$22:$P$218))</f>
        <v>0</v>
      </c>
      <c r="O63" s="108">
        <f>IF(N63="","",N63/(1+'General inputs'!$H$32)^C63)</f>
        <v>0</v>
      </c>
      <c r="P63" s="86"/>
      <c r="Q63" s="114"/>
      <c r="R63" s="108">
        <f>IF(OR(LEFT(D63,4)*1&lt;LEFT('General inputs'!$I$16,4)*1,LEFT(D63,4)*1&gt;LEFT('General inputs'!$I$16,4)+'General inputs'!$H$38-1),"",Q63/(1+'General inputs'!$H$34)^C63)</f>
        <v>0</v>
      </c>
      <c r="S63" s="86"/>
      <c r="T63" s="114"/>
      <c r="U63" s="108">
        <f>IF(OR(LEFT(D63,4)*1&lt;LEFT('General inputs'!$I$16,4)*1,LEFT(D63,4)*1&gt;LEFT('General inputs'!$I$16,4)+'General inputs'!$H$38-1),"",T63/(1+'General inputs'!$H$34)^C63)</f>
        <v>0</v>
      </c>
      <c r="V63" s="88"/>
      <c r="W63" s="87"/>
    </row>
    <row r="64" spans="1:26" x14ac:dyDescent="0.25">
      <c r="B64" s="60"/>
      <c r="C64" s="106">
        <f>IF(D64='General inputs'!$I$16,0,IF(D64&lt;'General inputs'!$I$16,C65-1,C63+1))</f>
        <v>2</v>
      </c>
      <c r="D64" s="106" t="str">
        <f t="shared" si="1"/>
        <v>2020-21</v>
      </c>
      <c r="E64" s="108">
        <f>IF(LEFT(D64,4)*1&gt;LEFT('General inputs'!$I$16,4)+'General inputs'!$H$38-1,"",'ET inputs'!D37)</f>
        <v>270</v>
      </c>
      <c r="F64" s="108">
        <f>IF(LEFT(D64,4)*1&gt;LEFT('General inputs'!$I$16,4)+'General inputs'!$H$38-1,"",E64/(1+'General inputs'!$H$30)^C64)</f>
        <v>254.50089546611369</v>
      </c>
      <c r="G64" s="108">
        <f>IF(LEFT(D64,4)*1&gt;LEFT('General inputs'!$I$16,4)+'General inputs'!$H$38-1,"",E64/(1+'General inputs'!$H$32)^C64)</f>
        <v>244.89795918367346</v>
      </c>
      <c r="H64" s="108">
        <f>IF(LEFT(D64,4)*1&lt;LEFT('General inputs'!$I$16,4)*1,"",IF(LEFT(D64,4)*1&gt;LEFT('General inputs'!$I$16,4)+'General inputs'!$H$38-1,"",E64/(1+'General inputs'!$H$34)^C64))</f>
        <v>244.89795918367346</v>
      </c>
      <c r="I64" s="86"/>
      <c r="J64" s="135"/>
      <c r="K64" s="135"/>
      <c r="L64" s="108" t="str">
        <f>IF(LEFT(D64,4)*1&gt;LEFT('General inputs'!$I$18,4)*1,"",SUMIF('Post-1996 commissioned assets'!$F$22:$F$218,$D64,'Post-1996 commissioned assets'!$P$22:$P$218))</f>
        <v/>
      </c>
      <c r="M64" s="108" t="str">
        <f>IF(L64="","",L64/(1+'General inputs'!$H$32)^C64)</f>
        <v/>
      </c>
      <c r="N64" s="108">
        <f>IF(LEFT(D64,4)*1&lt;LEFT('General inputs'!$I$18,4)*1+1,"",SUMIF('Uncommissioned assets'!$F$22:$F$218,$D64,'Uncommissioned assets'!$P$22:$P$218))</f>
        <v>0</v>
      </c>
      <c r="O64" s="108">
        <f>IF(N64="","",N64/(1+'General inputs'!$H$32)^C64)</f>
        <v>0</v>
      </c>
      <c r="P64" s="86"/>
      <c r="Q64" s="114"/>
      <c r="R64" s="108">
        <f>IF(OR(LEFT(D64,4)*1&lt;LEFT('General inputs'!$I$16,4)*1,LEFT(D64,4)*1&gt;LEFT('General inputs'!$I$16,4)+'General inputs'!$H$38-1),"",Q64/(1+'General inputs'!$H$34)^C64)</f>
        <v>0</v>
      </c>
      <c r="S64" s="86"/>
      <c r="T64" s="114"/>
      <c r="U64" s="108">
        <f>IF(OR(LEFT(D64,4)*1&lt;LEFT('General inputs'!$I$16,4)*1,LEFT(D64,4)*1&gt;LEFT('General inputs'!$I$16,4)+'General inputs'!$H$38-1),"",T64/(1+'General inputs'!$H$34)^C64)</f>
        <v>0</v>
      </c>
      <c r="V64" s="88"/>
      <c r="W64" s="87"/>
    </row>
    <row r="65" spans="2:23" x14ac:dyDescent="0.25">
      <c r="B65" s="60"/>
      <c r="C65" s="106">
        <f>IF(D65='General inputs'!$I$16,0,IF(D65&lt;'General inputs'!$I$16,C66-1,C64+1))</f>
        <v>3</v>
      </c>
      <c r="D65" s="106" t="str">
        <f t="shared" si="1"/>
        <v>2021-22</v>
      </c>
      <c r="E65" s="108">
        <f>IF(LEFT(D65,4)*1&gt;LEFT('General inputs'!$I$16,4)+'General inputs'!$H$38-1,"",'ET inputs'!D38)</f>
        <v>270</v>
      </c>
      <c r="F65" s="108">
        <f>IF(LEFT(D65,4)*1&gt;LEFT('General inputs'!$I$16,4)+'General inputs'!$H$38-1,"",E65/(1+'General inputs'!$H$30)^C65)</f>
        <v>247.0882480253531</v>
      </c>
      <c r="G65" s="108">
        <f>IF(LEFT(D65,4)*1&gt;LEFT('General inputs'!$I$16,4)+'General inputs'!$H$38-1,"",E65/(1+'General inputs'!$H$32)^C65)</f>
        <v>233.23615160349851</v>
      </c>
      <c r="H65" s="108">
        <f>IF(LEFT(D65,4)*1&lt;LEFT('General inputs'!$I$16,4)*1,"",IF(LEFT(D65,4)*1&gt;LEFT('General inputs'!$I$16,4)+'General inputs'!$H$38-1,"",E65/(1+'General inputs'!$H$34)^C65))</f>
        <v>233.23615160349851</v>
      </c>
      <c r="I65" s="86"/>
      <c r="J65" s="135"/>
      <c r="K65" s="135"/>
      <c r="L65" s="108" t="str">
        <f>IF(LEFT(D65,4)*1&gt;LEFT('General inputs'!$I$18,4)*1,"",SUMIF('Post-1996 commissioned assets'!$F$22:$F$218,$D65,'Post-1996 commissioned assets'!$P$22:$P$218))</f>
        <v/>
      </c>
      <c r="M65" s="108" t="str">
        <f>IF(L65="","",L65/(1+'General inputs'!$H$32)^C65)</f>
        <v/>
      </c>
      <c r="N65" s="108">
        <f>IF(LEFT(D65,4)*1&lt;LEFT('General inputs'!$I$18,4)*1+1,"",SUMIF('Uncommissioned assets'!$F$22:$F$218,$D65,'Uncommissioned assets'!$P$22:$P$218))</f>
        <v>0</v>
      </c>
      <c r="O65" s="108">
        <f>IF(N65="","",N65/(1+'General inputs'!$H$32)^C65)</f>
        <v>0</v>
      </c>
      <c r="P65" s="86"/>
      <c r="Q65" s="114"/>
      <c r="R65" s="108">
        <f>IF(OR(LEFT(D65,4)*1&lt;LEFT('General inputs'!$I$16,4)*1,LEFT(D65,4)*1&gt;LEFT('General inputs'!$I$16,4)+'General inputs'!$H$38-1),"",Q65/(1+'General inputs'!$H$34)^C65)</f>
        <v>0</v>
      </c>
      <c r="S65" s="86"/>
      <c r="T65" s="114"/>
      <c r="U65" s="108">
        <f>IF(OR(LEFT(D65,4)*1&lt;LEFT('General inputs'!$I$16,4)*1,LEFT(D65,4)*1&gt;LEFT('General inputs'!$I$16,4)+'General inputs'!$H$38-1),"",T65/(1+'General inputs'!$H$34)^C65)</f>
        <v>0</v>
      </c>
      <c r="V65" s="88"/>
      <c r="W65" s="87"/>
    </row>
    <row r="66" spans="2:23" x14ac:dyDescent="0.25">
      <c r="B66" s="60"/>
      <c r="C66" s="106">
        <f>IF(D66='General inputs'!$I$16,0,IF(D66&lt;'General inputs'!$I$16,C67-1,C65+1))</f>
        <v>4</v>
      </c>
      <c r="D66" s="106" t="str">
        <f t="shared" si="1"/>
        <v>2022-23</v>
      </c>
      <c r="E66" s="108">
        <f>IF(LEFT(D66,4)*1&gt;LEFT('General inputs'!$I$16,4)+'General inputs'!$H$38-1,"",'ET inputs'!D39)</f>
        <v>270</v>
      </c>
      <c r="F66" s="108">
        <f>IF(LEFT(D66,4)*1&gt;LEFT('General inputs'!$I$16,4)+'General inputs'!$H$38-1,"",E66/(1+'General inputs'!$H$30)^C66)</f>
        <v>239.89150293723603</v>
      </c>
      <c r="G66" s="108">
        <f>IF(LEFT(D66,4)*1&gt;LEFT('General inputs'!$I$16,4)+'General inputs'!$H$38-1,"",E66/(1+'General inputs'!$H$32)^C66)</f>
        <v>222.12966819380813</v>
      </c>
      <c r="H66" s="108">
        <f>IF(LEFT(D66,4)*1&lt;LEFT('General inputs'!$I$16,4)*1,"",IF(LEFT(D66,4)*1&gt;LEFT('General inputs'!$I$16,4)+'General inputs'!$H$38-1,"",E66/(1+'General inputs'!$H$34)^C66))</f>
        <v>222.12966819380813</v>
      </c>
      <c r="I66" s="86"/>
      <c r="J66" s="135"/>
      <c r="K66" s="135"/>
      <c r="L66" s="108" t="str">
        <f>IF(LEFT(D66,4)*1&gt;LEFT('General inputs'!$I$18,4)*1,"",SUMIF('Post-1996 commissioned assets'!$F$22:$F$218,$D66,'Post-1996 commissioned assets'!$P$22:$P$218))</f>
        <v/>
      </c>
      <c r="M66" s="108" t="str">
        <f>IF(L66="","",L66/(1+'General inputs'!$H$32)^C66)</f>
        <v/>
      </c>
      <c r="N66" s="108">
        <f>IF(LEFT(D66,4)*1&lt;LEFT('General inputs'!$I$18,4)*1+1,"",SUMIF('Uncommissioned assets'!$F$22:$F$218,$D66,'Uncommissioned assets'!$P$22:$P$218))</f>
        <v>0</v>
      </c>
      <c r="O66" s="108">
        <f>IF(N66="","",N66/(1+'General inputs'!$H$32)^C66)</f>
        <v>0</v>
      </c>
      <c r="P66" s="86"/>
      <c r="Q66" s="114"/>
      <c r="R66" s="108">
        <f>IF(OR(LEFT(D66,4)*1&lt;LEFT('General inputs'!$I$16,4)*1,LEFT(D66,4)*1&gt;LEFT('General inputs'!$I$16,4)+'General inputs'!$H$38-1),"",Q66/(1+'General inputs'!$H$34)^C66)</f>
        <v>0</v>
      </c>
      <c r="S66" s="86"/>
      <c r="T66" s="114"/>
      <c r="U66" s="108">
        <f>IF(OR(LEFT(D66,4)*1&lt;LEFT('General inputs'!$I$16,4)*1,LEFT(D66,4)*1&gt;LEFT('General inputs'!$I$16,4)+'General inputs'!$H$38-1),"",T66/(1+'General inputs'!$H$34)^C66)</f>
        <v>0</v>
      </c>
      <c r="V66" s="88"/>
      <c r="W66" s="87"/>
    </row>
    <row r="67" spans="2:23" x14ac:dyDescent="0.25">
      <c r="B67" s="60"/>
      <c r="C67" s="106">
        <f>IF(D67='General inputs'!$I$16,0,IF(D67&lt;'General inputs'!$I$16,C68-1,C66+1))</f>
        <v>5</v>
      </c>
      <c r="D67" s="106" t="str">
        <f t="shared" si="1"/>
        <v>2023-24</v>
      </c>
      <c r="E67" s="108">
        <f>IF(LEFT(D67,4)*1&gt;LEFT('General inputs'!$I$16,4)+'General inputs'!$H$38-1,"",'ET inputs'!D40)</f>
        <v>520</v>
      </c>
      <c r="F67" s="108">
        <f>IF(LEFT(D67,4)*1&gt;LEFT('General inputs'!$I$16,4)+'General inputs'!$H$38-1,"",E67/(1+'General inputs'!$H$30)^C67)</f>
        <v>448.55656787976534</v>
      </c>
      <c r="G67" s="108">
        <f>IF(LEFT(D67,4)*1&gt;LEFT('General inputs'!$I$16,4)+'General inputs'!$H$38-1,"",E67/(1+'General inputs'!$H$32)^C67)</f>
        <v>407.43360656359863</v>
      </c>
      <c r="H67" s="108">
        <f>IF(LEFT(D67,4)*1&lt;LEFT('General inputs'!$I$16,4)*1,"",IF(LEFT(D67,4)*1&gt;LEFT('General inputs'!$I$16,4)+'General inputs'!$H$38-1,"",E67/(1+'General inputs'!$H$34)^C67))</f>
        <v>407.43360656359863</v>
      </c>
      <c r="I67" s="86"/>
      <c r="J67" s="135"/>
      <c r="K67" s="135"/>
      <c r="L67" s="108" t="str">
        <f>IF(LEFT(D67,4)*1&gt;LEFT('General inputs'!$I$18,4)*1,"",SUMIF('Post-1996 commissioned assets'!$F$22:$F$218,$D67,'Post-1996 commissioned assets'!$P$22:$P$218))</f>
        <v/>
      </c>
      <c r="M67" s="108" t="str">
        <f>IF(L67="","",L67/(1+'General inputs'!$H$32)^C67)</f>
        <v/>
      </c>
      <c r="N67" s="108">
        <f>IF(LEFT(D67,4)*1&lt;LEFT('General inputs'!$I$18,4)*1+1,"",SUMIF('Uncommissioned assets'!$F$22:$F$218,$D67,'Uncommissioned assets'!$P$22:$P$218))</f>
        <v>0</v>
      </c>
      <c r="O67" s="108">
        <f>IF(N67="","",N67/(1+'General inputs'!$H$32)^C67)</f>
        <v>0</v>
      </c>
      <c r="P67" s="86"/>
      <c r="Q67" s="114"/>
      <c r="R67" s="108">
        <f>IF(OR(LEFT(D67,4)*1&lt;LEFT('General inputs'!$I$16,4)*1,LEFT(D67,4)*1&gt;LEFT('General inputs'!$I$16,4)+'General inputs'!$H$38-1),"",Q67/(1+'General inputs'!$H$34)^C67)</f>
        <v>0</v>
      </c>
      <c r="S67" s="86"/>
      <c r="T67" s="114"/>
      <c r="U67" s="108">
        <f>IF(OR(LEFT(D67,4)*1&lt;LEFT('General inputs'!$I$16,4)*1,LEFT(D67,4)*1&gt;LEFT('General inputs'!$I$16,4)+'General inputs'!$H$38-1),"",T67/(1+'General inputs'!$H$34)^C67)</f>
        <v>0</v>
      </c>
      <c r="V67" s="88"/>
      <c r="W67" s="87"/>
    </row>
    <row r="68" spans="2:23" x14ac:dyDescent="0.25">
      <c r="B68" s="60"/>
      <c r="C68" s="106">
        <f>IF(D68='General inputs'!$I$16,0,IF(D68&lt;'General inputs'!$I$16,C69-1,C67+1))</f>
        <v>6</v>
      </c>
      <c r="D68" s="106" t="str">
        <f t="shared" si="1"/>
        <v>2024-25</v>
      </c>
      <c r="E68" s="108">
        <f>IF(LEFT(D68,4)*1&gt;LEFT('General inputs'!$I$16,4)+'General inputs'!$H$38-1,"",'ET inputs'!D41)</f>
        <v>520</v>
      </c>
      <c r="F68" s="108">
        <f>IF(LEFT(D68,4)*1&gt;LEFT('General inputs'!$I$16,4)+'General inputs'!$H$38-1,"",E68/(1+'General inputs'!$H$30)^C68)</f>
        <v>435.49181347550029</v>
      </c>
      <c r="G68" s="108">
        <f>IF(LEFT(D68,4)*1&gt;LEFT('General inputs'!$I$16,4)+'General inputs'!$H$38-1,"",E68/(1+'General inputs'!$H$32)^C68)</f>
        <v>388.03200625104637</v>
      </c>
      <c r="H68" s="108">
        <f>IF(LEFT(D68,4)*1&lt;LEFT('General inputs'!$I$16,4)*1,"",IF(LEFT(D68,4)*1&gt;LEFT('General inputs'!$I$16,4)+'General inputs'!$H$38-1,"",E68/(1+'General inputs'!$H$34)^C68))</f>
        <v>388.03200625104637</v>
      </c>
      <c r="I68" s="86"/>
      <c r="J68" s="135"/>
      <c r="K68" s="135"/>
      <c r="L68" s="108" t="str">
        <f>IF(LEFT(D68,4)*1&gt;LEFT('General inputs'!$I$18,4)*1,"",SUMIF('Post-1996 commissioned assets'!$F$22:$F$218,$D68,'Post-1996 commissioned assets'!$P$22:$P$218))</f>
        <v/>
      </c>
      <c r="M68" s="108" t="str">
        <f>IF(L68="","",L68/(1+'General inputs'!$H$32)^C68)</f>
        <v/>
      </c>
      <c r="N68" s="108">
        <f>IF(LEFT(D68,4)*1&lt;LEFT('General inputs'!$I$18,4)*1+1,"",SUMIF('Uncommissioned assets'!$F$22:$F$218,$D68,'Uncommissioned assets'!$P$22:$P$218))</f>
        <v>0</v>
      </c>
      <c r="O68" s="108">
        <f>IF(N68="","",N68/(1+'General inputs'!$H$32)^C68)</f>
        <v>0</v>
      </c>
      <c r="P68" s="86"/>
      <c r="Q68" s="114"/>
      <c r="R68" s="108">
        <f>IF(OR(LEFT(D68,4)*1&lt;LEFT('General inputs'!$I$16,4)*1,LEFT(D68,4)*1&gt;LEFT('General inputs'!$I$16,4)+'General inputs'!$H$38-1),"",Q68/(1+'General inputs'!$H$34)^C68)</f>
        <v>0</v>
      </c>
      <c r="S68" s="86"/>
      <c r="T68" s="114"/>
      <c r="U68" s="108">
        <f>IF(OR(LEFT(D68,4)*1&lt;LEFT('General inputs'!$I$16,4)*1,LEFT(D68,4)*1&gt;LEFT('General inputs'!$I$16,4)+'General inputs'!$H$38-1),"",T68/(1+'General inputs'!$H$34)^C68)</f>
        <v>0</v>
      </c>
      <c r="V68" s="88"/>
      <c r="W68" s="87"/>
    </row>
    <row r="69" spans="2:23" x14ac:dyDescent="0.25">
      <c r="B69" s="60"/>
      <c r="C69" s="106">
        <f>IF(D69='General inputs'!$I$16,0,IF(D69&lt;'General inputs'!$I$16,C70-1,C68+1))</f>
        <v>7</v>
      </c>
      <c r="D69" s="106" t="str">
        <f t="shared" si="1"/>
        <v>2025-26</v>
      </c>
      <c r="E69" s="108">
        <f>IF(LEFT(D69,4)*1&gt;LEFT('General inputs'!$I$16,4)+'General inputs'!$H$38-1,"",'ET inputs'!D42)</f>
        <v>520</v>
      </c>
      <c r="F69" s="108">
        <f>IF(LEFT(D69,4)*1&gt;LEFT('General inputs'!$I$16,4)+'General inputs'!$H$38-1,"",E69/(1+'General inputs'!$H$30)^C69)</f>
        <v>422.80758589854395</v>
      </c>
      <c r="G69" s="108">
        <f>IF(LEFT(D69,4)*1&gt;LEFT('General inputs'!$I$16,4)+'General inputs'!$H$38-1,"",E69/(1+'General inputs'!$H$32)^C69)</f>
        <v>369.55429166766316</v>
      </c>
      <c r="H69" s="108">
        <f>IF(LEFT(D69,4)*1&lt;LEFT('General inputs'!$I$16,4)*1,"",IF(LEFT(D69,4)*1&gt;LEFT('General inputs'!$I$16,4)+'General inputs'!$H$38-1,"",E69/(1+'General inputs'!$H$34)^C69))</f>
        <v>369.55429166766316</v>
      </c>
      <c r="I69" s="86"/>
      <c r="J69" s="135"/>
      <c r="K69" s="135"/>
      <c r="L69" s="108" t="str">
        <f>IF(LEFT(D69,4)*1&gt;LEFT('General inputs'!$I$18,4)*1,"",SUMIF('Post-1996 commissioned assets'!$F$22:$F$218,$D69,'Post-1996 commissioned assets'!$P$22:$P$218))</f>
        <v/>
      </c>
      <c r="M69" s="108" t="str">
        <f>IF(L69="","",L69/(1+'General inputs'!$H$32)^C69)</f>
        <v/>
      </c>
      <c r="N69" s="108">
        <f>IF(LEFT(D69,4)*1&lt;LEFT('General inputs'!$I$18,4)*1+1,"",SUMIF('Uncommissioned assets'!$F$22:$F$218,$D69,'Uncommissioned assets'!$P$22:$P$218))</f>
        <v>5000000</v>
      </c>
      <c r="O69" s="108">
        <f>IF(N69="","",N69/(1+'General inputs'!$H$32)^C69)</f>
        <v>3553406.6506506074</v>
      </c>
      <c r="P69" s="86"/>
      <c r="Q69" s="114"/>
      <c r="R69" s="108">
        <f>IF(OR(LEFT(D69,4)*1&lt;LEFT('General inputs'!$I$16,4)*1,LEFT(D69,4)*1&gt;LEFT('General inputs'!$I$16,4)+'General inputs'!$H$38-1),"",Q69/(1+'General inputs'!$H$34)^C69)</f>
        <v>0</v>
      </c>
      <c r="S69" s="86"/>
      <c r="T69" s="114"/>
      <c r="U69" s="108">
        <f>IF(OR(LEFT(D69,4)*1&lt;LEFT('General inputs'!$I$16,4)*1,LEFT(D69,4)*1&gt;LEFT('General inputs'!$I$16,4)+'General inputs'!$H$38-1),"",T69/(1+'General inputs'!$H$34)^C69)</f>
        <v>0</v>
      </c>
      <c r="V69" s="88"/>
      <c r="W69" s="87"/>
    </row>
    <row r="70" spans="2:23" x14ac:dyDescent="0.25">
      <c r="B70" s="60"/>
      <c r="C70" s="106">
        <f>IF(D70='General inputs'!$I$16,0,IF(D70&lt;'General inputs'!$I$16,C71-1,C69+1))</f>
        <v>8</v>
      </c>
      <c r="D70" s="106" t="str">
        <f t="shared" si="1"/>
        <v>2026-27</v>
      </c>
      <c r="E70" s="108">
        <f>IF(LEFT(D70,4)*1&gt;LEFT('General inputs'!$I$16,4)+'General inputs'!$H$38-1,"",'ET inputs'!D43)</f>
        <v>520</v>
      </c>
      <c r="F70" s="108">
        <f>IF(LEFT(D70,4)*1&gt;LEFT('General inputs'!$I$16,4)+'General inputs'!$H$38-1,"",E70/(1+'General inputs'!$H$30)^C70)</f>
        <v>410.49280184324658</v>
      </c>
      <c r="G70" s="108">
        <f>IF(LEFT(D70,4)*1&gt;LEFT('General inputs'!$I$16,4)+'General inputs'!$H$38-1,"",E70/(1+'General inputs'!$H$32)^C70)</f>
        <v>351.95646825491735</v>
      </c>
      <c r="H70" s="108">
        <f>IF(LEFT(D70,4)*1&lt;LEFT('General inputs'!$I$16,4)*1,"",IF(LEFT(D70,4)*1&gt;LEFT('General inputs'!$I$16,4)+'General inputs'!$H$38-1,"",E70/(1+'General inputs'!$H$34)^C70))</f>
        <v>351.95646825491735</v>
      </c>
      <c r="I70" s="86"/>
      <c r="J70" s="135"/>
      <c r="K70" s="135"/>
      <c r="L70" s="108" t="str">
        <f>IF(LEFT(D70,4)*1&gt;LEFT('General inputs'!$I$18,4)*1,"",SUMIF('Post-1996 commissioned assets'!$F$22:$F$218,$D70,'Post-1996 commissioned assets'!$P$22:$P$218))</f>
        <v/>
      </c>
      <c r="M70" s="108" t="str">
        <f>IF(L70="","",L70/(1+'General inputs'!$H$32)^C70)</f>
        <v/>
      </c>
      <c r="N70" s="108">
        <f>IF(LEFT(D70,4)*1&lt;LEFT('General inputs'!$I$18,4)*1+1,"",SUMIF('Uncommissioned assets'!$F$22:$F$218,$D70,'Uncommissioned assets'!$P$22:$P$218))</f>
        <v>0</v>
      </c>
      <c r="O70" s="108">
        <f>IF(N70="","",N70/(1+'General inputs'!$H$32)^C70)</f>
        <v>0</v>
      </c>
      <c r="P70" s="86"/>
      <c r="Q70" s="114"/>
      <c r="R70" s="108">
        <f>IF(OR(LEFT(D70,4)*1&lt;LEFT('General inputs'!$I$16,4)*1,LEFT(D70,4)*1&gt;LEFT('General inputs'!$I$16,4)+'General inputs'!$H$38-1),"",Q70/(1+'General inputs'!$H$34)^C70)</f>
        <v>0</v>
      </c>
      <c r="S70" s="86"/>
      <c r="T70" s="114"/>
      <c r="U70" s="108">
        <f>IF(OR(LEFT(D70,4)*1&lt;LEFT('General inputs'!$I$16,4)*1,LEFT(D70,4)*1&gt;LEFT('General inputs'!$I$16,4)+'General inputs'!$H$38-1),"",T70/(1+'General inputs'!$H$34)^C70)</f>
        <v>0</v>
      </c>
      <c r="V70" s="88"/>
      <c r="W70" s="87"/>
    </row>
    <row r="71" spans="2:23" x14ac:dyDescent="0.25">
      <c r="B71" s="60"/>
      <c r="C71" s="106">
        <f>IF(D71='General inputs'!$I$16,0,IF(D71&lt;'General inputs'!$I$16,C72-1,C70+1))</f>
        <v>9</v>
      </c>
      <c r="D71" s="106" t="str">
        <f t="shared" si="1"/>
        <v>2027-28</v>
      </c>
      <c r="E71" s="108">
        <f>IF(LEFT(D71,4)*1&gt;LEFT('General inputs'!$I$16,4)+'General inputs'!$H$38-1,"",'ET inputs'!D44)</f>
        <v>520</v>
      </c>
      <c r="F71" s="108">
        <f>IF(LEFT(D71,4)*1&gt;LEFT('General inputs'!$I$16,4)+'General inputs'!$H$38-1,"",E71/(1+'General inputs'!$H$30)^C71)</f>
        <v>398.53670081868603</v>
      </c>
      <c r="G71" s="108">
        <f>IF(LEFT(D71,4)*1&gt;LEFT('General inputs'!$I$16,4)+'General inputs'!$H$38-1,"",E71/(1+'General inputs'!$H$32)^C71)</f>
        <v>335.19663643325458</v>
      </c>
      <c r="H71" s="108">
        <f>IF(LEFT(D71,4)*1&lt;LEFT('General inputs'!$I$16,4)*1,"",IF(LEFT(D71,4)*1&gt;LEFT('General inputs'!$I$16,4)+'General inputs'!$H$38-1,"",E71/(1+'General inputs'!$H$34)^C71))</f>
        <v>335.19663643325458</v>
      </c>
      <c r="I71" s="86"/>
      <c r="J71" s="135"/>
      <c r="K71" s="135"/>
      <c r="L71" s="108" t="str">
        <f>IF(LEFT(D71,4)*1&gt;LEFT('General inputs'!$I$18,4)*1,"",SUMIF('Post-1996 commissioned assets'!$F$22:$F$218,$D71,'Post-1996 commissioned assets'!$P$22:$P$218))</f>
        <v/>
      </c>
      <c r="M71" s="108" t="str">
        <f>IF(L71="","",L71/(1+'General inputs'!$H$32)^C71)</f>
        <v/>
      </c>
      <c r="N71" s="108">
        <f>IF(LEFT(D71,4)*1&lt;LEFT('General inputs'!$I$18,4)*1+1,"",SUMIF('Uncommissioned assets'!$F$22:$F$218,$D71,'Uncommissioned assets'!$P$22:$P$218))</f>
        <v>0</v>
      </c>
      <c r="O71" s="108">
        <f>IF(N71="","",N71/(1+'General inputs'!$H$32)^C71)</f>
        <v>0</v>
      </c>
      <c r="P71" s="86"/>
      <c r="Q71" s="114"/>
      <c r="R71" s="108">
        <f>IF(OR(LEFT(D71,4)*1&lt;LEFT('General inputs'!$I$16,4)*1,LEFT(D71,4)*1&gt;LEFT('General inputs'!$I$16,4)+'General inputs'!$H$38-1),"",Q71/(1+'General inputs'!$H$34)^C71)</f>
        <v>0</v>
      </c>
      <c r="S71" s="86"/>
      <c r="T71" s="114"/>
      <c r="U71" s="108">
        <f>IF(OR(LEFT(D71,4)*1&lt;LEFT('General inputs'!$I$16,4)*1,LEFT(D71,4)*1&gt;LEFT('General inputs'!$I$16,4)+'General inputs'!$H$38-1),"",T71/(1+'General inputs'!$H$34)^C71)</f>
        <v>0</v>
      </c>
      <c r="V71" s="88"/>
      <c r="W71" s="87"/>
    </row>
    <row r="72" spans="2:23" x14ac:dyDescent="0.25">
      <c r="B72" s="60"/>
      <c r="C72" s="106">
        <f>IF(D72='General inputs'!$I$16,0,IF(D72&lt;'General inputs'!$I$16,C73-1,C71+1))</f>
        <v>10</v>
      </c>
      <c r="D72" s="106" t="str">
        <f t="shared" si="1"/>
        <v>2028-29</v>
      </c>
      <c r="E72" s="108">
        <f>IF(LEFT(D72,4)*1&gt;LEFT('General inputs'!$I$16,4)+'General inputs'!$H$38-1,"",'ET inputs'!D45)</f>
        <v>520</v>
      </c>
      <c r="F72" s="108">
        <f>IF(LEFT(D72,4)*1&gt;LEFT('General inputs'!$I$16,4)+'General inputs'!$H$38-1,"",E72/(1+'General inputs'!$H$30)^C72)</f>
        <v>386.92883574629712</v>
      </c>
      <c r="G72" s="108">
        <f>IF(LEFT(D72,4)*1&gt;LEFT('General inputs'!$I$16,4)+'General inputs'!$H$38-1,"",E72/(1+'General inputs'!$H$32)^C72)</f>
        <v>319.23489184119484</v>
      </c>
      <c r="H72" s="108">
        <f>IF(LEFT(D72,4)*1&lt;LEFT('General inputs'!$I$16,4)*1,"",IF(LEFT(D72,4)*1&gt;LEFT('General inputs'!$I$16,4)+'General inputs'!$H$38-1,"",E72/(1+'General inputs'!$H$34)^C72))</f>
        <v>319.23489184119484</v>
      </c>
      <c r="I72" s="86"/>
      <c r="J72" s="135"/>
      <c r="K72" s="135"/>
      <c r="L72" s="108" t="str">
        <f>IF(LEFT(D72,4)*1&gt;LEFT('General inputs'!$I$18,4)*1,"",SUMIF('Post-1996 commissioned assets'!$F$22:$F$218,$D72,'Post-1996 commissioned assets'!$P$22:$P$218))</f>
        <v/>
      </c>
      <c r="M72" s="108" t="str">
        <f>IF(L72="","",L72/(1+'General inputs'!$H$32)^C72)</f>
        <v/>
      </c>
      <c r="N72" s="108">
        <f>IF(LEFT(D72,4)*1&lt;LEFT('General inputs'!$I$18,4)*1+1,"",SUMIF('Uncommissioned assets'!$F$22:$F$218,$D72,'Uncommissioned assets'!$P$22:$P$218))</f>
        <v>0</v>
      </c>
      <c r="O72" s="108">
        <f>IF(N72="","",N72/(1+'General inputs'!$H$32)^C72)</f>
        <v>0</v>
      </c>
      <c r="P72" s="86"/>
      <c r="Q72" s="114"/>
      <c r="R72" s="108">
        <f>IF(OR(LEFT(D72,4)*1&lt;LEFT('General inputs'!$I$16,4)*1,LEFT(D72,4)*1&gt;LEFT('General inputs'!$I$16,4)+'General inputs'!$H$38-1),"",Q72/(1+'General inputs'!$H$34)^C72)</f>
        <v>0</v>
      </c>
      <c r="S72" s="86"/>
      <c r="T72" s="114"/>
      <c r="U72" s="108">
        <f>IF(OR(LEFT(D72,4)*1&lt;LEFT('General inputs'!$I$16,4)*1,LEFT(D72,4)*1&gt;LEFT('General inputs'!$I$16,4)+'General inputs'!$H$38-1),"",T72/(1+'General inputs'!$H$34)^C72)</f>
        <v>0</v>
      </c>
      <c r="V72" s="88"/>
      <c r="W72" s="87"/>
    </row>
    <row r="73" spans="2:23" x14ac:dyDescent="0.25">
      <c r="B73" s="60"/>
      <c r="C73" s="106">
        <f>IF(D73='General inputs'!$I$16,0,IF(D73&lt;'General inputs'!$I$16,C74-1,C72+1))</f>
        <v>11</v>
      </c>
      <c r="D73" s="106" t="str">
        <f t="shared" si="1"/>
        <v>2029-30</v>
      </c>
      <c r="E73" s="108">
        <f>IF(LEFT(D73,4)*1&gt;LEFT('General inputs'!$I$16,4)+'General inputs'!$H$38-1,"",'ET inputs'!D46)</f>
        <v>520</v>
      </c>
      <c r="F73" s="108">
        <f>IF(LEFT(D73,4)*1&gt;LEFT('General inputs'!$I$16,4)+'General inputs'!$H$38-1,"",E73/(1+'General inputs'!$H$30)^C73)</f>
        <v>375.65906383135638</v>
      </c>
      <c r="G73" s="108">
        <f>IF(LEFT(D73,4)*1&gt;LEFT('General inputs'!$I$16,4)+'General inputs'!$H$38-1,"",E73/(1+'General inputs'!$H$32)^C73)</f>
        <v>304.03323032494745</v>
      </c>
      <c r="H73" s="108">
        <f>IF(LEFT(D73,4)*1&lt;LEFT('General inputs'!$I$16,4)*1,"",IF(LEFT(D73,4)*1&gt;LEFT('General inputs'!$I$16,4)+'General inputs'!$H$38-1,"",E73/(1+'General inputs'!$H$34)^C73))</f>
        <v>304.03323032494745</v>
      </c>
      <c r="I73" s="86"/>
      <c r="J73" s="135"/>
      <c r="K73" s="135"/>
      <c r="L73" s="108" t="str">
        <f>IF(LEFT(D73,4)*1&gt;LEFT('General inputs'!$I$18,4)*1,"",SUMIF('Post-1996 commissioned assets'!$F$22:$F$218,$D73,'Post-1996 commissioned assets'!$P$22:$P$218))</f>
        <v/>
      </c>
      <c r="M73" s="108" t="str">
        <f>IF(L73="","",L73/(1+'General inputs'!$H$32)^C73)</f>
        <v/>
      </c>
      <c r="N73" s="108">
        <f>IF(LEFT(D73,4)*1&lt;LEFT('General inputs'!$I$18,4)*1+1,"",SUMIF('Uncommissioned assets'!$F$22:$F$218,$D73,'Uncommissioned assets'!$P$22:$P$218))</f>
        <v>0</v>
      </c>
      <c r="O73" s="108">
        <f>IF(N73="","",N73/(1+'General inputs'!$H$32)^C73)</f>
        <v>0</v>
      </c>
      <c r="P73" s="86"/>
      <c r="Q73" s="114"/>
      <c r="R73" s="108">
        <f>IF(OR(LEFT(D73,4)*1&lt;LEFT('General inputs'!$I$16,4)*1,LEFT(D73,4)*1&gt;LEFT('General inputs'!$I$16,4)+'General inputs'!$H$38-1),"",Q73/(1+'General inputs'!$H$34)^C73)</f>
        <v>0</v>
      </c>
      <c r="S73" s="86"/>
      <c r="T73" s="114"/>
      <c r="U73" s="108">
        <f>IF(OR(LEFT(D73,4)*1&lt;LEFT('General inputs'!$I$16,4)*1,LEFT(D73,4)*1&gt;LEFT('General inputs'!$I$16,4)+'General inputs'!$H$38-1),"",T73/(1+'General inputs'!$H$34)^C73)</f>
        <v>0</v>
      </c>
      <c r="V73" s="88"/>
      <c r="W73" s="87"/>
    </row>
    <row r="74" spans="2:23" x14ac:dyDescent="0.25">
      <c r="B74" s="60"/>
      <c r="C74" s="106">
        <f>IF(D74='General inputs'!$I$16,0,IF(D74&lt;'General inputs'!$I$16,C75-1,C73+1))</f>
        <v>12</v>
      </c>
      <c r="D74" s="106" t="str">
        <f t="shared" si="1"/>
        <v>2030-31</v>
      </c>
      <c r="E74" s="108">
        <f>IF(LEFT(D74,4)*1&gt;LEFT('General inputs'!$I$16,4)+'General inputs'!$H$38-1,"",'ET inputs'!D47)</f>
        <v>520</v>
      </c>
      <c r="F74" s="108">
        <f>IF(LEFT(D74,4)*1&gt;LEFT('General inputs'!$I$16,4)+'General inputs'!$H$38-1,"",E74/(1+'General inputs'!$H$30)^C74)</f>
        <v>364.71753770034604</v>
      </c>
      <c r="G74" s="108">
        <f>IF(LEFT(D74,4)*1&gt;LEFT('General inputs'!$I$16,4)+'General inputs'!$H$38-1,"",E74/(1+'General inputs'!$H$32)^C74)</f>
        <v>289.55545745233093</v>
      </c>
      <c r="H74" s="108">
        <f>IF(LEFT(D74,4)*1&lt;LEFT('General inputs'!$I$16,4)*1,"",IF(LEFT(D74,4)*1&gt;LEFT('General inputs'!$I$16,4)+'General inputs'!$H$38-1,"",E74/(1+'General inputs'!$H$34)^C74))</f>
        <v>289.55545745233093</v>
      </c>
      <c r="I74" s="86"/>
      <c r="J74" s="135"/>
      <c r="K74" s="135"/>
      <c r="L74" s="108" t="str">
        <f>IF(LEFT(D74,4)*1&gt;LEFT('General inputs'!$I$18,4)*1,"",SUMIF('Post-1996 commissioned assets'!$F$22:$F$218,$D74,'Post-1996 commissioned assets'!$P$22:$P$218))</f>
        <v/>
      </c>
      <c r="M74" s="108" t="str">
        <f>IF(L74="","",L74/(1+'General inputs'!$H$32)^C74)</f>
        <v/>
      </c>
      <c r="N74" s="108">
        <f>IF(LEFT(D74,4)*1&lt;LEFT('General inputs'!$I$18,4)*1+1,"",SUMIF('Uncommissioned assets'!$F$22:$F$218,$D74,'Uncommissioned assets'!$P$22:$P$218))</f>
        <v>0</v>
      </c>
      <c r="O74" s="108">
        <f>IF(N74="","",N74/(1+'General inputs'!$H$32)^C74)</f>
        <v>0</v>
      </c>
      <c r="P74" s="86"/>
      <c r="Q74" s="114"/>
      <c r="R74" s="108">
        <f>IF(OR(LEFT(D74,4)*1&lt;LEFT('General inputs'!$I$16,4)*1,LEFT(D74,4)*1&gt;LEFT('General inputs'!$I$16,4)+'General inputs'!$H$38-1),"",Q74/(1+'General inputs'!$H$34)^C74)</f>
        <v>0</v>
      </c>
      <c r="S74" s="86"/>
      <c r="T74" s="114"/>
      <c r="U74" s="108">
        <f>IF(OR(LEFT(D74,4)*1&lt;LEFT('General inputs'!$I$16,4)*1,LEFT(D74,4)*1&gt;LEFT('General inputs'!$I$16,4)+'General inputs'!$H$38-1),"",T74/(1+'General inputs'!$H$34)^C74)</f>
        <v>0</v>
      </c>
      <c r="V74" s="88"/>
      <c r="W74" s="87"/>
    </row>
    <row r="75" spans="2:23" x14ac:dyDescent="0.25">
      <c r="B75" s="60"/>
      <c r="C75" s="106">
        <f>IF(D75='General inputs'!$I$16,0,IF(D75&lt;'General inputs'!$I$16,C76-1,C74+1))</f>
        <v>13</v>
      </c>
      <c r="D75" s="106" t="str">
        <f t="shared" si="1"/>
        <v>2031-32</v>
      </c>
      <c r="E75" s="108">
        <f>IF(LEFT(D75,4)*1&gt;LEFT('General inputs'!$I$16,4)+'General inputs'!$H$38-1,"",'ET inputs'!D48)</f>
        <v>520</v>
      </c>
      <c r="F75" s="108">
        <f>IF(LEFT(D75,4)*1&gt;LEFT('General inputs'!$I$16,4)+'General inputs'!$H$38-1,"",E75/(1+'General inputs'!$H$30)^C75)</f>
        <v>354.09469679645252</v>
      </c>
      <c r="G75" s="108">
        <f>IF(LEFT(D75,4)*1&gt;LEFT('General inputs'!$I$16,4)+'General inputs'!$H$38-1,"",E75/(1+'General inputs'!$H$32)^C75)</f>
        <v>275.7671023355532</v>
      </c>
      <c r="H75" s="108">
        <f>IF(LEFT(D75,4)*1&lt;LEFT('General inputs'!$I$16,4)*1,"",IF(LEFT(D75,4)*1&gt;LEFT('General inputs'!$I$16,4)+'General inputs'!$H$38-1,"",E75/(1+'General inputs'!$H$34)^C75))</f>
        <v>275.7671023355532</v>
      </c>
      <c r="I75" s="86"/>
      <c r="J75" s="135"/>
      <c r="K75" s="135"/>
      <c r="L75" s="108" t="str">
        <f>IF(LEFT(D75,4)*1&gt;LEFT('General inputs'!$I$18,4)*1,"",SUMIF('Post-1996 commissioned assets'!$F$22:$F$218,$D75,'Post-1996 commissioned assets'!$P$22:$P$218))</f>
        <v/>
      </c>
      <c r="M75" s="108" t="str">
        <f>IF(L75="","",L75/(1+'General inputs'!$H$32)^C75)</f>
        <v/>
      </c>
      <c r="N75" s="108">
        <f>IF(LEFT(D75,4)*1&lt;LEFT('General inputs'!$I$18,4)*1+1,"",SUMIF('Uncommissioned assets'!$F$22:$F$218,$D75,'Uncommissioned assets'!$P$22:$P$218))</f>
        <v>0</v>
      </c>
      <c r="O75" s="108">
        <f>IF(N75="","",N75/(1+'General inputs'!$H$32)^C75)</f>
        <v>0</v>
      </c>
      <c r="P75" s="86"/>
      <c r="Q75" s="114"/>
      <c r="R75" s="108">
        <f>IF(OR(LEFT(D75,4)*1&lt;LEFT('General inputs'!$I$16,4)*1,LEFT(D75,4)*1&gt;LEFT('General inputs'!$I$16,4)+'General inputs'!$H$38-1),"",Q75/(1+'General inputs'!$H$34)^C75)</f>
        <v>0</v>
      </c>
      <c r="S75" s="86"/>
      <c r="T75" s="114"/>
      <c r="U75" s="108">
        <f>IF(OR(LEFT(D75,4)*1&lt;LEFT('General inputs'!$I$16,4)*1,LEFT(D75,4)*1&gt;LEFT('General inputs'!$I$16,4)+'General inputs'!$H$38-1),"",T75/(1+'General inputs'!$H$34)^C75)</f>
        <v>0</v>
      </c>
      <c r="V75" s="88"/>
      <c r="W75" s="87"/>
    </row>
    <row r="76" spans="2:23" x14ac:dyDescent="0.25">
      <c r="B76" s="60"/>
      <c r="C76" s="106">
        <f>IF(D76='General inputs'!$I$16,0,IF(D76&lt;'General inputs'!$I$16,C77-1,C75+1))</f>
        <v>14</v>
      </c>
      <c r="D76" s="106" t="str">
        <f t="shared" si="1"/>
        <v>2032-33</v>
      </c>
      <c r="E76" s="108">
        <f>IF(LEFT(D76,4)*1&gt;LEFT('General inputs'!$I$16,4)+'General inputs'!$H$38-1,"",'ET inputs'!D49)</f>
        <v>270</v>
      </c>
      <c r="F76" s="108">
        <f>IF(LEFT(D76,4)*1&gt;LEFT('General inputs'!$I$16,4)+'General inputs'!$H$38-1,"",E76/(1+'General inputs'!$H$30)^C76)</f>
        <v>178.5018075710272</v>
      </c>
      <c r="G76" s="108">
        <f>IF(LEFT(D76,4)*1&gt;LEFT('General inputs'!$I$16,4)+'General inputs'!$H$38-1,"",E76/(1+'General inputs'!$H$32)^C76)</f>
        <v>136.36834730879008</v>
      </c>
      <c r="H76" s="108">
        <f>IF(LEFT(D76,4)*1&lt;LEFT('General inputs'!$I$16,4)*1,"",IF(LEFT(D76,4)*1&gt;LEFT('General inputs'!$I$16,4)+'General inputs'!$H$38-1,"",E76/(1+'General inputs'!$H$34)^C76))</f>
        <v>136.36834730879008</v>
      </c>
      <c r="I76" s="86"/>
      <c r="J76" s="135"/>
      <c r="K76" s="135"/>
      <c r="L76" s="108" t="str">
        <f>IF(LEFT(D76,4)*1&gt;LEFT('General inputs'!$I$18,4)*1,"",SUMIF('Post-1996 commissioned assets'!$F$22:$F$218,$D76,'Post-1996 commissioned assets'!$P$22:$P$218))</f>
        <v/>
      </c>
      <c r="M76" s="108" t="str">
        <f>IF(L76="","",L76/(1+'General inputs'!$H$32)^C76)</f>
        <v/>
      </c>
      <c r="N76" s="108">
        <f>IF(LEFT(D76,4)*1&lt;LEFT('General inputs'!$I$18,4)*1+1,"",SUMIF('Uncommissioned assets'!$F$22:$F$218,$D76,'Uncommissioned assets'!$P$22:$P$218))</f>
        <v>0</v>
      </c>
      <c r="O76" s="108">
        <f>IF(N76="","",N76/(1+'General inputs'!$H$32)^C76)</f>
        <v>0</v>
      </c>
      <c r="P76" s="86"/>
      <c r="Q76" s="114"/>
      <c r="R76" s="108">
        <f>IF(OR(LEFT(D76,4)*1&lt;LEFT('General inputs'!$I$16,4)*1,LEFT(D76,4)*1&gt;LEFT('General inputs'!$I$16,4)+'General inputs'!$H$38-1),"",Q76/(1+'General inputs'!$H$34)^C76)</f>
        <v>0</v>
      </c>
      <c r="S76" s="86"/>
      <c r="T76" s="114"/>
      <c r="U76" s="108">
        <f>IF(OR(LEFT(D76,4)*1&lt;LEFT('General inputs'!$I$16,4)*1,LEFT(D76,4)*1&gt;LEFT('General inputs'!$I$16,4)+'General inputs'!$H$38-1),"",T76/(1+'General inputs'!$H$34)^C76)</f>
        <v>0</v>
      </c>
      <c r="V76" s="88"/>
      <c r="W76" s="87"/>
    </row>
    <row r="77" spans="2:23" x14ac:dyDescent="0.25">
      <c r="B77" s="60"/>
      <c r="C77" s="106">
        <f>IF(D77='General inputs'!$I$16,0,IF(D77&lt;'General inputs'!$I$16,C78-1,C76+1))</f>
        <v>15</v>
      </c>
      <c r="D77" s="106" t="str">
        <f t="shared" si="1"/>
        <v>2033-34</v>
      </c>
      <c r="E77" s="108">
        <f>IF(LEFT(D77,4)*1&gt;LEFT('General inputs'!$I$16,4)+'General inputs'!$H$38-1,"",'ET inputs'!D50)</f>
        <v>270</v>
      </c>
      <c r="F77" s="108">
        <f>IF(LEFT(D77,4)*1&gt;LEFT('General inputs'!$I$16,4)+'General inputs'!$H$38-1,"",E77/(1+'General inputs'!$H$30)^C77)</f>
        <v>173.30272579711377</v>
      </c>
      <c r="G77" s="108">
        <f>IF(LEFT(D77,4)*1&gt;LEFT('General inputs'!$I$16,4)+'General inputs'!$H$38-1,"",E77/(1+'General inputs'!$H$32)^C77)</f>
        <v>129.87461648456195</v>
      </c>
      <c r="H77" s="108">
        <f>IF(LEFT(D77,4)*1&lt;LEFT('General inputs'!$I$16,4)*1,"",IF(LEFT(D77,4)*1&gt;LEFT('General inputs'!$I$16,4)+'General inputs'!$H$38-1,"",E77/(1+'General inputs'!$H$34)^C77))</f>
        <v>129.87461648456195</v>
      </c>
      <c r="I77" s="86"/>
      <c r="J77" s="135"/>
      <c r="K77" s="135"/>
      <c r="L77" s="108" t="str">
        <f>IF(LEFT(D77,4)*1&gt;LEFT('General inputs'!$I$18,4)*1,"",SUMIF('Post-1996 commissioned assets'!$F$22:$F$218,$D77,'Post-1996 commissioned assets'!$P$22:$P$218))</f>
        <v/>
      </c>
      <c r="M77" s="108" t="str">
        <f>IF(L77="","",L77/(1+'General inputs'!$H$32)^C77)</f>
        <v/>
      </c>
      <c r="N77" s="108">
        <f>IF(LEFT(D77,4)*1&lt;LEFT('General inputs'!$I$18,4)*1+1,"",SUMIF('Uncommissioned assets'!$F$22:$F$218,$D77,'Uncommissioned assets'!$P$22:$P$218))</f>
        <v>0</v>
      </c>
      <c r="O77" s="108">
        <f>IF(N77="","",N77/(1+'General inputs'!$H$32)^C77)</f>
        <v>0</v>
      </c>
      <c r="P77" s="86"/>
      <c r="Q77" s="114"/>
      <c r="R77" s="108">
        <f>IF(OR(LEFT(D77,4)*1&lt;LEFT('General inputs'!$I$16,4)*1,LEFT(D77,4)*1&gt;LEFT('General inputs'!$I$16,4)+'General inputs'!$H$38-1),"",Q77/(1+'General inputs'!$H$34)^C77)</f>
        <v>0</v>
      </c>
      <c r="S77" s="86"/>
      <c r="T77" s="114"/>
      <c r="U77" s="108">
        <f>IF(OR(LEFT(D77,4)*1&lt;LEFT('General inputs'!$I$16,4)*1,LEFT(D77,4)*1&gt;LEFT('General inputs'!$I$16,4)+'General inputs'!$H$38-1),"",T77/(1+'General inputs'!$H$34)^C77)</f>
        <v>0</v>
      </c>
      <c r="V77" s="88"/>
      <c r="W77" s="87"/>
    </row>
    <row r="78" spans="2:23" x14ac:dyDescent="0.25">
      <c r="B78" s="60"/>
      <c r="C78" s="106">
        <f>IF(D78='General inputs'!$I$16,0,IF(D78&lt;'General inputs'!$I$16,C79-1,C77+1))</f>
        <v>16</v>
      </c>
      <c r="D78" s="106" t="str">
        <f t="shared" si="1"/>
        <v>2034-35</v>
      </c>
      <c r="E78" s="108">
        <f>IF(LEFT(D78,4)*1&gt;LEFT('General inputs'!$I$16,4)+'General inputs'!$H$38-1,"",'ET inputs'!D51)</f>
        <v>270</v>
      </c>
      <c r="F78" s="108">
        <f>IF(LEFT(D78,4)*1&gt;LEFT('General inputs'!$I$16,4)+'General inputs'!$H$38-1,"",E78/(1+'General inputs'!$H$30)^C78)</f>
        <v>168.25507358943088</v>
      </c>
      <c r="G78" s="108">
        <f>IF(LEFT(D78,4)*1&gt;LEFT('General inputs'!$I$16,4)+'General inputs'!$H$38-1,"",E78/(1+'General inputs'!$H$32)^C78)</f>
        <v>123.69011093767806</v>
      </c>
      <c r="H78" s="108">
        <f>IF(LEFT(D78,4)*1&lt;LEFT('General inputs'!$I$16,4)*1,"",IF(LEFT(D78,4)*1&gt;LEFT('General inputs'!$I$16,4)+'General inputs'!$H$38-1,"",E78/(1+'General inputs'!$H$34)^C78))</f>
        <v>123.69011093767806</v>
      </c>
      <c r="I78" s="86"/>
      <c r="J78" s="135"/>
      <c r="K78" s="135"/>
      <c r="L78" s="108" t="str">
        <f>IF(LEFT(D78,4)*1&gt;LEFT('General inputs'!$I$18,4)*1,"",SUMIF('Post-1996 commissioned assets'!$F$22:$F$218,$D78,'Post-1996 commissioned assets'!$P$22:$P$218))</f>
        <v/>
      </c>
      <c r="M78" s="108" t="str">
        <f>IF(L78="","",L78/(1+'General inputs'!$H$32)^C78)</f>
        <v/>
      </c>
      <c r="N78" s="108">
        <f>IF(LEFT(D78,4)*1&lt;LEFT('General inputs'!$I$18,4)*1+1,"",SUMIF('Uncommissioned assets'!$F$22:$F$218,$D78,'Uncommissioned assets'!$P$22:$P$218))</f>
        <v>0</v>
      </c>
      <c r="O78" s="108">
        <f>IF(N78="","",N78/(1+'General inputs'!$H$32)^C78)</f>
        <v>0</v>
      </c>
      <c r="P78" s="86"/>
      <c r="Q78" s="114"/>
      <c r="R78" s="108">
        <f>IF(OR(LEFT(D78,4)*1&lt;LEFT('General inputs'!$I$16,4)*1,LEFT(D78,4)*1&gt;LEFT('General inputs'!$I$16,4)+'General inputs'!$H$38-1),"",Q78/(1+'General inputs'!$H$34)^C78)</f>
        <v>0</v>
      </c>
      <c r="S78" s="86"/>
      <c r="T78" s="114"/>
      <c r="U78" s="108">
        <f>IF(OR(LEFT(D78,4)*1&lt;LEFT('General inputs'!$I$16,4)*1,LEFT(D78,4)*1&gt;LEFT('General inputs'!$I$16,4)+'General inputs'!$H$38-1),"",T78/(1+'General inputs'!$H$34)^C78)</f>
        <v>0</v>
      </c>
      <c r="V78" s="88"/>
      <c r="W78" s="87"/>
    </row>
    <row r="79" spans="2:23" x14ac:dyDescent="0.25">
      <c r="B79" s="60"/>
      <c r="C79" s="106">
        <f>IF(D79='General inputs'!$I$16,0,IF(D79&lt;'General inputs'!$I$16,C80-1,C78+1))</f>
        <v>17</v>
      </c>
      <c r="D79" s="106" t="str">
        <f t="shared" si="1"/>
        <v>2035-36</v>
      </c>
      <c r="E79" s="108">
        <f>IF(LEFT(D79,4)*1&gt;LEFT('General inputs'!$I$16,4)+'General inputs'!$H$38-1,"",'ET inputs'!D52)</f>
        <v>270</v>
      </c>
      <c r="F79" s="108">
        <f>IF(LEFT(D79,4)*1&gt;LEFT('General inputs'!$I$16,4)+'General inputs'!$H$38-1,"",E79/(1+'General inputs'!$H$30)^C79)</f>
        <v>163.35444037808824</v>
      </c>
      <c r="G79" s="108">
        <f>IF(LEFT(D79,4)*1&gt;LEFT('General inputs'!$I$16,4)+'General inputs'!$H$38-1,"",E79/(1+'General inputs'!$H$32)^C79)</f>
        <v>117.80010565493147</v>
      </c>
      <c r="H79" s="108">
        <f>IF(LEFT(D79,4)*1&lt;LEFT('General inputs'!$I$16,4)*1,"",IF(LEFT(D79,4)*1&gt;LEFT('General inputs'!$I$16,4)+'General inputs'!$H$38-1,"",E79/(1+'General inputs'!$H$34)^C79))</f>
        <v>117.80010565493147</v>
      </c>
      <c r="I79" s="86"/>
      <c r="J79" s="135"/>
      <c r="K79" s="135"/>
      <c r="L79" s="108" t="str">
        <f>IF(LEFT(D79,4)*1&gt;LEFT('General inputs'!$I$18,4)*1,"",SUMIF('Post-1996 commissioned assets'!$F$22:$F$218,$D79,'Post-1996 commissioned assets'!$P$22:$P$218))</f>
        <v/>
      </c>
      <c r="M79" s="108" t="str">
        <f>IF(L79="","",L79/(1+'General inputs'!$H$32)^C79)</f>
        <v/>
      </c>
      <c r="N79" s="108">
        <f>IF(LEFT(D79,4)*1&lt;LEFT('General inputs'!$I$18,4)*1+1,"",SUMIF('Uncommissioned assets'!$F$22:$F$218,$D79,'Uncommissioned assets'!$P$22:$P$218))</f>
        <v>0</v>
      </c>
      <c r="O79" s="108">
        <f>IF(N79="","",N79/(1+'General inputs'!$H$32)^C79)</f>
        <v>0</v>
      </c>
      <c r="P79" s="86"/>
      <c r="Q79" s="114"/>
      <c r="R79" s="108">
        <f>IF(OR(LEFT(D79,4)*1&lt;LEFT('General inputs'!$I$16,4)*1,LEFT(D79,4)*1&gt;LEFT('General inputs'!$I$16,4)+'General inputs'!$H$38-1),"",Q79/(1+'General inputs'!$H$34)^C79)</f>
        <v>0</v>
      </c>
      <c r="S79" s="86"/>
      <c r="T79" s="114"/>
      <c r="U79" s="108">
        <f>IF(OR(LEFT(D79,4)*1&lt;LEFT('General inputs'!$I$16,4)*1,LEFT(D79,4)*1&gt;LEFT('General inputs'!$I$16,4)+'General inputs'!$H$38-1),"",T79/(1+'General inputs'!$H$34)^C79)</f>
        <v>0</v>
      </c>
      <c r="V79" s="88"/>
      <c r="W79" s="87"/>
    </row>
    <row r="80" spans="2:23" x14ac:dyDescent="0.25">
      <c r="B80" s="60"/>
      <c r="C80" s="106">
        <f>IF(D80='General inputs'!$I$16,0,IF(D80&lt;'General inputs'!$I$16,C81-1,C79+1))</f>
        <v>18</v>
      </c>
      <c r="D80" s="106" t="str">
        <f t="shared" si="1"/>
        <v>2036-37</v>
      </c>
      <c r="E80" s="108">
        <f>IF(LEFT(D80,4)*1&gt;LEFT('General inputs'!$I$16,4)+'General inputs'!$H$38-1,"",'ET inputs'!D53)</f>
        <v>270</v>
      </c>
      <c r="F80" s="108">
        <f>IF(LEFT(D80,4)*1&gt;LEFT('General inputs'!$I$16,4)+'General inputs'!$H$38-1,"",E80/(1+'General inputs'!$H$30)^C80)</f>
        <v>158.59654405639634</v>
      </c>
      <c r="G80" s="108">
        <f>IF(LEFT(D80,4)*1&gt;LEFT('General inputs'!$I$16,4)+'General inputs'!$H$38-1,"",E80/(1+'General inputs'!$H$32)^C80)</f>
        <v>112.19057681422045</v>
      </c>
      <c r="H80" s="108">
        <f>IF(LEFT(D80,4)*1&lt;LEFT('General inputs'!$I$16,4)*1,"",IF(LEFT(D80,4)*1&gt;LEFT('General inputs'!$I$16,4)+'General inputs'!$H$38-1,"",E80/(1+'General inputs'!$H$34)^C80))</f>
        <v>112.19057681422045</v>
      </c>
      <c r="I80" s="86"/>
      <c r="J80" s="135"/>
      <c r="K80" s="135"/>
      <c r="L80" s="108" t="str">
        <f>IF(LEFT(D80,4)*1&gt;LEFT('General inputs'!$I$18,4)*1,"",SUMIF('Post-1996 commissioned assets'!$F$22:$F$218,$D80,'Post-1996 commissioned assets'!$P$22:$P$218))</f>
        <v/>
      </c>
      <c r="M80" s="108" t="str">
        <f>IF(L80="","",L80/(1+'General inputs'!$H$32)^C80)</f>
        <v/>
      </c>
      <c r="N80" s="108">
        <f>IF(LEFT(D80,4)*1&lt;LEFT('General inputs'!$I$18,4)*1+1,"",SUMIF('Uncommissioned assets'!$F$22:$F$218,$D80,'Uncommissioned assets'!$P$22:$P$218))</f>
        <v>0</v>
      </c>
      <c r="O80" s="108">
        <f>IF(N80="","",N80/(1+'General inputs'!$H$32)^C80)</f>
        <v>0</v>
      </c>
      <c r="P80" s="86"/>
      <c r="Q80" s="114"/>
      <c r="R80" s="108">
        <f>IF(OR(LEFT(D80,4)*1&lt;LEFT('General inputs'!$I$16,4)*1,LEFT(D80,4)*1&gt;LEFT('General inputs'!$I$16,4)+'General inputs'!$H$38-1),"",Q80/(1+'General inputs'!$H$34)^C80)</f>
        <v>0</v>
      </c>
      <c r="S80" s="86"/>
      <c r="T80" s="114"/>
      <c r="U80" s="108">
        <f>IF(OR(LEFT(D80,4)*1&lt;LEFT('General inputs'!$I$16,4)*1,LEFT(D80,4)*1&gt;LEFT('General inputs'!$I$16,4)+'General inputs'!$H$38-1),"",T80/(1+'General inputs'!$H$34)^C80)</f>
        <v>0</v>
      </c>
      <c r="V80" s="88"/>
      <c r="W80" s="87"/>
    </row>
    <row r="81" spans="2:23" x14ac:dyDescent="0.25">
      <c r="B81" s="60"/>
      <c r="C81" s="106">
        <f>IF(D81='General inputs'!$I$16,0,IF(D81&lt;'General inputs'!$I$16,C82-1,C80+1))</f>
        <v>19</v>
      </c>
      <c r="D81" s="106" t="str">
        <f t="shared" si="1"/>
        <v>2037-38</v>
      </c>
      <c r="E81" s="108">
        <f>IF(LEFT(D81,4)*1&gt;LEFT('General inputs'!$I$16,4)+'General inputs'!$H$38-1,"",'ET inputs'!D54)</f>
        <v>270</v>
      </c>
      <c r="F81" s="108">
        <f>IF(LEFT(D81,4)*1&gt;LEFT('General inputs'!$I$16,4)+'General inputs'!$H$38-1,"",E81/(1+'General inputs'!$H$30)^C81)</f>
        <v>153.97722723921976</v>
      </c>
      <c r="G81" s="108">
        <f>IF(LEFT(D81,4)*1&gt;LEFT('General inputs'!$I$16,4)+'General inputs'!$H$38-1,"",E81/(1+'General inputs'!$H$32)^C81)</f>
        <v>106.84816839449566</v>
      </c>
      <c r="H81" s="108">
        <f>IF(LEFT(D81,4)*1&lt;LEFT('General inputs'!$I$16,4)*1,"",IF(LEFT(D81,4)*1&gt;LEFT('General inputs'!$I$16,4)+'General inputs'!$H$38-1,"",E81/(1+'General inputs'!$H$34)^C81))</f>
        <v>106.84816839449566</v>
      </c>
      <c r="I81" s="86"/>
      <c r="J81" s="135"/>
      <c r="K81" s="135"/>
      <c r="L81" s="108" t="str">
        <f>IF(LEFT(D81,4)*1&gt;LEFT('General inputs'!$I$18,4)*1,"",SUMIF('Post-1996 commissioned assets'!$F$22:$F$218,$D81,'Post-1996 commissioned assets'!$P$22:$P$218))</f>
        <v/>
      </c>
      <c r="M81" s="108" t="str">
        <f>IF(L81="","",L81/(1+'General inputs'!$H$32)^C81)</f>
        <v/>
      </c>
      <c r="N81" s="108">
        <f>IF(LEFT(D81,4)*1&lt;LEFT('General inputs'!$I$18,4)*1+1,"",SUMIF('Uncommissioned assets'!$F$22:$F$218,$D81,'Uncommissioned assets'!$P$22:$P$218))</f>
        <v>0</v>
      </c>
      <c r="O81" s="108">
        <f>IF(N81="","",N81/(1+'General inputs'!$H$32)^C81)</f>
        <v>0</v>
      </c>
      <c r="P81" s="86"/>
      <c r="Q81" s="114"/>
      <c r="R81" s="108">
        <f>IF(OR(LEFT(D81,4)*1&lt;LEFT('General inputs'!$I$16,4)*1,LEFT(D81,4)*1&gt;LEFT('General inputs'!$I$16,4)+'General inputs'!$H$38-1),"",Q81/(1+'General inputs'!$H$34)^C81)</f>
        <v>0</v>
      </c>
      <c r="S81" s="86"/>
      <c r="T81" s="114"/>
      <c r="U81" s="108">
        <f>IF(OR(LEFT(D81,4)*1&lt;LEFT('General inputs'!$I$16,4)*1,LEFT(D81,4)*1&gt;LEFT('General inputs'!$I$16,4)+'General inputs'!$H$38-1),"",T81/(1+'General inputs'!$H$34)^C81)</f>
        <v>0</v>
      </c>
      <c r="V81" s="88"/>
      <c r="W81" s="87"/>
    </row>
    <row r="82" spans="2:23" x14ac:dyDescent="0.25">
      <c r="B82" s="60"/>
      <c r="C82" s="106">
        <f>IF(D82='General inputs'!$I$16,0,IF(D82&lt;'General inputs'!$I$16,C83-1,C81+1))</f>
        <v>20</v>
      </c>
      <c r="D82" s="106" t="str">
        <f t="shared" si="1"/>
        <v>2038-39</v>
      </c>
      <c r="E82" s="108">
        <f>IF(LEFT(D82,4)*1&gt;LEFT('General inputs'!$I$16,4)+'General inputs'!$H$38-1,"",'ET inputs'!D55)</f>
        <v>270</v>
      </c>
      <c r="F82" s="108">
        <f>IF(LEFT(D82,4)*1&gt;LEFT('General inputs'!$I$16,4)+'General inputs'!$H$38-1,"",E82/(1+'General inputs'!$H$30)^C82)</f>
        <v>149.49245363031045</v>
      </c>
      <c r="G82" s="108">
        <f>IF(LEFT(D82,4)*1&gt;LEFT('General inputs'!$I$16,4)+'General inputs'!$H$38-1,"",E82/(1+'General inputs'!$H$32)^C82)</f>
        <v>101.76016037571016</v>
      </c>
      <c r="H82" s="108">
        <f>IF(LEFT(D82,4)*1&lt;LEFT('General inputs'!$I$16,4)*1,"",IF(LEFT(D82,4)*1&gt;LEFT('General inputs'!$I$16,4)+'General inputs'!$H$38-1,"",E82/(1+'General inputs'!$H$34)^C82))</f>
        <v>101.76016037571016</v>
      </c>
      <c r="I82" s="86"/>
      <c r="J82" s="135"/>
      <c r="K82" s="135"/>
      <c r="L82" s="108" t="str">
        <f>IF(LEFT(D82,4)*1&gt;LEFT('General inputs'!$I$18,4)*1,"",SUMIF('Post-1996 commissioned assets'!$F$22:$F$218,$D82,'Post-1996 commissioned assets'!$P$22:$P$218))</f>
        <v/>
      </c>
      <c r="M82" s="108" t="str">
        <f>IF(L82="","",L82/(1+'General inputs'!$H$32)^C82)</f>
        <v/>
      </c>
      <c r="N82" s="108">
        <f>IF(LEFT(D82,4)*1&lt;LEFT('General inputs'!$I$18,4)*1+1,"",SUMIF('Uncommissioned assets'!$F$22:$F$218,$D82,'Uncommissioned assets'!$P$22:$P$218))</f>
        <v>0</v>
      </c>
      <c r="O82" s="108">
        <f>IF(N82="","",N82/(1+'General inputs'!$H$32)^C82)</f>
        <v>0</v>
      </c>
      <c r="P82" s="86"/>
      <c r="Q82" s="114"/>
      <c r="R82" s="108">
        <f>IF(OR(LEFT(D82,4)*1&lt;LEFT('General inputs'!$I$16,4)*1,LEFT(D82,4)*1&gt;LEFT('General inputs'!$I$16,4)+'General inputs'!$H$38-1),"",Q82/(1+'General inputs'!$H$34)^C82)</f>
        <v>0</v>
      </c>
      <c r="S82" s="86"/>
      <c r="T82" s="114"/>
      <c r="U82" s="108">
        <f>IF(OR(LEFT(D82,4)*1&lt;LEFT('General inputs'!$I$16,4)*1,LEFT(D82,4)*1&gt;LEFT('General inputs'!$I$16,4)+'General inputs'!$H$38-1),"",T82/(1+'General inputs'!$H$34)^C82)</f>
        <v>0</v>
      </c>
      <c r="V82" s="88"/>
      <c r="W82" s="87"/>
    </row>
    <row r="83" spans="2:23" x14ac:dyDescent="0.25">
      <c r="B83" s="60"/>
      <c r="C83" s="106">
        <f>IF(D83='General inputs'!$I$16,0,IF(D83&lt;'General inputs'!$I$16,C84-1,C82+1))</f>
        <v>21</v>
      </c>
      <c r="D83" s="106" t="str">
        <f t="shared" si="1"/>
        <v>2039-40</v>
      </c>
      <c r="E83" s="108">
        <f>IF(LEFT(D83,4)*1&gt;LEFT('General inputs'!$I$16,4)+'General inputs'!$H$38-1,"",'ET inputs'!D56)</f>
        <v>270</v>
      </c>
      <c r="F83" s="108">
        <f>IF(LEFT(D83,4)*1&gt;LEFT('General inputs'!$I$16,4)+'General inputs'!$H$38-1,"",E83/(1+'General inputs'!$H$30)^C83)</f>
        <v>145.13830449544704</v>
      </c>
      <c r="G83" s="108">
        <f>IF(LEFT(D83,4)*1&gt;LEFT('General inputs'!$I$16,4)+'General inputs'!$H$38-1,"",E83/(1+'General inputs'!$H$32)^C83)</f>
        <v>96.914438453057301</v>
      </c>
      <c r="H83" s="108">
        <f>IF(LEFT(D83,4)*1&lt;LEFT('General inputs'!$I$16,4)*1,"",IF(LEFT(D83,4)*1&gt;LEFT('General inputs'!$I$16,4)+'General inputs'!$H$38-1,"",E83/(1+'General inputs'!$H$34)^C83))</f>
        <v>96.914438453057301</v>
      </c>
      <c r="I83" s="86"/>
      <c r="J83" s="135"/>
      <c r="K83" s="135"/>
      <c r="L83" s="108" t="str">
        <f>IF(LEFT(D83,4)*1&gt;LEFT('General inputs'!$I$18,4)*1,"",SUMIF('Post-1996 commissioned assets'!$F$22:$F$218,$D83,'Post-1996 commissioned assets'!$P$22:$P$218))</f>
        <v/>
      </c>
      <c r="M83" s="108" t="str">
        <f>IF(L83="","",L83/(1+'General inputs'!$H$32)^C83)</f>
        <v/>
      </c>
      <c r="N83" s="108">
        <f>IF(LEFT(D83,4)*1&lt;LEFT('General inputs'!$I$18,4)*1+1,"",SUMIF('Uncommissioned assets'!$F$22:$F$218,$D83,'Uncommissioned assets'!$P$22:$P$218))</f>
        <v>0</v>
      </c>
      <c r="O83" s="108">
        <f>IF(N83="","",N83/(1+'General inputs'!$H$32)^C83)</f>
        <v>0</v>
      </c>
      <c r="P83" s="86"/>
      <c r="Q83" s="114"/>
      <c r="R83" s="108">
        <f>IF(OR(LEFT(D83,4)*1&lt;LEFT('General inputs'!$I$16,4)*1,LEFT(D83,4)*1&gt;LEFT('General inputs'!$I$16,4)+'General inputs'!$H$38-1),"",Q83/(1+'General inputs'!$H$34)^C83)</f>
        <v>0</v>
      </c>
      <c r="S83" s="86"/>
      <c r="T83" s="114"/>
      <c r="U83" s="108">
        <f>IF(OR(LEFT(D83,4)*1&lt;LEFT('General inputs'!$I$16,4)*1,LEFT(D83,4)*1&gt;LEFT('General inputs'!$I$16,4)+'General inputs'!$H$38-1),"",T83/(1+'General inputs'!$H$34)^C83)</f>
        <v>0</v>
      </c>
      <c r="V83" s="88"/>
      <c r="W83" s="87"/>
    </row>
    <row r="84" spans="2:23" x14ac:dyDescent="0.25">
      <c r="B84" s="60"/>
      <c r="C84" s="106">
        <f>IF(D84='General inputs'!$I$16,0,IF(D84&lt;'General inputs'!$I$16,C85-1,C83+1))</f>
        <v>22</v>
      </c>
      <c r="D84" s="106" t="str">
        <f t="shared" si="1"/>
        <v>2040-41</v>
      </c>
      <c r="E84" s="108">
        <f>IF(LEFT(D84,4)*1&gt;LEFT('General inputs'!$I$16,4)+'General inputs'!$H$38-1,"",'ET inputs'!D57)</f>
        <v>270</v>
      </c>
      <c r="F84" s="108">
        <f>IF(LEFT(D84,4)*1&gt;LEFT('General inputs'!$I$16,4)+'General inputs'!$H$38-1,"",E84/(1+'General inputs'!$H$30)^C84)</f>
        <v>140.91097523829808</v>
      </c>
      <c r="G84" s="108">
        <f>IF(LEFT(D84,4)*1&gt;LEFT('General inputs'!$I$16,4)+'General inputs'!$H$38-1,"",E84/(1+'General inputs'!$H$32)^C84)</f>
        <v>92.299465193387903</v>
      </c>
      <c r="H84" s="108">
        <f>IF(LEFT(D84,4)*1&lt;LEFT('General inputs'!$I$16,4)*1,"",IF(LEFT(D84,4)*1&gt;LEFT('General inputs'!$I$16,4)+'General inputs'!$H$38-1,"",E84/(1+'General inputs'!$H$34)^C84))</f>
        <v>92.299465193387903</v>
      </c>
      <c r="I84" s="86"/>
      <c r="J84" s="135"/>
      <c r="K84" s="135"/>
      <c r="L84" s="108" t="str">
        <f>IF(LEFT(D84,4)*1&gt;LEFT('General inputs'!$I$18,4)*1,"",SUMIF('Post-1996 commissioned assets'!$F$22:$F$218,$D84,'Post-1996 commissioned assets'!$P$22:$P$218))</f>
        <v/>
      </c>
      <c r="M84" s="108" t="str">
        <f>IF(L84="","",L84/(1+'General inputs'!$H$32)^C84)</f>
        <v/>
      </c>
      <c r="N84" s="108">
        <f>IF(LEFT(D84,4)*1&lt;LEFT('General inputs'!$I$18,4)*1+1,"",SUMIF('Uncommissioned assets'!$F$22:$F$218,$D84,'Uncommissioned assets'!$P$22:$P$218))</f>
        <v>0</v>
      </c>
      <c r="O84" s="108">
        <f>IF(N84="","",N84/(1+'General inputs'!$H$32)^C84)</f>
        <v>0</v>
      </c>
      <c r="P84" s="86"/>
      <c r="Q84" s="114"/>
      <c r="R84" s="108">
        <f>IF(OR(LEFT(D84,4)*1&lt;LEFT('General inputs'!$I$16,4)*1,LEFT(D84,4)*1&gt;LEFT('General inputs'!$I$16,4)+'General inputs'!$H$38-1),"",Q84/(1+'General inputs'!$H$34)^C84)</f>
        <v>0</v>
      </c>
      <c r="S84" s="86"/>
      <c r="T84" s="114"/>
      <c r="U84" s="108">
        <f>IF(OR(LEFT(D84,4)*1&lt;LEFT('General inputs'!$I$16,4)*1,LEFT(D84,4)*1&gt;LEFT('General inputs'!$I$16,4)+'General inputs'!$H$38-1),"",T84/(1+'General inputs'!$H$34)^C84)</f>
        <v>0</v>
      </c>
      <c r="V84" s="88"/>
      <c r="W84" s="87"/>
    </row>
    <row r="85" spans="2:23" x14ac:dyDescent="0.25">
      <c r="B85" s="60"/>
      <c r="C85" s="106">
        <f>IF(D85='General inputs'!$I$16,0,IF(D85&lt;'General inputs'!$I$16,C86-1,C84+1))</f>
        <v>23</v>
      </c>
      <c r="D85" s="106" t="str">
        <f t="shared" si="1"/>
        <v>2041-42</v>
      </c>
      <c r="E85" s="108">
        <f>IF(LEFT(D85,4)*1&gt;LEFT('General inputs'!$I$16,4)+'General inputs'!$H$38-1,"",'ET inputs'!D58)</f>
        <v>270</v>
      </c>
      <c r="F85" s="108">
        <f>IF(LEFT(D85,4)*1&gt;LEFT('General inputs'!$I$16,4)+'General inputs'!$H$38-1,"",E85/(1+'General inputs'!$H$30)^C85)</f>
        <v>136.80677207601755</v>
      </c>
      <c r="G85" s="108">
        <f>IF(LEFT(D85,4)*1&gt;LEFT('General inputs'!$I$16,4)+'General inputs'!$H$38-1,"",E85/(1+'General inputs'!$H$32)^C85)</f>
        <v>87.90425256513133</v>
      </c>
      <c r="H85" s="108">
        <f>IF(LEFT(D85,4)*1&lt;LEFT('General inputs'!$I$16,4)*1,"",IF(LEFT(D85,4)*1&gt;LEFT('General inputs'!$I$16,4)+'General inputs'!$H$38-1,"",E85/(1+'General inputs'!$H$34)^C85))</f>
        <v>87.90425256513133</v>
      </c>
      <c r="I85" s="86"/>
      <c r="J85" s="135"/>
      <c r="K85" s="135"/>
      <c r="L85" s="108" t="str">
        <f>IF(LEFT(D85,4)*1&gt;LEFT('General inputs'!$I$18,4)*1,"",SUMIF('Post-1996 commissioned assets'!$F$22:$F$218,$D85,'Post-1996 commissioned assets'!$P$22:$P$218))</f>
        <v/>
      </c>
      <c r="M85" s="108" t="str">
        <f>IF(L85="","",L85/(1+'General inputs'!$H$32)^C85)</f>
        <v/>
      </c>
      <c r="N85" s="108">
        <f>IF(LEFT(D85,4)*1&lt;LEFT('General inputs'!$I$18,4)*1+1,"",SUMIF('Uncommissioned assets'!$F$22:$F$218,$D85,'Uncommissioned assets'!$P$22:$P$218))</f>
        <v>0</v>
      </c>
      <c r="O85" s="108">
        <f>IF(N85="","",N85/(1+'General inputs'!$H$32)^C85)</f>
        <v>0</v>
      </c>
      <c r="P85" s="86"/>
      <c r="Q85" s="114"/>
      <c r="R85" s="108">
        <f>IF(OR(LEFT(D85,4)*1&lt;LEFT('General inputs'!$I$16,4)*1,LEFT(D85,4)*1&gt;LEFT('General inputs'!$I$16,4)+'General inputs'!$H$38-1),"",Q85/(1+'General inputs'!$H$34)^C85)</f>
        <v>0</v>
      </c>
      <c r="S85" s="86"/>
      <c r="T85" s="114"/>
      <c r="U85" s="108">
        <f>IF(OR(LEFT(D85,4)*1&lt;LEFT('General inputs'!$I$16,4)*1,LEFT(D85,4)*1&gt;LEFT('General inputs'!$I$16,4)+'General inputs'!$H$38-1),"",T85/(1+'General inputs'!$H$34)^C85)</f>
        <v>0</v>
      </c>
      <c r="V85" s="88"/>
      <c r="W85" s="87"/>
    </row>
    <row r="86" spans="2:23" x14ac:dyDescent="0.25">
      <c r="B86" s="60"/>
      <c r="C86" s="106">
        <f>IF(D86='General inputs'!$I$16,0,IF(D86&lt;'General inputs'!$I$16,C87-1,C85+1))</f>
        <v>24</v>
      </c>
      <c r="D86" s="106" t="str">
        <f t="shared" si="1"/>
        <v>2042-43</v>
      </c>
      <c r="E86" s="108">
        <f>IF(LEFT(D86,4)*1&gt;LEFT('General inputs'!$I$16,4)+'General inputs'!$H$38-1,"",'ET inputs'!D59)</f>
        <v>270</v>
      </c>
      <c r="F86" s="108">
        <f>IF(LEFT(D86,4)*1&gt;LEFT('General inputs'!$I$16,4)+'General inputs'!$H$38-1,"",E86/(1+'General inputs'!$H$30)^C86)</f>
        <v>132.82210881166756</v>
      </c>
      <c r="G86" s="108">
        <f>IF(LEFT(D86,4)*1&gt;LEFT('General inputs'!$I$16,4)+'General inputs'!$H$38-1,"",E86/(1+'General inputs'!$H$32)^C86)</f>
        <v>83.718335776315556</v>
      </c>
      <c r="H86" s="108">
        <f>IF(LEFT(D86,4)*1&lt;LEFT('General inputs'!$I$16,4)*1,"",IF(LEFT(D86,4)*1&gt;LEFT('General inputs'!$I$16,4)+'General inputs'!$H$38-1,"",E86/(1+'General inputs'!$H$34)^C86))</f>
        <v>83.718335776315556</v>
      </c>
      <c r="I86" s="86"/>
      <c r="J86" s="135"/>
      <c r="K86" s="135"/>
      <c r="L86" s="108" t="str">
        <f>IF(LEFT(D86,4)*1&gt;LEFT('General inputs'!$I$18,4)*1,"",SUMIF('Post-1996 commissioned assets'!$F$22:$F$218,$D86,'Post-1996 commissioned assets'!$P$22:$P$218))</f>
        <v/>
      </c>
      <c r="M86" s="108" t="str">
        <f>IF(L86="","",L86/(1+'General inputs'!$H$32)^C86)</f>
        <v/>
      </c>
      <c r="N86" s="108">
        <f>IF(LEFT(D86,4)*1&lt;LEFT('General inputs'!$I$18,4)*1+1,"",SUMIF('Uncommissioned assets'!$F$22:$F$218,$D86,'Uncommissioned assets'!$P$22:$P$218))</f>
        <v>0</v>
      </c>
      <c r="O86" s="108">
        <f>IF(N86="","",N86/(1+'General inputs'!$H$32)^C86)</f>
        <v>0</v>
      </c>
      <c r="P86" s="86"/>
      <c r="Q86" s="114"/>
      <c r="R86" s="108">
        <f>IF(OR(LEFT(D86,4)*1&lt;LEFT('General inputs'!$I$16,4)*1,LEFT(D86,4)*1&gt;LEFT('General inputs'!$I$16,4)+'General inputs'!$H$38-1),"",Q86/(1+'General inputs'!$H$34)^C86)</f>
        <v>0</v>
      </c>
      <c r="S86" s="86"/>
      <c r="T86" s="114"/>
      <c r="U86" s="108">
        <f>IF(OR(LEFT(D86,4)*1&lt;LEFT('General inputs'!$I$16,4)*1,LEFT(D86,4)*1&gt;LEFT('General inputs'!$I$16,4)+'General inputs'!$H$38-1),"",T86/(1+'General inputs'!$H$34)^C86)</f>
        <v>0</v>
      </c>
      <c r="V86" s="88"/>
      <c r="W86" s="87"/>
    </row>
    <row r="87" spans="2:23" x14ac:dyDescent="0.25">
      <c r="B87" s="60"/>
      <c r="C87" s="106">
        <f>IF(D87='General inputs'!$I$16,0,IF(D87&lt;'General inputs'!$I$16,C88-1,C86+1))</f>
        <v>25</v>
      </c>
      <c r="D87" s="106" t="str">
        <f t="shared" si="1"/>
        <v>2043-44</v>
      </c>
      <c r="E87" s="108">
        <f>IF(LEFT(D87,4)*1&gt;LEFT('General inputs'!$I$16,4)+'General inputs'!$H$38-1,"",'ET inputs'!D60)</f>
        <v>270</v>
      </c>
      <c r="F87" s="108">
        <f>IF(LEFT(D87,4)*1&gt;LEFT('General inputs'!$I$16,4)+'General inputs'!$H$38-1,"",E87/(1+'General inputs'!$H$30)^C87)</f>
        <v>128.9535037006481</v>
      </c>
      <c r="G87" s="108">
        <f>IF(LEFT(D87,4)*1&gt;LEFT('General inputs'!$I$16,4)+'General inputs'!$H$38-1,"",E87/(1+'General inputs'!$H$32)^C87)</f>
        <v>79.731748358395762</v>
      </c>
      <c r="H87" s="108">
        <f>IF(LEFT(D87,4)*1&lt;LEFT('General inputs'!$I$16,4)*1,"",IF(LEFT(D87,4)*1&gt;LEFT('General inputs'!$I$16,4)+'General inputs'!$H$38-1,"",E87/(1+'General inputs'!$H$34)^C87))</f>
        <v>79.731748358395762</v>
      </c>
      <c r="I87" s="86"/>
      <c r="J87" s="135"/>
      <c r="K87" s="135"/>
      <c r="L87" s="108" t="str">
        <f>IF(LEFT(D87,4)*1&gt;LEFT('General inputs'!$I$18,4)*1,"",SUMIF('Post-1996 commissioned assets'!$F$22:$F$218,$D87,'Post-1996 commissioned assets'!$P$22:$P$218))</f>
        <v/>
      </c>
      <c r="M87" s="108" t="str">
        <f>IF(L87="","",L87/(1+'General inputs'!$H$32)^C87)</f>
        <v/>
      </c>
      <c r="N87" s="108">
        <f>IF(LEFT(D87,4)*1&lt;LEFT('General inputs'!$I$18,4)*1+1,"",SUMIF('Uncommissioned assets'!$F$22:$F$218,$D87,'Uncommissioned assets'!$P$22:$P$218))</f>
        <v>0</v>
      </c>
      <c r="O87" s="108">
        <f>IF(N87="","",N87/(1+'General inputs'!$H$32)^C87)</f>
        <v>0</v>
      </c>
      <c r="P87" s="86"/>
      <c r="Q87" s="114"/>
      <c r="R87" s="108">
        <f>IF(OR(LEFT(D87,4)*1&lt;LEFT('General inputs'!$I$16,4)*1,LEFT(D87,4)*1&gt;LEFT('General inputs'!$I$16,4)+'General inputs'!$H$38-1),"",Q87/(1+'General inputs'!$H$34)^C87)</f>
        <v>0</v>
      </c>
      <c r="S87" s="86"/>
      <c r="T87" s="114"/>
      <c r="U87" s="108">
        <f>IF(OR(LEFT(D87,4)*1&lt;LEFT('General inputs'!$I$16,4)*1,LEFT(D87,4)*1&gt;LEFT('General inputs'!$I$16,4)+'General inputs'!$H$38-1),"",T87/(1+'General inputs'!$H$34)^C87)</f>
        <v>0</v>
      </c>
      <c r="V87" s="88"/>
      <c r="W87" s="87"/>
    </row>
    <row r="88" spans="2:23" x14ac:dyDescent="0.25">
      <c r="B88" s="60"/>
      <c r="C88" s="106">
        <f>IF(D88='General inputs'!$I$16,0,IF(D88&lt;'General inputs'!$I$16,C89-1,C87+1))</f>
        <v>26</v>
      </c>
      <c r="D88" s="106" t="str">
        <f t="shared" si="1"/>
        <v>2044-45</v>
      </c>
      <c r="E88" s="108">
        <f>IF(LEFT(D88,4)*1&gt;LEFT('General inputs'!$I$16,4)+'General inputs'!$H$38-1,"",'ET inputs'!D61)</f>
        <v>270</v>
      </c>
      <c r="F88" s="108">
        <f>IF(LEFT(D88,4)*1&gt;LEFT('General inputs'!$I$16,4)+'General inputs'!$H$38-1,"",E88/(1+'General inputs'!$H$30)^C88)</f>
        <v>125.1975764083962</v>
      </c>
      <c r="G88" s="108">
        <f>IF(LEFT(D88,4)*1&gt;LEFT('General inputs'!$I$16,4)+'General inputs'!$H$38-1,"",E88/(1+'General inputs'!$H$32)^C88)</f>
        <v>75.934998436567398</v>
      </c>
      <c r="H88" s="108">
        <f>IF(LEFT(D88,4)*1&lt;LEFT('General inputs'!$I$16,4)*1,"",IF(LEFT(D88,4)*1&gt;LEFT('General inputs'!$I$16,4)+'General inputs'!$H$38-1,"",E88/(1+'General inputs'!$H$34)^C88))</f>
        <v>75.934998436567398</v>
      </c>
      <c r="I88" s="86"/>
      <c r="J88" s="135"/>
      <c r="K88" s="135"/>
      <c r="L88" s="108" t="str">
        <f>IF(LEFT(D88,4)*1&gt;LEFT('General inputs'!$I$18,4)*1,"",SUMIF('Post-1996 commissioned assets'!$F$22:$F$218,$D88,'Post-1996 commissioned assets'!$P$22:$P$218))</f>
        <v/>
      </c>
      <c r="M88" s="108" t="str">
        <f>IF(L88="","",L88/(1+'General inputs'!$H$32)^C88)</f>
        <v/>
      </c>
      <c r="N88" s="108">
        <f>IF(LEFT(D88,4)*1&lt;LEFT('General inputs'!$I$18,4)*1+1,"",SUMIF('Uncommissioned assets'!$F$22:$F$218,$D88,'Uncommissioned assets'!$P$22:$P$218))</f>
        <v>0</v>
      </c>
      <c r="O88" s="108">
        <f>IF(N88="","",N88/(1+'General inputs'!$H$32)^C88)</f>
        <v>0</v>
      </c>
      <c r="P88" s="86"/>
      <c r="Q88" s="114"/>
      <c r="R88" s="108">
        <f>IF(OR(LEFT(D88,4)*1&lt;LEFT('General inputs'!$I$16,4)*1,LEFT(D88,4)*1&gt;LEFT('General inputs'!$I$16,4)+'General inputs'!$H$38-1),"",Q88/(1+'General inputs'!$H$34)^C88)</f>
        <v>0</v>
      </c>
      <c r="S88" s="86"/>
      <c r="T88" s="114"/>
      <c r="U88" s="108">
        <f>IF(OR(LEFT(D88,4)*1&lt;LEFT('General inputs'!$I$16,4)*1,LEFT(D88,4)*1&gt;LEFT('General inputs'!$I$16,4)+'General inputs'!$H$38-1),"",T88/(1+'General inputs'!$H$34)^C88)</f>
        <v>0</v>
      </c>
      <c r="V88" s="88"/>
      <c r="W88" s="87"/>
    </row>
    <row r="89" spans="2:23" x14ac:dyDescent="0.25">
      <c r="B89" s="60"/>
      <c r="C89" s="106">
        <f>IF(D89='General inputs'!$I$16,0,IF(D89&lt;'General inputs'!$I$16,C90-1,C88+1))</f>
        <v>27</v>
      </c>
      <c r="D89" s="106" t="str">
        <f t="shared" si="1"/>
        <v>2045-46</v>
      </c>
      <c r="E89" s="108">
        <f>IF(LEFT(D89,4)*1&gt;LEFT('General inputs'!$I$16,4)+'General inputs'!$H$38-1,"",'ET inputs'!D62)</f>
        <v>270</v>
      </c>
      <c r="F89" s="108">
        <f>IF(LEFT(D89,4)*1&gt;LEFT('General inputs'!$I$16,4)+'General inputs'!$H$38-1,"",E89/(1+'General inputs'!$H$30)^C89)</f>
        <v>121.55104505669536</v>
      </c>
      <c r="G89" s="108">
        <f>IF(LEFT(D89,4)*1&gt;LEFT('General inputs'!$I$16,4)+'General inputs'!$H$38-1,"",E89/(1+'General inputs'!$H$32)^C89)</f>
        <v>72.31904613006418</v>
      </c>
      <c r="H89" s="108">
        <f>IF(LEFT(D89,4)*1&lt;LEFT('General inputs'!$I$16,4)*1,"",IF(LEFT(D89,4)*1&gt;LEFT('General inputs'!$I$16,4)+'General inputs'!$H$38-1,"",E89/(1+'General inputs'!$H$34)^C89))</f>
        <v>72.31904613006418</v>
      </c>
      <c r="I89" s="86"/>
      <c r="J89" s="135"/>
      <c r="K89" s="135"/>
      <c r="L89" s="108" t="str">
        <f>IF(LEFT(D89,4)*1&gt;LEFT('General inputs'!$I$18,4)*1,"",SUMIF('Post-1996 commissioned assets'!$F$22:$F$218,$D89,'Post-1996 commissioned assets'!$P$22:$P$218))</f>
        <v/>
      </c>
      <c r="M89" s="108" t="str">
        <f>IF(L89="","",L89/(1+'General inputs'!$H$32)^C89)</f>
        <v/>
      </c>
      <c r="N89" s="108">
        <f>IF(LEFT(D89,4)*1&lt;LEFT('General inputs'!$I$18,4)*1+1,"",SUMIF('Uncommissioned assets'!$F$22:$F$218,$D89,'Uncommissioned assets'!$P$22:$P$218))</f>
        <v>0</v>
      </c>
      <c r="O89" s="108">
        <f>IF(N89="","",N89/(1+'General inputs'!$H$32)^C89)</f>
        <v>0</v>
      </c>
      <c r="P89" s="86"/>
      <c r="Q89" s="114"/>
      <c r="R89" s="108">
        <f>IF(OR(LEFT(D89,4)*1&lt;LEFT('General inputs'!$I$16,4)*1,LEFT(D89,4)*1&gt;LEFT('General inputs'!$I$16,4)+'General inputs'!$H$38-1),"",Q89/(1+'General inputs'!$H$34)^C89)</f>
        <v>0</v>
      </c>
      <c r="S89" s="86"/>
      <c r="T89" s="114"/>
      <c r="U89" s="108">
        <f>IF(OR(LEFT(D89,4)*1&lt;LEFT('General inputs'!$I$16,4)*1,LEFT(D89,4)*1&gt;LEFT('General inputs'!$I$16,4)+'General inputs'!$H$38-1),"",T89/(1+'General inputs'!$H$34)^C89)</f>
        <v>0</v>
      </c>
      <c r="V89" s="88"/>
      <c r="W89" s="87"/>
    </row>
    <row r="90" spans="2:23" x14ac:dyDescent="0.25">
      <c r="B90" s="60"/>
      <c r="C90" s="106">
        <f>IF(D90='General inputs'!$I$16,0,IF(D90&lt;'General inputs'!$I$16,C91-1,C89+1))</f>
        <v>28</v>
      </c>
      <c r="D90" s="106" t="str">
        <f t="shared" si="1"/>
        <v>2046-47</v>
      </c>
      <c r="E90" s="108">
        <f>IF(LEFT(D90,4)*1&gt;LEFT('General inputs'!$I$16,4)+'General inputs'!$H$38-1,"",'ET inputs'!D63)</f>
        <v>270</v>
      </c>
      <c r="F90" s="108">
        <f>IF(LEFT(D90,4)*1&gt;LEFT('General inputs'!$I$16,4)+'General inputs'!$H$38-1,"",E90/(1+'General inputs'!$H$30)^C90)</f>
        <v>118.01072335601491</v>
      </c>
      <c r="G90" s="108">
        <f>IF(LEFT(D90,4)*1&gt;LEFT('General inputs'!$I$16,4)+'General inputs'!$H$38-1,"",E90/(1+'General inputs'!$H$32)^C90)</f>
        <v>68.875282028632569</v>
      </c>
      <c r="H90" s="108">
        <f>IF(LEFT(D90,4)*1&lt;LEFT('General inputs'!$I$16,4)*1,"",IF(LEFT(D90,4)*1&gt;LEFT('General inputs'!$I$16,4)+'General inputs'!$H$38-1,"",E90/(1+'General inputs'!$H$34)^C90))</f>
        <v>68.875282028632569</v>
      </c>
      <c r="I90" s="86"/>
      <c r="J90" s="135"/>
      <c r="K90" s="135"/>
      <c r="L90" s="108" t="str">
        <f>IF(LEFT(D90,4)*1&gt;LEFT('General inputs'!$I$18,4)*1,"",SUMIF('Post-1996 commissioned assets'!$F$22:$F$218,$D90,'Post-1996 commissioned assets'!$P$22:$P$218))</f>
        <v/>
      </c>
      <c r="M90" s="108" t="str">
        <f>IF(L90="","",L90/(1+'General inputs'!$H$32)^C90)</f>
        <v/>
      </c>
      <c r="N90" s="108">
        <f>IF(LEFT(D90,4)*1&lt;LEFT('General inputs'!$I$18,4)*1+1,"",SUMIF('Uncommissioned assets'!$F$22:$F$218,$D90,'Uncommissioned assets'!$P$22:$P$218))</f>
        <v>0</v>
      </c>
      <c r="O90" s="108">
        <f>IF(N90="","",N90/(1+'General inputs'!$H$32)^C90)</f>
        <v>0</v>
      </c>
      <c r="P90" s="86"/>
      <c r="Q90" s="114"/>
      <c r="R90" s="108">
        <f>IF(OR(LEFT(D90,4)*1&lt;LEFT('General inputs'!$I$16,4)*1,LEFT(D90,4)*1&gt;LEFT('General inputs'!$I$16,4)+'General inputs'!$H$38-1),"",Q90/(1+'General inputs'!$H$34)^C90)</f>
        <v>0</v>
      </c>
      <c r="S90" s="86"/>
      <c r="T90" s="114"/>
      <c r="U90" s="108">
        <f>IF(OR(LEFT(D90,4)*1&lt;LEFT('General inputs'!$I$16,4)*1,LEFT(D90,4)*1&gt;LEFT('General inputs'!$I$16,4)+'General inputs'!$H$38-1),"",T90/(1+'General inputs'!$H$34)^C90)</f>
        <v>0</v>
      </c>
      <c r="V90" s="88"/>
      <c r="W90" s="87"/>
    </row>
    <row r="91" spans="2:23" x14ac:dyDescent="0.25">
      <c r="B91" s="60"/>
      <c r="C91" s="106">
        <f>IF(D91='General inputs'!$I$16,0,IF(D91&lt;'General inputs'!$I$16,C92-1,C90+1))</f>
        <v>29</v>
      </c>
      <c r="D91" s="106" t="str">
        <f t="shared" si="1"/>
        <v>2047-48</v>
      </c>
      <c r="E91" s="108">
        <f>IF(LEFT(D91,4)*1&gt;LEFT('General inputs'!$I$16,4)+'General inputs'!$H$38-1,"",'ET inputs'!D64)</f>
        <v>270</v>
      </c>
      <c r="F91" s="108">
        <f>IF(LEFT(D91,4)*1&gt;LEFT('General inputs'!$I$16,4)+'General inputs'!$H$38-1,"",E91/(1+'General inputs'!$H$30)^C91)</f>
        <v>114.57351782137371</v>
      </c>
      <c r="G91" s="108">
        <f>IF(LEFT(D91,4)*1&gt;LEFT('General inputs'!$I$16,4)+'General inputs'!$H$38-1,"",E91/(1+'General inputs'!$H$32)^C91)</f>
        <v>65.595506693935761</v>
      </c>
      <c r="H91" s="108">
        <f>IF(LEFT(D91,4)*1&lt;LEFT('General inputs'!$I$16,4)*1,"",IF(LEFT(D91,4)*1&gt;LEFT('General inputs'!$I$16,4)+'General inputs'!$H$38-1,"",E91/(1+'General inputs'!$H$34)^C91))</f>
        <v>65.595506693935761</v>
      </c>
      <c r="I91" s="86"/>
      <c r="J91" s="135"/>
      <c r="K91" s="135"/>
      <c r="L91" s="108" t="str">
        <f>IF(LEFT(D91,4)*1&gt;LEFT('General inputs'!$I$18,4)*1,"",SUMIF('Post-1996 commissioned assets'!$F$22:$F$218,$D91,'Post-1996 commissioned assets'!$P$22:$P$218))</f>
        <v/>
      </c>
      <c r="M91" s="108" t="str">
        <f>IF(L91="","",L91/(1+'General inputs'!$H$32)^C91)</f>
        <v/>
      </c>
      <c r="N91" s="108">
        <f>IF(LEFT(D91,4)*1&lt;LEFT('General inputs'!$I$18,4)*1+1,"",SUMIF('Uncommissioned assets'!$F$22:$F$218,$D91,'Uncommissioned assets'!$P$22:$P$218))</f>
        <v>0</v>
      </c>
      <c r="O91" s="108">
        <f>IF(N91="","",N91/(1+'General inputs'!$H$32)^C91)</f>
        <v>0</v>
      </c>
      <c r="P91" s="86"/>
      <c r="Q91" s="114"/>
      <c r="R91" s="108">
        <f>IF(OR(LEFT(D91,4)*1&lt;LEFT('General inputs'!$I$16,4)*1,LEFT(D91,4)*1&gt;LEFT('General inputs'!$I$16,4)+'General inputs'!$H$38-1),"",Q91/(1+'General inputs'!$H$34)^C91)</f>
        <v>0</v>
      </c>
      <c r="S91" s="86"/>
      <c r="T91" s="114"/>
      <c r="U91" s="108">
        <f>IF(OR(LEFT(D91,4)*1&lt;LEFT('General inputs'!$I$16,4)*1,LEFT(D91,4)*1&gt;LEFT('General inputs'!$I$16,4)+'General inputs'!$H$38-1),"",T91/(1+'General inputs'!$H$34)^C91)</f>
        <v>0</v>
      </c>
      <c r="V91" s="88"/>
      <c r="W91" s="87"/>
    </row>
    <row r="92" spans="2:23" x14ac:dyDescent="0.25">
      <c r="B92" s="60"/>
      <c r="C92" s="106">
        <f>IF(D92='General inputs'!$I$16,0,IF(D92&lt;'General inputs'!$I$16,C93-1,C91+1))</f>
        <v>30</v>
      </c>
      <c r="D92" s="106" t="str">
        <f t="shared" si="1"/>
        <v>2048-49</v>
      </c>
      <c r="E92" s="108" t="str">
        <f>IF(LEFT(D92,4)*1&gt;LEFT('General inputs'!$I$16,4)+'General inputs'!$H$38-1,"",'ET inputs'!D65)</f>
        <v/>
      </c>
      <c r="F92" s="108" t="str">
        <f>IF(LEFT(D92,4)*1&gt;LEFT('General inputs'!$I$16,4)+'General inputs'!$H$38-1,"",E92/(1+'General inputs'!$H$30)^C92)</f>
        <v/>
      </c>
      <c r="G92" s="108" t="str">
        <f>IF(LEFT(D92,4)*1&gt;LEFT('General inputs'!$I$16,4)+'General inputs'!$H$38-1,"",E92/(1+'General inputs'!$H$32)^C92)</f>
        <v/>
      </c>
      <c r="H92" s="108" t="str">
        <f>IF(LEFT(D92,4)*1&lt;LEFT('General inputs'!$I$16,4)*1,"",IF(LEFT(D92,4)*1&gt;LEFT('General inputs'!$I$16,4)+'General inputs'!$H$38-1,"",E92/(1+'General inputs'!$H$34)^C92))</f>
        <v/>
      </c>
      <c r="I92" s="86"/>
      <c r="J92" s="135"/>
      <c r="K92" s="135"/>
      <c r="L92" s="108" t="str">
        <f>IF(LEFT(D92,4)*1&gt;LEFT('General inputs'!$I$18,4)*1,"",SUMIF('Post-1996 commissioned assets'!$F$22:$F$218,$D92,'Post-1996 commissioned assets'!$P$22:$P$218))</f>
        <v/>
      </c>
      <c r="M92" s="108" t="str">
        <f>IF(L92="","",L92/(1+'General inputs'!$H$32)^C92)</f>
        <v/>
      </c>
      <c r="N92" s="108">
        <f>IF(LEFT(D92,4)*1&lt;LEFT('General inputs'!$I$18,4)*1+1,"",SUMIF('Uncommissioned assets'!$F$22:$F$218,$D92,'Uncommissioned assets'!$P$22:$P$218))</f>
        <v>0</v>
      </c>
      <c r="O92" s="108">
        <f>IF(N92="","",N92/(1+'General inputs'!$H$32)^C92)</f>
        <v>0</v>
      </c>
      <c r="P92" s="86"/>
      <c r="Q92" s="114"/>
      <c r="R92" s="108" t="str">
        <f>IF(OR(LEFT(D92,4)*1&lt;LEFT('General inputs'!$I$16,4)*1,LEFT(D92,4)*1&gt;LEFT('General inputs'!$I$16,4)+'General inputs'!$H$38-1),"",Q92/(1+'General inputs'!$H$34)^C92)</f>
        <v/>
      </c>
      <c r="S92" s="86"/>
      <c r="T92" s="114"/>
      <c r="U92" s="108" t="str">
        <f>IF(OR(LEFT(D92,4)*1&lt;LEFT('General inputs'!$I$16,4)*1,LEFT(D92,4)*1&gt;LEFT('General inputs'!$I$16,4)+'General inputs'!$H$38-1),"",T92/(1+'General inputs'!$H$34)^C92)</f>
        <v/>
      </c>
      <c r="V92" s="88"/>
      <c r="W92" s="87"/>
    </row>
    <row r="93" spans="2:23" x14ac:dyDescent="0.25">
      <c r="B93" s="60"/>
      <c r="C93" s="106">
        <f>IF(D93='General inputs'!$I$16,0,IF(D93&lt;'General inputs'!$I$16,C94-1,C92+1))</f>
        <v>31</v>
      </c>
      <c r="D93" s="106" t="str">
        <f t="shared" si="1"/>
        <v>2049-50</v>
      </c>
      <c r="E93" s="108" t="str">
        <f>IF(LEFT(D93,4)*1&gt;LEFT('General inputs'!$I$16,4)+'General inputs'!$H$38-1,"",'ET inputs'!D66)</f>
        <v/>
      </c>
      <c r="F93" s="108" t="str">
        <f>IF(LEFT(D93,4)*1&gt;LEFT('General inputs'!$I$16,4)+'General inputs'!$H$38-1,"",E93/(1+'General inputs'!$H$30)^C93)</f>
        <v/>
      </c>
      <c r="G93" s="108" t="str">
        <f>IF(LEFT(D93,4)*1&gt;LEFT('General inputs'!$I$16,4)+'General inputs'!$H$38-1,"",E93/(1+'General inputs'!$H$32)^C93)</f>
        <v/>
      </c>
      <c r="H93" s="108" t="str">
        <f>IF(LEFT(D93,4)*1&lt;LEFT('General inputs'!$I$16,4)*1,"",IF(LEFT(D93,4)*1&gt;LEFT('General inputs'!$I$16,4)+'General inputs'!$H$38-1,"",E93/(1+'General inputs'!$H$34)^C93))</f>
        <v/>
      </c>
      <c r="I93" s="86"/>
      <c r="J93" s="135"/>
      <c r="K93" s="135"/>
      <c r="L93" s="108" t="str">
        <f>IF(LEFT(D93,4)*1&gt;LEFT('General inputs'!$I$18,4)*1,"",SUMIF('Post-1996 commissioned assets'!$F$22:$F$218,$D93,'Post-1996 commissioned assets'!$P$22:$P$218))</f>
        <v/>
      </c>
      <c r="M93" s="108" t="str">
        <f>IF(L93="","",L93/(1+'General inputs'!$H$32)^C93)</f>
        <v/>
      </c>
      <c r="N93" s="108">
        <f>IF(LEFT(D93,4)*1&lt;LEFT('General inputs'!$I$18,4)*1+1,"",SUMIF('Uncommissioned assets'!$F$22:$F$218,$D93,'Uncommissioned assets'!$P$22:$P$218))</f>
        <v>0</v>
      </c>
      <c r="O93" s="108">
        <f>IF(N93="","",N93/(1+'General inputs'!$H$32)^C93)</f>
        <v>0</v>
      </c>
      <c r="P93" s="86"/>
      <c r="Q93" s="114"/>
      <c r="R93" s="108" t="str">
        <f>IF(OR(LEFT(D93,4)*1&lt;LEFT('General inputs'!$I$16,4)*1,LEFT(D93,4)*1&gt;LEFT('General inputs'!$I$16,4)+'General inputs'!$H$38-1),"",Q93/(1+'General inputs'!$H$34)^C93)</f>
        <v/>
      </c>
      <c r="S93" s="86"/>
      <c r="T93" s="114"/>
      <c r="U93" s="108" t="str">
        <f>IF(OR(LEFT(D93,4)*1&lt;LEFT('General inputs'!$I$16,4)*1,LEFT(D93,4)*1&gt;LEFT('General inputs'!$I$16,4)+'General inputs'!$H$38-1),"",T93/(1+'General inputs'!$H$34)^C93)</f>
        <v/>
      </c>
      <c r="V93" s="88"/>
      <c r="W93" s="87"/>
    </row>
    <row r="94" spans="2:23" x14ac:dyDescent="0.25">
      <c r="B94" s="60"/>
      <c r="C94" s="106">
        <f>IF(D94='General inputs'!$I$16,0,IF(D94&lt;'General inputs'!$I$16,C95-1,C93+1))</f>
        <v>32</v>
      </c>
      <c r="D94" s="106" t="str">
        <f t="shared" si="1"/>
        <v>2050-51</v>
      </c>
      <c r="E94" s="108" t="str">
        <f>IF(LEFT(D94,4)*1&gt;LEFT('General inputs'!$I$16,4)+'General inputs'!$H$38-1,"",'ET inputs'!D67)</f>
        <v/>
      </c>
      <c r="F94" s="108" t="str">
        <f>IF(LEFT(D94,4)*1&gt;LEFT('General inputs'!$I$16,4)+'General inputs'!$H$38-1,"",E94/(1+'General inputs'!$H$30)^C94)</f>
        <v/>
      </c>
      <c r="G94" s="108" t="str">
        <f>IF(LEFT(D94,4)*1&gt;LEFT('General inputs'!$I$16,4)+'General inputs'!$H$38-1,"",E94/(1+'General inputs'!$H$32)^C94)</f>
        <v/>
      </c>
      <c r="H94" s="108" t="str">
        <f>IF(LEFT(D94,4)*1&lt;LEFT('General inputs'!$I$16,4)*1,"",IF(LEFT(D94,4)*1&gt;LEFT('General inputs'!$I$16,4)+'General inputs'!$H$38-1,"",E94/(1+'General inputs'!$H$34)^C94))</f>
        <v/>
      </c>
      <c r="I94" s="86"/>
      <c r="J94" s="135"/>
      <c r="K94" s="135"/>
      <c r="L94" s="108" t="str">
        <f>IF(LEFT(D94,4)*1&gt;LEFT('General inputs'!$I$18,4)*1,"",SUMIF('Post-1996 commissioned assets'!$F$22:$F$218,$D94,'Post-1996 commissioned assets'!$P$22:$P$218))</f>
        <v/>
      </c>
      <c r="M94" s="108" t="str">
        <f>IF(L94="","",L94/(1+'General inputs'!$H$32)^C94)</f>
        <v/>
      </c>
      <c r="N94" s="108">
        <f>IF(LEFT(D94,4)*1&lt;LEFT('General inputs'!$I$18,4)*1+1,"",SUMIF('Uncommissioned assets'!$F$22:$F$218,$D94,'Uncommissioned assets'!$P$22:$P$218))</f>
        <v>0</v>
      </c>
      <c r="O94" s="108">
        <f>IF(N94="","",N94/(1+'General inputs'!$H$32)^C94)</f>
        <v>0</v>
      </c>
      <c r="P94" s="86"/>
      <c r="Q94" s="114"/>
      <c r="R94" s="108" t="str">
        <f>IF(OR(LEFT(D94,4)*1&lt;LEFT('General inputs'!$I$16,4)*1,LEFT(D94,4)*1&gt;LEFT('General inputs'!$I$16,4)+'General inputs'!$H$38-1),"",Q94/(1+'General inputs'!$H$34)^C94)</f>
        <v/>
      </c>
      <c r="S94" s="86"/>
      <c r="T94" s="114"/>
      <c r="U94" s="108" t="str">
        <f>IF(OR(LEFT(D94,4)*1&lt;LEFT('General inputs'!$I$16,4)*1,LEFT(D94,4)*1&gt;LEFT('General inputs'!$I$16,4)+'General inputs'!$H$38-1),"",T94/(1+'General inputs'!$H$34)^C94)</f>
        <v/>
      </c>
      <c r="V94" s="88"/>
      <c r="W94" s="87"/>
    </row>
    <row r="95" spans="2:23" x14ac:dyDescent="0.25">
      <c r="B95" s="60"/>
      <c r="C95" s="106">
        <f>IF(D95='General inputs'!$I$16,0,IF(D95&lt;'General inputs'!$I$16,C96-1,C94+1))</f>
        <v>33</v>
      </c>
      <c r="D95" s="106" t="str">
        <f t="shared" si="1"/>
        <v>2051-52</v>
      </c>
      <c r="E95" s="108" t="str">
        <f>IF(LEFT(D95,4)*1&gt;LEFT('General inputs'!$I$16,4)+'General inputs'!$H$38-1,"",'ET inputs'!D68)</f>
        <v/>
      </c>
      <c r="F95" s="108" t="str">
        <f>IF(LEFT(D95,4)*1&gt;LEFT('General inputs'!$I$16,4)+'General inputs'!$H$38-1,"",E95/(1+'General inputs'!$H$30)^C95)</f>
        <v/>
      </c>
      <c r="G95" s="108" t="str">
        <f>IF(LEFT(D95,4)*1&gt;LEFT('General inputs'!$I$16,4)+'General inputs'!$H$38-1,"",E95/(1+'General inputs'!$H$32)^C95)</f>
        <v/>
      </c>
      <c r="H95" s="108" t="str">
        <f>IF(LEFT(D95,4)*1&lt;LEFT('General inputs'!$I$16,4)*1,"",IF(LEFT(D95,4)*1&gt;LEFT('General inputs'!$I$16,4)+'General inputs'!$H$38-1,"",E95/(1+'General inputs'!$H$34)^C95))</f>
        <v/>
      </c>
      <c r="I95" s="86"/>
      <c r="J95" s="135"/>
      <c r="K95" s="135"/>
      <c r="L95" s="108" t="str">
        <f>IF(LEFT(D95,4)*1&gt;LEFT('General inputs'!$I$18,4)*1,"",SUMIF('Post-1996 commissioned assets'!$F$22:$F$218,$D95,'Post-1996 commissioned assets'!$P$22:$P$218))</f>
        <v/>
      </c>
      <c r="M95" s="108" t="str">
        <f>IF(L95="","",L95/(1+'General inputs'!$H$32)^C95)</f>
        <v/>
      </c>
      <c r="N95" s="108">
        <f>IF(LEFT(D95,4)*1&lt;LEFT('General inputs'!$I$18,4)*1+1,"",SUMIF('Uncommissioned assets'!$F$22:$F$218,$D95,'Uncommissioned assets'!$P$22:$P$218))</f>
        <v>0</v>
      </c>
      <c r="O95" s="108">
        <f>IF(N95="","",N95/(1+'General inputs'!$H$32)^C95)</f>
        <v>0</v>
      </c>
      <c r="P95" s="86"/>
      <c r="Q95" s="114"/>
      <c r="R95" s="108" t="str">
        <f>IF(OR(LEFT(D95,4)*1&lt;LEFT('General inputs'!$I$16,4)*1,LEFT(D95,4)*1&gt;LEFT('General inputs'!$I$16,4)+'General inputs'!$H$38-1),"",Q95/(1+'General inputs'!$H$34)^C95)</f>
        <v/>
      </c>
      <c r="S95" s="86"/>
      <c r="T95" s="114"/>
      <c r="U95" s="108" t="str">
        <f>IF(OR(LEFT(D95,4)*1&lt;LEFT('General inputs'!$I$16,4)*1,LEFT(D95,4)*1&gt;LEFT('General inputs'!$I$16,4)+'General inputs'!$H$38-1),"",T95/(1+'General inputs'!$H$34)^C95)</f>
        <v/>
      </c>
      <c r="V95" s="88"/>
      <c r="W95" s="87"/>
    </row>
    <row r="96" spans="2:23" x14ac:dyDescent="0.25">
      <c r="B96" s="60"/>
      <c r="C96" s="106">
        <f>IF(D96='General inputs'!$I$16,0,IF(D96&lt;'General inputs'!$I$16,C97-1,C95+1))</f>
        <v>34</v>
      </c>
      <c r="D96" s="106" t="str">
        <f t="shared" si="1"/>
        <v>2052-53</v>
      </c>
      <c r="E96" s="108" t="str">
        <f>IF(LEFT(D96,4)*1&gt;LEFT('General inputs'!$I$16,4)+'General inputs'!$H$38-1,"",'ET inputs'!D69)</f>
        <v/>
      </c>
      <c r="F96" s="108" t="str">
        <f>IF(LEFT(D96,4)*1&gt;LEFT('General inputs'!$I$16,4)+'General inputs'!$H$38-1,"",E96/(1+'General inputs'!$H$30)^C96)</f>
        <v/>
      </c>
      <c r="G96" s="108" t="str">
        <f>IF(LEFT(D96,4)*1&gt;LEFT('General inputs'!$I$16,4)+'General inputs'!$H$38-1,"",E96/(1+'General inputs'!$H$32)^C96)</f>
        <v/>
      </c>
      <c r="H96" s="108" t="str">
        <f>IF(LEFT(D96,4)*1&lt;LEFT('General inputs'!$I$16,4)*1,"",IF(LEFT(D96,4)*1&gt;LEFT('General inputs'!$I$16,4)+'General inputs'!$H$38-1,"",E96/(1+'General inputs'!$H$34)^C96))</f>
        <v/>
      </c>
      <c r="I96" s="86"/>
      <c r="J96" s="135"/>
      <c r="K96" s="135"/>
      <c r="L96" s="108" t="str">
        <f>IF(LEFT(D96,4)*1&gt;LEFT('General inputs'!$I$18,4)*1,"",SUMIF('Post-1996 commissioned assets'!$F$22:$F$218,$D96,'Post-1996 commissioned assets'!$P$22:$P$218))</f>
        <v/>
      </c>
      <c r="M96" s="108" t="str">
        <f>IF(L96="","",L96/(1+'General inputs'!$H$32)^C96)</f>
        <v/>
      </c>
      <c r="N96" s="108">
        <f>IF(LEFT(D96,4)*1&lt;LEFT('General inputs'!$I$18,4)*1+1,"",SUMIF('Uncommissioned assets'!$F$22:$F$218,$D96,'Uncommissioned assets'!$P$22:$P$218))</f>
        <v>0</v>
      </c>
      <c r="O96" s="108">
        <f>IF(N96="","",N96/(1+'General inputs'!$H$32)^C96)</f>
        <v>0</v>
      </c>
      <c r="P96" s="86"/>
      <c r="Q96" s="115"/>
      <c r="R96" s="108" t="str">
        <f>IF(OR(LEFT(D96,4)*1&lt;LEFT('General inputs'!$I$16,4)*1,LEFT(D96,4)*1&gt;LEFT('General inputs'!$I$16,4)+'General inputs'!$H$38-1),"",Q96/(1+'General inputs'!$H$34)^C96)</f>
        <v/>
      </c>
      <c r="S96" s="86"/>
      <c r="T96" s="115"/>
      <c r="U96" s="108" t="str">
        <f>IF(OR(LEFT(D96,4)*1&lt;LEFT('General inputs'!$I$16,4)*1,LEFT(D96,4)*1&gt;LEFT('General inputs'!$I$16,4)+'General inputs'!$H$38-1),"",T96/(1+'General inputs'!$H$34)^C96)</f>
        <v/>
      </c>
      <c r="V96" s="88"/>
      <c r="W96" s="87"/>
    </row>
    <row r="97" spans="2:23" x14ac:dyDescent="0.25">
      <c r="B97" s="60"/>
      <c r="C97" s="106">
        <f>IF(D97='General inputs'!$I$16,0,IF(D97&lt;'General inputs'!$I$16,C98-1,C96+1))</f>
        <v>35</v>
      </c>
      <c r="D97" s="106" t="str">
        <f t="shared" si="1"/>
        <v>2053-54</v>
      </c>
      <c r="E97" s="108" t="str">
        <f>IF(LEFT(D97,4)*1&gt;LEFT('General inputs'!$I$16,4)+'General inputs'!$H$38-1,"",'ET inputs'!D70)</f>
        <v/>
      </c>
      <c r="F97" s="108" t="str">
        <f>IF(LEFT(D97,4)*1&gt;LEFT('General inputs'!$I$16,4)+'General inputs'!$H$38-1,"",E97/(1+'General inputs'!$H$30)^C97)</f>
        <v/>
      </c>
      <c r="G97" s="108" t="str">
        <f>IF(LEFT(D97,4)*1&gt;LEFT('General inputs'!$I$16,4)+'General inputs'!$H$38-1,"",E97/(1+'General inputs'!$H$32)^C97)</f>
        <v/>
      </c>
      <c r="H97" s="108" t="str">
        <f>IF(LEFT(D97,4)*1&lt;LEFT('General inputs'!$I$16,4)*1,"",IF(LEFT(D97,4)*1&gt;LEFT('General inputs'!$I$16,4)+'General inputs'!$H$38-1,"",E97/(1+'General inputs'!$H$34)^C97))</f>
        <v/>
      </c>
      <c r="I97" s="86"/>
      <c r="J97" s="135"/>
      <c r="K97" s="135"/>
      <c r="L97" s="108" t="str">
        <f>IF(LEFT(D97,4)*1&gt;LEFT('General inputs'!$I$18,4)*1,"",SUMIF('Post-1996 commissioned assets'!$F$22:$F$218,$D97,'Post-1996 commissioned assets'!$P$22:$P$218))</f>
        <v/>
      </c>
      <c r="M97" s="108" t="str">
        <f>IF(L97="","",L97/(1+'General inputs'!$H$32)^C97)</f>
        <v/>
      </c>
      <c r="N97" s="108">
        <f>IF(LEFT(D97,4)*1&lt;LEFT('General inputs'!$I$18,4)*1+1,"",SUMIF('Uncommissioned assets'!$F$22:$F$218,$D97,'Uncommissioned assets'!$P$22:$P$218))</f>
        <v>0</v>
      </c>
      <c r="O97" s="108">
        <f>IF(N97="","",N97/(1+'General inputs'!$H$32)^C97)</f>
        <v>0</v>
      </c>
      <c r="P97" s="86"/>
      <c r="Q97" s="115"/>
      <c r="R97" s="108" t="str">
        <f>IF(OR(LEFT(D97,4)*1&lt;LEFT('General inputs'!$I$16,4)*1,LEFT(D97,4)*1&gt;LEFT('General inputs'!$I$16,4)+'General inputs'!$H$38-1),"",Q97/(1+'General inputs'!$H$34)^C97)</f>
        <v/>
      </c>
      <c r="S97" s="86"/>
      <c r="T97" s="115"/>
      <c r="U97" s="108" t="str">
        <f>IF(OR(LEFT(D97,4)*1&lt;LEFT('General inputs'!$I$16,4)*1,LEFT(D97,4)*1&gt;LEFT('General inputs'!$I$16,4)+'General inputs'!$H$38-1),"",T97/(1+'General inputs'!$H$34)^C97)</f>
        <v/>
      </c>
      <c r="V97" s="88"/>
      <c r="W97" s="87"/>
    </row>
    <row r="98" spans="2:23" x14ac:dyDescent="0.25">
      <c r="B98" s="60"/>
      <c r="C98" s="106">
        <f>IF(D98='General inputs'!$I$16,0,IF(D98&lt;'General inputs'!$I$16,C99-1,C97+1))</f>
        <v>36</v>
      </c>
      <c r="D98" s="106" t="str">
        <f t="shared" si="1"/>
        <v>2054-55</v>
      </c>
      <c r="E98" s="108" t="str">
        <f>IF(LEFT(D98,4)*1&gt;LEFT('General inputs'!$I$16,4)+'General inputs'!$H$38-1,"",'ET inputs'!D71)</f>
        <v/>
      </c>
      <c r="F98" s="108" t="str">
        <f>IF(LEFT(D98,4)*1&gt;LEFT('General inputs'!$I$16,4)+'General inputs'!$H$38-1,"",E98/(1+'General inputs'!$H$30)^C98)</f>
        <v/>
      </c>
      <c r="G98" s="108" t="str">
        <f>IF(LEFT(D98,4)*1&gt;LEFT('General inputs'!$I$16,4)+'General inputs'!$H$38-1,"",E98/(1+'General inputs'!$H$32)^C98)</f>
        <v/>
      </c>
      <c r="H98" s="108" t="str">
        <f>IF(LEFT(D98,4)*1&lt;LEFT('General inputs'!$I$16,4)*1,"",IF(LEFT(D98,4)*1&gt;LEFT('General inputs'!$I$16,4)+'General inputs'!$H$38-1,"",E98/(1+'General inputs'!$H$34)^C98))</f>
        <v/>
      </c>
      <c r="I98" s="86"/>
      <c r="J98" s="135"/>
      <c r="K98" s="135"/>
      <c r="L98" s="108" t="str">
        <f>IF(LEFT(D98,4)*1&gt;LEFT('General inputs'!$I$18,4)*1,"",SUMIF('Post-1996 commissioned assets'!$F$22:$F$218,$D98,'Post-1996 commissioned assets'!$P$22:$P$218))</f>
        <v/>
      </c>
      <c r="M98" s="108" t="str">
        <f>IF(L98="","",L98/(1+'General inputs'!$H$32)^C98)</f>
        <v/>
      </c>
      <c r="N98" s="108">
        <f>IF(LEFT(D98,4)*1&lt;LEFT('General inputs'!$I$18,4)*1+1,"",SUMIF('Uncommissioned assets'!$F$22:$F$218,$D98,'Uncommissioned assets'!$P$22:$P$218))</f>
        <v>0</v>
      </c>
      <c r="O98" s="108">
        <f>IF(N98="","",N98/(1+'General inputs'!$H$32)^C98)</f>
        <v>0</v>
      </c>
      <c r="P98" s="86"/>
      <c r="Q98" s="115"/>
      <c r="R98" s="108" t="str">
        <f>IF(OR(LEFT(D98,4)*1&lt;LEFT('General inputs'!$I$16,4)*1,LEFT(D98,4)*1&gt;LEFT('General inputs'!$I$16,4)+'General inputs'!$H$38-1),"",Q98/(1+'General inputs'!$H$34)^C98)</f>
        <v/>
      </c>
      <c r="S98" s="86"/>
      <c r="T98" s="115"/>
      <c r="U98" s="108" t="str">
        <f>IF(OR(LEFT(D98,4)*1&lt;LEFT('General inputs'!$I$16,4)*1,LEFT(D98,4)*1&gt;LEFT('General inputs'!$I$16,4)+'General inputs'!$H$38-1),"",T98/(1+'General inputs'!$H$34)^C98)</f>
        <v/>
      </c>
      <c r="V98" s="88"/>
      <c r="W98" s="87"/>
    </row>
    <row r="99" spans="2:23" x14ac:dyDescent="0.25">
      <c r="B99" s="60"/>
      <c r="C99" s="106">
        <f>IF(D99='General inputs'!$I$16,0,IF(D99&lt;'General inputs'!$I$16,C100-1,C98+1))</f>
        <v>37</v>
      </c>
      <c r="D99" s="106" t="str">
        <f t="shared" si="1"/>
        <v>2055-56</v>
      </c>
      <c r="E99" s="108" t="str">
        <f>IF(LEFT(D99,4)*1&gt;LEFT('General inputs'!$I$16,4)+'General inputs'!$H$38-1,"",'ET inputs'!D72)</f>
        <v/>
      </c>
      <c r="F99" s="108" t="str">
        <f>IF(LEFT(D99,4)*1&gt;LEFT('General inputs'!$I$16,4)+'General inputs'!$H$38-1,"",E99/(1+'General inputs'!$H$30)^C99)</f>
        <v/>
      </c>
      <c r="G99" s="108" t="str">
        <f>IF(LEFT(D99,4)*1&gt;LEFT('General inputs'!$I$16,4)+'General inputs'!$H$38-1,"",E99/(1+'General inputs'!$H$32)^C99)</f>
        <v/>
      </c>
      <c r="H99" s="108" t="str">
        <f>IF(LEFT(D99,4)*1&lt;LEFT('General inputs'!$I$16,4)*1,"",IF(LEFT(D99,4)*1&gt;LEFT('General inputs'!$I$16,4)+'General inputs'!$H$38-1,"",E99/(1+'General inputs'!$H$34)^C99))</f>
        <v/>
      </c>
      <c r="I99" s="86"/>
      <c r="J99" s="135"/>
      <c r="K99" s="135"/>
      <c r="L99" s="108" t="str">
        <f>IF(LEFT(D99,4)*1&gt;LEFT('General inputs'!$I$18,4)*1,"",SUMIF('Post-1996 commissioned assets'!$F$22:$F$218,$D99,'Post-1996 commissioned assets'!$P$22:$P$218))</f>
        <v/>
      </c>
      <c r="M99" s="108" t="str">
        <f>IF(L99="","",L99/(1+'General inputs'!$H$32)^C99)</f>
        <v/>
      </c>
      <c r="N99" s="108">
        <f>IF(LEFT(D99,4)*1&lt;LEFT('General inputs'!$I$18,4)*1+1,"",SUMIF('Uncommissioned assets'!$F$22:$F$218,$D99,'Uncommissioned assets'!$P$22:$P$218))</f>
        <v>0</v>
      </c>
      <c r="O99" s="108">
        <f>IF(N99="","",N99/(1+'General inputs'!$H$32)^C99)</f>
        <v>0</v>
      </c>
      <c r="P99" s="86"/>
      <c r="Q99" s="115"/>
      <c r="R99" s="108" t="str">
        <f>IF(OR(LEFT(D99,4)*1&lt;LEFT('General inputs'!$I$16,4)*1,LEFT(D99,4)*1&gt;LEFT('General inputs'!$I$16,4)+'General inputs'!$H$38-1),"",Q99/(1+'General inputs'!$H$34)^C99)</f>
        <v/>
      </c>
      <c r="S99" s="86"/>
      <c r="T99" s="115"/>
      <c r="U99" s="108" t="str">
        <f>IF(OR(LEFT(D99,4)*1&lt;LEFT('General inputs'!$I$16,4)*1,LEFT(D99,4)*1&gt;LEFT('General inputs'!$I$16,4)+'General inputs'!$H$38-1),"",T99/(1+'General inputs'!$H$34)^C99)</f>
        <v/>
      </c>
      <c r="V99" s="88"/>
      <c r="W99" s="87"/>
    </row>
    <row r="100" spans="2:23" x14ac:dyDescent="0.25">
      <c r="B100" s="60"/>
      <c r="C100" s="106">
        <f>IF(D100='General inputs'!$I$16,0,IF(D100&lt;'General inputs'!$I$16,C101-1,C99+1))</f>
        <v>38</v>
      </c>
      <c r="D100" s="106" t="str">
        <f t="shared" ref="D100:D122" si="3">LEFT(D99,4)+1&amp;"-"&amp;RIGHT(D99,2)+1</f>
        <v>2056-57</v>
      </c>
      <c r="E100" s="108" t="str">
        <f>IF(LEFT(D100,4)*1&gt;LEFT('General inputs'!$I$16,4)+'General inputs'!$H$38-1,"",'ET inputs'!D73)</f>
        <v/>
      </c>
      <c r="F100" s="108" t="str">
        <f>IF(LEFT(D100,4)*1&gt;LEFT('General inputs'!$I$16,4)+'General inputs'!$H$38-1,"",E100/(1+'General inputs'!$H$30)^C100)</f>
        <v/>
      </c>
      <c r="G100" s="108" t="str">
        <f>IF(LEFT(D100,4)*1&gt;LEFT('General inputs'!$I$16,4)+'General inputs'!$H$38-1,"",E100/(1+'General inputs'!$H$32)^C100)</f>
        <v/>
      </c>
      <c r="H100" s="108" t="str">
        <f>IF(LEFT(D100,4)*1&lt;LEFT('General inputs'!$I$16,4)*1,"",IF(LEFT(D100,4)*1&gt;LEFT('General inputs'!$I$16,4)+'General inputs'!$H$38-1,"",E100/(1+'General inputs'!$H$34)^C100))</f>
        <v/>
      </c>
      <c r="I100" s="86"/>
      <c r="J100" s="135"/>
      <c r="K100" s="135"/>
      <c r="L100" s="108" t="str">
        <f>IF(LEFT(D100,4)*1&gt;LEFT('General inputs'!$I$18,4)*1,"",SUMIF('Post-1996 commissioned assets'!$F$22:$F$218,$D100,'Post-1996 commissioned assets'!$P$22:$P$218))</f>
        <v/>
      </c>
      <c r="M100" s="108" t="str">
        <f>IF(L100="","",L100/(1+'General inputs'!$H$32)^C100)</f>
        <v/>
      </c>
      <c r="N100" s="108">
        <f>IF(LEFT(D100,4)*1&lt;LEFT('General inputs'!$I$18,4)*1+1,"",SUMIF('Uncommissioned assets'!$F$22:$F$218,$D100,'Uncommissioned assets'!$P$22:$P$218))</f>
        <v>0</v>
      </c>
      <c r="O100" s="108">
        <f>IF(N100="","",N100/(1+'General inputs'!$H$32)^C100)</f>
        <v>0</v>
      </c>
      <c r="P100" s="86"/>
      <c r="Q100" s="115"/>
      <c r="R100" s="108" t="str">
        <f>IF(OR(LEFT(D100,4)*1&lt;LEFT('General inputs'!$I$16,4)*1,LEFT(D100,4)*1&gt;LEFT('General inputs'!$I$16,4)+'General inputs'!$H$38-1),"",Q100/(1+'General inputs'!$H$34)^C100)</f>
        <v/>
      </c>
      <c r="S100" s="86"/>
      <c r="T100" s="115"/>
      <c r="U100" s="108" t="str">
        <f>IF(OR(LEFT(D100,4)*1&lt;LEFT('General inputs'!$I$16,4)*1,LEFT(D100,4)*1&gt;LEFT('General inputs'!$I$16,4)+'General inputs'!$H$38-1),"",T100/(1+'General inputs'!$H$34)^C100)</f>
        <v/>
      </c>
      <c r="V100" s="88"/>
      <c r="W100" s="87"/>
    </row>
    <row r="101" spans="2:23" x14ac:dyDescent="0.25">
      <c r="B101" s="60"/>
      <c r="C101" s="106">
        <f>IF(D101='General inputs'!$I$16,0,IF(D101&lt;'General inputs'!$I$16,C102-1,C100+1))</f>
        <v>39</v>
      </c>
      <c r="D101" s="106" t="str">
        <f t="shared" si="3"/>
        <v>2057-58</v>
      </c>
      <c r="E101" s="108" t="str">
        <f>IF(LEFT(D101,4)*1&gt;LEFT('General inputs'!$I$16,4)+'General inputs'!$H$38-1,"",'ET inputs'!D74)</f>
        <v/>
      </c>
      <c r="F101" s="108" t="str">
        <f>IF(LEFT(D101,4)*1&gt;LEFT('General inputs'!$I$16,4)+'General inputs'!$H$38-1,"",E101/(1+'General inputs'!$H$30)^C101)</f>
        <v/>
      </c>
      <c r="G101" s="108" t="str">
        <f>IF(LEFT(D101,4)*1&gt;LEFT('General inputs'!$I$16,4)+'General inputs'!$H$38-1,"",E101/(1+'General inputs'!$H$32)^C101)</f>
        <v/>
      </c>
      <c r="H101" s="108" t="str">
        <f>IF(LEFT(D101,4)*1&lt;LEFT('General inputs'!$I$16,4)*1,"",IF(LEFT(D101,4)*1&gt;LEFT('General inputs'!$I$16,4)+'General inputs'!$H$38-1,"",E101/(1+'General inputs'!$H$34)^C101))</f>
        <v/>
      </c>
      <c r="I101" s="86"/>
      <c r="J101" s="135"/>
      <c r="K101" s="135"/>
      <c r="L101" s="108" t="str">
        <f>IF(LEFT(D101,4)*1&gt;LEFT('General inputs'!$I$18,4)*1,"",SUMIF('Post-1996 commissioned assets'!$F$22:$F$218,$D101,'Post-1996 commissioned assets'!$P$22:$P$218))</f>
        <v/>
      </c>
      <c r="M101" s="108" t="str">
        <f>IF(L101="","",L101/(1+'General inputs'!$H$32)^C101)</f>
        <v/>
      </c>
      <c r="N101" s="108">
        <f>IF(LEFT(D101,4)*1&lt;LEFT('General inputs'!$I$18,4)*1+1,"",SUMIF('Uncommissioned assets'!$F$22:$F$218,$D101,'Uncommissioned assets'!$P$22:$P$218))</f>
        <v>0</v>
      </c>
      <c r="O101" s="108">
        <f>IF(N101="","",N101/(1+'General inputs'!$H$32)^C101)</f>
        <v>0</v>
      </c>
      <c r="P101" s="86"/>
      <c r="Q101" s="115"/>
      <c r="R101" s="108" t="str">
        <f>IF(OR(LEFT(D101,4)*1&lt;LEFT('General inputs'!$I$16,4)*1,LEFT(D101,4)*1&gt;LEFT('General inputs'!$I$16,4)+'General inputs'!$H$38-1),"",Q101/(1+'General inputs'!$H$34)^C101)</f>
        <v/>
      </c>
      <c r="S101" s="86"/>
      <c r="T101" s="115"/>
      <c r="U101" s="108" t="str">
        <f>IF(OR(LEFT(D101,4)*1&lt;LEFT('General inputs'!$I$16,4)*1,LEFT(D101,4)*1&gt;LEFT('General inputs'!$I$16,4)+'General inputs'!$H$38-1),"",T101/(1+'General inputs'!$H$34)^C101)</f>
        <v/>
      </c>
      <c r="V101" s="88"/>
      <c r="W101" s="87"/>
    </row>
    <row r="102" spans="2:23" x14ac:dyDescent="0.25">
      <c r="B102" s="60"/>
      <c r="C102" s="106">
        <f>IF(D102='General inputs'!$I$16,0,IF(D102&lt;'General inputs'!$I$16,C103-1,C101+1))</f>
        <v>40</v>
      </c>
      <c r="D102" s="106" t="str">
        <f t="shared" si="3"/>
        <v>2058-59</v>
      </c>
      <c r="E102" s="108" t="str">
        <f>IF(LEFT(D102,4)*1&gt;LEFT('General inputs'!$I$16,4)+'General inputs'!$H$38-1,"",'ET inputs'!D75)</f>
        <v/>
      </c>
      <c r="F102" s="108" t="str">
        <f>IF(LEFT(D102,4)*1&gt;LEFT('General inputs'!$I$16,4)+'General inputs'!$H$38-1,"",E102/(1+'General inputs'!$H$30)^C102)</f>
        <v/>
      </c>
      <c r="G102" s="108" t="str">
        <f>IF(LEFT(D102,4)*1&gt;LEFT('General inputs'!$I$16,4)+'General inputs'!$H$38-1,"",E102/(1+'General inputs'!$H$32)^C102)</f>
        <v/>
      </c>
      <c r="H102" s="108" t="str">
        <f>IF(LEFT(D102,4)*1&lt;LEFT('General inputs'!$I$16,4)*1,"",IF(LEFT(D102,4)*1&gt;LEFT('General inputs'!$I$16,4)+'General inputs'!$H$38-1,"",E102/(1+'General inputs'!$H$34)^C102))</f>
        <v/>
      </c>
      <c r="I102" s="86"/>
      <c r="J102" s="135"/>
      <c r="K102" s="135"/>
      <c r="L102" s="108" t="str">
        <f>IF(LEFT(D102,4)*1&gt;LEFT('General inputs'!$I$18,4)*1,"",SUMIF('Post-1996 commissioned assets'!$F$22:$F$218,$D102,'Post-1996 commissioned assets'!$P$22:$P$218))</f>
        <v/>
      </c>
      <c r="M102" s="108" t="str">
        <f>IF(L102="","",L102/(1+'General inputs'!$H$32)^C102)</f>
        <v/>
      </c>
      <c r="N102" s="108">
        <f>IF(LEFT(D102,4)*1&lt;LEFT('General inputs'!$I$18,4)*1+1,"",SUMIF('Uncommissioned assets'!$F$22:$F$218,$D102,'Uncommissioned assets'!$P$22:$P$218))</f>
        <v>0</v>
      </c>
      <c r="O102" s="108">
        <f>IF(N102="","",N102/(1+'General inputs'!$H$32)^C102)</f>
        <v>0</v>
      </c>
      <c r="P102" s="86"/>
      <c r="Q102" s="115"/>
      <c r="R102" s="108" t="str">
        <f>IF(OR(LEFT(D102,4)*1&lt;LEFT('General inputs'!$I$16,4)*1,LEFT(D102,4)*1&gt;LEFT('General inputs'!$I$16,4)+'General inputs'!$H$38-1),"",Q102/(1+'General inputs'!$H$34)^C102)</f>
        <v/>
      </c>
      <c r="S102" s="86"/>
      <c r="T102" s="115"/>
      <c r="U102" s="108" t="str">
        <f>IF(OR(LEFT(D102,4)*1&lt;LEFT('General inputs'!$I$16,4)*1,LEFT(D102,4)*1&gt;LEFT('General inputs'!$I$16,4)+'General inputs'!$H$38-1),"",T102/(1+'General inputs'!$H$34)^C102)</f>
        <v/>
      </c>
      <c r="V102" s="88"/>
      <c r="W102" s="87"/>
    </row>
    <row r="103" spans="2:23" x14ac:dyDescent="0.25">
      <c r="B103" s="60"/>
      <c r="C103" s="106">
        <f>IF(D103='General inputs'!$I$16,0,IF(D103&lt;'General inputs'!$I$16,C104-1,C102+1))</f>
        <v>41</v>
      </c>
      <c r="D103" s="106" t="str">
        <f t="shared" si="3"/>
        <v>2059-60</v>
      </c>
      <c r="E103" s="108" t="str">
        <f>IF(LEFT(D103,4)*1&gt;LEFT('General inputs'!$I$16,4)+'General inputs'!$H$38-1,"",'ET inputs'!D76)</f>
        <v/>
      </c>
      <c r="F103" s="108" t="str">
        <f>IF(LEFT(D103,4)*1&gt;LEFT('General inputs'!$I$16,4)+'General inputs'!$H$38-1,"",E103/(1+'General inputs'!$H$30)^C103)</f>
        <v/>
      </c>
      <c r="G103" s="108" t="str">
        <f>IF(LEFT(D103,4)*1&gt;LEFT('General inputs'!$I$16,4)+'General inputs'!$H$38-1,"",E103/(1+'General inputs'!$H$32)^C103)</f>
        <v/>
      </c>
      <c r="H103" s="108" t="str">
        <f>IF(LEFT(D103,4)*1&lt;LEFT('General inputs'!$I$16,4)*1,"",IF(LEFT(D103,4)*1&gt;LEFT('General inputs'!$I$16,4)+'General inputs'!$H$38-1,"",E103/(1+'General inputs'!$H$34)^C103))</f>
        <v/>
      </c>
      <c r="I103" s="86"/>
      <c r="J103" s="135"/>
      <c r="K103" s="135"/>
      <c r="L103" s="108" t="str">
        <f>IF(LEFT(D103,4)*1&gt;LEFT('General inputs'!$I$18,4)*1,"",SUMIF('Post-1996 commissioned assets'!$F$22:$F$218,$D103,'Post-1996 commissioned assets'!$P$22:$P$218))</f>
        <v/>
      </c>
      <c r="M103" s="108" t="str">
        <f>IF(L103="","",L103/(1+'General inputs'!$H$32)^C103)</f>
        <v/>
      </c>
      <c r="N103" s="108">
        <f>IF(LEFT(D103,4)*1&lt;LEFT('General inputs'!$I$18,4)*1+1,"",SUMIF('Uncommissioned assets'!$F$22:$F$218,$D103,'Uncommissioned assets'!$P$22:$P$218))</f>
        <v>0</v>
      </c>
      <c r="O103" s="108">
        <f>IF(N103="","",N103/(1+'General inputs'!$H$32)^C103)</f>
        <v>0</v>
      </c>
      <c r="P103" s="86"/>
      <c r="Q103" s="115"/>
      <c r="R103" s="108" t="str">
        <f>IF(OR(LEFT(D103,4)*1&lt;LEFT('General inputs'!$I$16,4)*1,LEFT(D103,4)*1&gt;LEFT('General inputs'!$I$16,4)+'General inputs'!$H$38-1),"",Q103/(1+'General inputs'!$H$34)^C103)</f>
        <v/>
      </c>
      <c r="S103" s="86"/>
      <c r="T103" s="115"/>
      <c r="U103" s="108" t="str">
        <f>IF(OR(LEFT(D103,4)*1&lt;LEFT('General inputs'!$I$16,4)*1,LEFT(D103,4)*1&gt;LEFT('General inputs'!$I$16,4)+'General inputs'!$H$38-1),"",T103/(1+'General inputs'!$H$34)^C103)</f>
        <v/>
      </c>
      <c r="V103" s="88"/>
      <c r="W103" s="87"/>
    </row>
    <row r="104" spans="2:23" x14ac:dyDescent="0.25">
      <c r="B104" s="60"/>
      <c r="C104" s="106">
        <f>IF(D104='General inputs'!$I$16,0,IF(D104&lt;'General inputs'!$I$16,C105-1,C103+1))</f>
        <v>42</v>
      </c>
      <c r="D104" s="106" t="str">
        <f t="shared" si="3"/>
        <v>2060-61</v>
      </c>
      <c r="E104" s="108" t="str">
        <f>IF(LEFT(D104,4)*1&gt;LEFT('General inputs'!$I$16,4)+'General inputs'!$H$38-1,"",'ET inputs'!D77)</f>
        <v/>
      </c>
      <c r="F104" s="108" t="str">
        <f>IF(LEFT(D104,4)*1&gt;LEFT('General inputs'!$I$16,4)+'General inputs'!$H$38-1,"",E104/(1+'General inputs'!$H$30)^C104)</f>
        <v/>
      </c>
      <c r="G104" s="108" t="str">
        <f>IF(LEFT(D104,4)*1&gt;LEFT('General inputs'!$I$16,4)+'General inputs'!$H$38-1,"",E104/(1+'General inputs'!$H$32)^C104)</f>
        <v/>
      </c>
      <c r="H104" s="108" t="str">
        <f>IF(LEFT(D104,4)*1&lt;LEFT('General inputs'!$I$16,4)*1,"",IF(LEFT(D104,4)*1&gt;LEFT('General inputs'!$I$16,4)+'General inputs'!$H$38-1,"",E104/(1+'General inputs'!$H$34)^C104))</f>
        <v/>
      </c>
      <c r="I104" s="86"/>
      <c r="J104" s="135"/>
      <c r="K104" s="135"/>
      <c r="L104" s="108" t="str">
        <f>IF(LEFT(D104,4)*1&gt;LEFT('General inputs'!$I$18,4)*1,"",SUMIF('Post-1996 commissioned assets'!$F$22:$F$218,$D104,'Post-1996 commissioned assets'!$P$22:$P$218))</f>
        <v/>
      </c>
      <c r="M104" s="108" t="str">
        <f>IF(L104="","",L104/(1+'General inputs'!$H$32)^C104)</f>
        <v/>
      </c>
      <c r="N104" s="108">
        <f>IF(LEFT(D104,4)*1&lt;LEFT('General inputs'!$I$18,4)*1+1,"",SUMIF('Uncommissioned assets'!$F$22:$F$218,$D104,'Uncommissioned assets'!$P$22:$P$218))</f>
        <v>0</v>
      </c>
      <c r="O104" s="108">
        <f>IF(N104="","",N104/(1+'General inputs'!$H$32)^C104)</f>
        <v>0</v>
      </c>
      <c r="P104" s="86"/>
      <c r="Q104" s="115"/>
      <c r="R104" s="108" t="str">
        <f>IF(OR(LEFT(D104,4)*1&lt;LEFT('General inputs'!$I$16,4)*1,LEFT(D104,4)*1&gt;LEFT('General inputs'!$I$16,4)+'General inputs'!$H$38-1),"",Q104/(1+'General inputs'!$H$34)^C104)</f>
        <v/>
      </c>
      <c r="S104" s="86"/>
      <c r="T104" s="115"/>
      <c r="U104" s="108" t="str">
        <f>IF(OR(LEFT(D104,4)*1&lt;LEFT('General inputs'!$I$16,4)*1,LEFT(D104,4)*1&gt;LEFT('General inputs'!$I$16,4)+'General inputs'!$H$38-1),"",T104/(1+'General inputs'!$H$34)^C104)</f>
        <v/>
      </c>
      <c r="V104" s="88"/>
      <c r="W104" s="87"/>
    </row>
    <row r="105" spans="2:23" x14ac:dyDescent="0.25">
      <c r="B105" s="60"/>
      <c r="C105" s="106">
        <f>IF(D105='General inputs'!$I$16,0,IF(D105&lt;'General inputs'!$I$16,C106-1,C104+1))</f>
        <v>43</v>
      </c>
      <c r="D105" s="106" t="str">
        <f t="shared" si="3"/>
        <v>2061-62</v>
      </c>
      <c r="E105" s="108" t="str">
        <f>IF(LEFT(D105,4)*1&gt;LEFT('General inputs'!$I$16,4)+'General inputs'!$H$38-1,"",'ET inputs'!D78)</f>
        <v/>
      </c>
      <c r="F105" s="108" t="str">
        <f>IF(LEFT(D105,4)*1&gt;LEFT('General inputs'!$I$16,4)+'General inputs'!$H$38-1,"",E105/(1+'General inputs'!$H$30)^C105)</f>
        <v/>
      </c>
      <c r="G105" s="108" t="str">
        <f>IF(LEFT(D105,4)*1&gt;LEFT('General inputs'!$I$16,4)+'General inputs'!$H$38-1,"",E105/(1+'General inputs'!$H$32)^C105)</f>
        <v/>
      </c>
      <c r="H105" s="108" t="str">
        <f>IF(LEFT(D105,4)*1&lt;LEFT('General inputs'!$I$16,4)*1,"",IF(LEFT(D105,4)*1&gt;LEFT('General inputs'!$I$16,4)+'General inputs'!$H$38-1,"",E105/(1+'General inputs'!$H$34)^C105))</f>
        <v/>
      </c>
      <c r="I105" s="86"/>
      <c r="J105" s="135"/>
      <c r="K105" s="135"/>
      <c r="L105" s="108" t="str">
        <f>IF(LEFT(D105,4)*1&gt;LEFT('General inputs'!$I$18,4)*1,"",SUMIF('Post-1996 commissioned assets'!$F$22:$F$218,$D105,'Post-1996 commissioned assets'!$P$22:$P$218))</f>
        <v/>
      </c>
      <c r="M105" s="108" t="str">
        <f>IF(L105="","",L105/(1+'General inputs'!$H$32)^C105)</f>
        <v/>
      </c>
      <c r="N105" s="108">
        <f>IF(LEFT(D105,4)*1&lt;LEFT('General inputs'!$I$18,4)*1+1,"",SUMIF('Uncommissioned assets'!$F$22:$F$218,$D105,'Uncommissioned assets'!$P$22:$P$218))</f>
        <v>0</v>
      </c>
      <c r="O105" s="108">
        <f>IF(N105="","",N105/(1+'General inputs'!$H$32)^C105)</f>
        <v>0</v>
      </c>
      <c r="P105" s="86"/>
      <c r="Q105" s="115"/>
      <c r="R105" s="108" t="str">
        <f>IF(OR(LEFT(D105,4)*1&lt;LEFT('General inputs'!$I$16,4)*1,LEFT(D105,4)*1&gt;LEFT('General inputs'!$I$16,4)+'General inputs'!$H$38-1),"",Q105/(1+'General inputs'!$H$34)^C105)</f>
        <v/>
      </c>
      <c r="S105" s="86"/>
      <c r="T105" s="115"/>
      <c r="U105" s="108" t="str">
        <f>IF(OR(LEFT(D105,4)*1&lt;LEFT('General inputs'!$I$16,4)*1,LEFT(D105,4)*1&gt;LEFT('General inputs'!$I$16,4)+'General inputs'!$H$38-1),"",T105/(1+'General inputs'!$H$34)^C105)</f>
        <v/>
      </c>
      <c r="V105" s="88"/>
      <c r="W105" s="87"/>
    </row>
    <row r="106" spans="2:23" x14ac:dyDescent="0.25">
      <c r="B106" s="60"/>
      <c r="C106" s="106">
        <f>IF(D106='General inputs'!$I$16,0,IF(D106&lt;'General inputs'!$I$16,C107-1,C105+1))</f>
        <v>44</v>
      </c>
      <c r="D106" s="106" t="str">
        <f t="shared" si="3"/>
        <v>2062-63</v>
      </c>
      <c r="E106" s="108" t="str">
        <f>IF(LEFT(D106,4)*1&gt;LEFT('General inputs'!$I$16,4)+'General inputs'!$H$38-1,"",'ET inputs'!D79)</f>
        <v/>
      </c>
      <c r="F106" s="108" t="str">
        <f>IF(LEFT(D106,4)*1&gt;LEFT('General inputs'!$I$16,4)+'General inputs'!$H$38-1,"",E106/(1+'General inputs'!$H$30)^C106)</f>
        <v/>
      </c>
      <c r="G106" s="108" t="str">
        <f>IF(LEFT(D106,4)*1&gt;LEFT('General inputs'!$I$16,4)+'General inputs'!$H$38-1,"",E106/(1+'General inputs'!$H$32)^C106)</f>
        <v/>
      </c>
      <c r="H106" s="108" t="str">
        <f>IF(LEFT(D106,4)*1&lt;LEFT('General inputs'!$I$16,4)*1,"",IF(LEFT(D106,4)*1&gt;LEFT('General inputs'!$I$16,4)+'General inputs'!$H$38-1,"",E106/(1+'General inputs'!$H$34)^C106))</f>
        <v/>
      </c>
      <c r="I106" s="86"/>
      <c r="J106" s="135"/>
      <c r="K106" s="135"/>
      <c r="L106" s="108" t="str">
        <f>IF(LEFT(D106,4)*1&gt;LEFT('General inputs'!$I$18,4)*1,"",SUMIF('Post-1996 commissioned assets'!$F$22:$F$218,$D106,'Post-1996 commissioned assets'!$P$22:$P$218))</f>
        <v/>
      </c>
      <c r="M106" s="108" t="str">
        <f>IF(L106="","",L106/(1+'General inputs'!$H$32)^C106)</f>
        <v/>
      </c>
      <c r="N106" s="108">
        <f>IF(LEFT(D106,4)*1&lt;LEFT('General inputs'!$I$18,4)*1+1,"",SUMIF('Uncommissioned assets'!$F$22:$F$218,$D106,'Uncommissioned assets'!$P$22:$P$218))</f>
        <v>0</v>
      </c>
      <c r="O106" s="108">
        <f>IF(N106="","",N106/(1+'General inputs'!$H$32)^C106)</f>
        <v>0</v>
      </c>
      <c r="P106" s="86"/>
      <c r="Q106" s="115"/>
      <c r="R106" s="108" t="str">
        <f>IF(OR(LEFT(D106,4)*1&lt;LEFT('General inputs'!$I$16,4)*1,LEFT(D106,4)*1&gt;LEFT('General inputs'!$I$16,4)+'General inputs'!$H$38-1),"",Q106/(1+'General inputs'!$H$34)^C106)</f>
        <v/>
      </c>
      <c r="S106" s="86"/>
      <c r="T106" s="115"/>
      <c r="U106" s="108" t="str">
        <f>IF(OR(LEFT(D106,4)*1&lt;LEFT('General inputs'!$I$16,4)*1,LEFT(D106,4)*1&gt;LEFT('General inputs'!$I$16,4)+'General inputs'!$H$38-1),"",T106/(1+'General inputs'!$H$34)^C106)</f>
        <v/>
      </c>
      <c r="V106" s="88"/>
      <c r="W106" s="87"/>
    </row>
    <row r="107" spans="2:23" x14ac:dyDescent="0.25">
      <c r="B107" s="60"/>
      <c r="C107" s="106">
        <f>IF(D107='General inputs'!$I$16,0,IF(D107&lt;'General inputs'!$I$16,C108-1,C106+1))</f>
        <v>45</v>
      </c>
      <c r="D107" s="106" t="str">
        <f t="shared" si="3"/>
        <v>2063-64</v>
      </c>
      <c r="E107" s="108" t="str">
        <f>IF(LEFT(D107,4)*1&gt;LEFT('General inputs'!$I$16,4)+'General inputs'!$H$38-1,"",'ET inputs'!D80)</f>
        <v/>
      </c>
      <c r="F107" s="108" t="str">
        <f>IF(LEFT(D107,4)*1&gt;LEFT('General inputs'!$I$16,4)+'General inputs'!$H$38-1,"",E107/(1+'General inputs'!$H$30)^C107)</f>
        <v/>
      </c>
      <c r="G107" s="108" t="str">
        <f>IF(LEFT(D107,4)*1&gt;LEFT('General inputs'!$I$16,4)+'General inputs'!$H$38-1,"",E107/(1+'General inputs'!$H$32)^C107)</f>
        <v/>
      </c>
      <c r="H107" s="108" t="str">
        <f>IF(LEFT(D107,4)*1&lt;LEFT('General inputs'!$I$16,4)*1,"",IF(LEFT(D107,4)*1&gt;LEFT('General inputs'!$I$16,4)+'General inputs'!$H$38-1,"",E107/(1+'General inputs'!$H$34)^C107))</f>
        <v/>
      </c>
      <c r="I107" s="86"/>
      <c r="J107" s="135"/>
      <c r="K107" s="135"/>
      <c r="L107" s="108" t="str">
        <f>IF(LEFT(D107,4)*1&gt;LEFT('General inputs'!$I$18,4)*1,"",SUMIF('Post-1996 commissioned assets'!$F$22:$F$218,$D107,'Post-1996 commissioned assets'!$P$22:$P$218))</f>
        <v/>
      </c>
      <c r="M107" s="108" t="str">
        <f>IF(L107="","",L107/(1+'General inputs'!$H$32)^C107)</f>
        <v/>
      </c>
      <c r="N107" s="108">
        <f>IF(LEFT(D107,4)*1&lt;LEFT('General inputs'!$I$18,4)*1+1,"",SUMIF('Uncommissioned assets'!$F$22:$F$218,$D107,'Uncommissioned assets'!$P$22:$P$218))</f>
        <v>0</v>
      </c>
      <c r="O107" s="108">
        <f>IF(N107="","",N107/(1+'General inputs'!$H$32)^C107)</f>
        <v>0</v>
      </c>
      <c r="P107" s="86"/>
      <c r="Q107" s="115"/>
      <c r="R107" s="108" t="str">
        <f>IF(OR(LEFT(D107,4)*1&lt;LEFT('General inputs'!$I$16,4)*1,LEFT(D107,4)*1&gt;LEFT('General inputs'!$I$16,4)+'General inputs'!$H$38-1),"",Q107/(1+'General inputs'!$H$34)^C107)</f>
        <v/>
      </c>
      <c r="S107" s="86"/>
      <c r="T107" s="115"/>
      <c r="U107" s="108" t="str">
        <f>IF(OR(LEFT(D107,4)*1&lt;LEFT('General inputs'!$I$16,4)*1,LEFT(D107,4)*1&gt;LEFT('General inputs'!$I$16,4)+'General inputs'!$H$38-1),"",T107/(1+'General inputs'!$H$34)^C107)</f>
        <v/>
      </c>
      <c r="V107" s="88"/>
      <c r="W107" s="87"/>
    </row>
    <row r="108" spans="2:23" x14ac:dyDescent="0.25">
      <c r="B108" s="60"/>
      <c r="C108" s="106">
        <f>IF(D108='General inputs'!$I$16,0,IF(D108&lt;'General inputs'!$I$16,C109-1,C107+1))</f>
        <v>46</v>
      </c>
      <c r="D108" s="106" t="str">
        <f t="shared" si="3"/>
        <v>2064-65</v>
      </c>
      <c r="E108" s="108" t="str">
        <f>IF(LEFT(D108,4)*1&gt;LEFT('General inputs'!$I$16,4)+'General inputs'!$H$38-1,"",'ET inputs'!D81)</f>
        <v/>
      </c>
      <c r="F108" s="108" t="str">
        <f>IF(LEFT(D108,4)*1&gt;LEFT('General inputs'!$I$16,4)+'General inputs'!$H$38-1,"",E108/(1+'General inputs'!$H$30)^C108)</f>
        <v/>
      </c>
      <c r="G108" s="108" t="str">
        <f>IF(LEFT(D108,4)*1&gt;LEFT('General inputs'!$I$16,4)+'General inputs'!$H$38-1,"",E108/(1+'General inputs'!$H$32)^C108)</f>
        <v/>
      </c>
      <c r="H108" s="108" t="str">
        <f>IF(LEFT(D108,4)*1&lt;LEFT('General inputs'!$I$16,4)*1,"",IF(LEFT(D108,4)*1&gt;LEFT('General inputs'!$I$16,4)+'General inputs'!$H$38-1,"",E108/(1+'General inputs'!$H$34)^C108))</f>
        <v/>
      </c>
      <c r="I108" s="86"/>
      <c r="J108" s="135"/>
      <c r="K108" s="135"/>
      <c r="L108" s="108" t="str">
        <f>IF(LEFT(D108,4)*1&gt;LEFT('General inputs'!$I$18,4)*1,"",SUMIF('Post-1996 commissioned assets'!$F$22:$F$218,$D108,'Post-1996 commissioned assets'!$P$22:$P$218))</f>
        <v/>
      </c>
      <c r="M108" s="108" t="str">
        <f>IF(L108="","",L108/(1+'General inputs'!$H$32)^C108)</f>
        <v/>
      </c>
      <c r="N108" s="108">
        <f>IF(LEFT(D108,4)*1&lt;LEFT('General inputs'!$I$18,4)*1+1,"",SUMIF('Uncommissioned assets'!$F$22:$F$218,$D108,'Uncommissioned assets'!$P$22:$P$218))</f>
        <v>0</v>
      </c>
      <c r="O108" s="108">
        <f>IF(N108="","",N108/(1+'General inputs'!$H$32)^C108)</f>
        <v>0</v>
      </c>
      <c r="P108" s="86"/>
      <c r="Q108" s="115"/>
      <c r="R108" s="108" t="str">
        <f>IF(OR(LEFT(D108,4)*1&lt;LEFT('General inputs'!$I$16,4)*1,LEFT(D108,4)*1&gt;LEFT('General inputs'!$I$16,4)+'General inputs'!$H$38-1),"",Q108/(1+'General inputs'!$H$34)^C108)</f>
        <v/>
      </c>
      <c r="S108" s="86"/>
      <c r="T108" s="115"/>
      <c r="U108" s="108" t="str">
        <f>IF(OR(LEFT(D108,4)*1&lt;LEFT('General inputs'!$I$16,4)*1,LEFT(D108,4)*1&gt;LEFT('General inputs'!$I$16,4)+'General inputs'!$H$38-1),"",T108/(1+'General inputs'!$H$34)^C108)</f>
        <v/>
      </c>
      <c r="V108" s="88"/>
      <c r="W108" s="87"/>
    </row>
    <row r="109" spans="2:23" x14ac:dyDescent="0.25">
      <c r="B109" s="60"/>
      <c r="C109" s="106">
        <f>IF(D109='General inputs'!$I$16,0,IF(D109&lt;'General inputs'!$I$16,C110-1,C108+1))</f>
        <v>47</v>
      </c>
      <c r="D109" s="106" t="str">
        <f t="shared" si="3"/>
        <v>2065-66</v>
      </c>
      <c r="E109" s="108" t="str">
        <f>IF(LEFT(D109,4)*1&gt;LEFT('General inputs'!$I$16,4)+'General inputs'!$H$38-1,"",'ET inputs'!D82)</f>
        <v/>
      </c>
      <c r="F109" s="108" t="str">
        <f>IF(LEFT(D109,4)*1&gt;LEFT('General inputs'!$I$16,4)+'General inputs'!$H$38-1,"",E109/(1+'General inputs'!$H$30)^C109)</f>
        <v/>
      </c>
      <c r="G109" s="108" t="str">
        <f>IF(LEFT(D109,4)*1&gt;LEFT('General inputs'!$I$16,4)+'General inputs'!$H$38-1,"",E109/(1+'General inputs'!$H$32)^C109)</f>
        <v/>
      </c>
      <c r="H109" s="108" t="str">
        <f>IF(LEFT(D109,4)*1&lt;LEFT('General inputs'!$I$16,4)*1,"",IF(LEFT(D109,4)*1&gt;LEFT('General inputs'!$I$16,4)+'General inputs'!$H$38-1,"",E109/(1+'General inputs'!$H$34)^C109))</f>
        <v/>
      </c>
      <c r="I109" s="86"/>
      <c r="J109" s="135"/>
      <c r="K109" s="135"/>
      <c r="L109" s="108" t="str">
        <f>IF(LEFT(D109,4)*1&gt;LEFT('General inputs'!$I$18,4)*1,"",SUMIF('Post-1996 commissioned assets'!$F$22:$F$218,$D109,'Post-1996 commissioned assets'!$P$22:$P$218))</f>
        <v/>
      </c>
      <c r="M109" s="108" t="str">
        <f>IF(L109="","",L109/(1+'General inputs'!$H$32)^C109)</f>
        <v/>
      </c>
      <c r="N109" s="108">
        <f>IF(LEFT(D109,4)*1&lt;LEFT('General inputs'!$I$18,4)*1+1,"",SUMIF('Uncommissioned assets'!$F$22:$F$218,$D109,'Uncommissioned assets'!$P$22:$P$218))</f>
        <v>0</v>
      </c>
      <c r="O109" s="108">
        <f>IF(N109="","",N109/(1+'General inputs'!$H$32)^C109)</f>
        <v>0</v>
      </c>
      <c r="P109" s="86"/>
      <c r="Q109" s="115"/>
      <c r="R109" s="108" t="str">
        <f>IF(OR(LEFT(D109,4)*1&lt;LEFT('General inputs'!$I$16,4)*1,LEFT(D109,4)*1&gt;LEFT('General inputs'!$I$16,4)+'General inputs'!$H$38-1),"",Q109/(1+'General inputs'!$H$34)^C109)</f>
        <v/>
      </c>
      <c r="S109" s="86"/>
      <c r="T109" s="115"/>
      <c r="U109" s="108" t="str">
        <f>IF(OR(LEFT(D109,4)*1&lt;LEFT('General inputs'!$I$16,4)*1,LEFT(D109,4)*1&gt;LEFT('General inputs'!$I$16,4)+'General inputs'!$H$38-1),"",T109/(1+'General inputs'!$H$34)^C109)</f>
        <v/>
      </c>
      <c r="V109" s="88"/>
      <c r="W109" s="87"/>
    </row>
    <row r="110" spans="2:23" x14ac:dyDescent="0.25">
      <c r="B110" s="60"/>
      <c r="C110" s="106">
        <f>IF(D110='General inputs'!$I$16,0,IF(D110&lt;'General inputs'!$I$16,C111-1,C109+1))</f>
        <v>48</v>
      </c>
      <c r="D110" s="106" t="str">
        <f t="shared" si="3"/>
        <v>2066-67</v>
      </c>
      <c r="E110" s="108" t="str">
        <f>IF(LEFT(D110,4)*1&gt;LEFT('General inputs'!$I$16,4)+'General inputs'!$H$38-1,"",'ET inputs'!D83)</f>
        <v/>
      </c>
      <c r="F110" s="108" t="str">
        <f>IF(LEFT(D110,4)*1&gt;LEFT('General inputs'!$I$16,4)+'General inputs'!$H$38-1,"",E110/(1+'General inputs'!$H$30)^C110)</f>
        <v/>
      </c>
      <c r="G110" s="108" t="str">
        <f>IF(LEFT(D110,4)*1&gt;LEFT('General inputs'!$I$16,4)+'General inputs'!$H$38-1,"",E110/(1+'General inputs'!$H$32)^C110)</f>
        <v/>
      </c>
      <c r="H110" s="108" t="str">
        <f>IF(LEFT(D110,4)*1&lt;LEFT('General inputs'!$I$16,4)*1,"",IF(LEFT(D110,4)*1&gt;LEFT('General inputs'!$I$16,4)+'General inputs'!$H$38-1,"",E110/(1+'General inputs'!$H$34)^C110))</f>
        <v/>
      </c>
      <c r="I110" s="86"/>
      <c r="J110" s="135"/>
      <c r="K110" s="135"/>
      <c r="L110" s="108" t="str">
        <f>IF(LEFT(D110,4)*1&gt;LEFT('General inputs'!$I$18,4)*1,"",SUMIF('Post-1996 commissioned assets'!$F$22:$F$218,$D110,'Post-1996 commissioned assets'!$P$22:$P$218))</f>
        <v/>
      </c>
      <c r="M110" s="108" t="str">
        <f>IF(L110="","",L110/(1+'General inputs'!$H$32)^C110)</f>
        <v/>
      </c>
      <c r="N110" s="108">
        <f>IF(LEFT(D110,4)*1&lt;LEFT('General inputs'!$I$18,4)*1+1,"",SUMIF('Uncommissioned assets'!$F$22:$F$218,$D110,'Uncommissioned assets'!$P$22:$P$218))</f>
        <v>0</v>
      </c>
      <c r="O110" s="108">
        <f>IF(N110="","",N110/(1+'General inputs'!$H$32)^C110)</f>
        <v>0</v>
      </c>
      <c r="P110" s="86"/>
      <c r="Q110" s="115"/>
      <c r="R110" s="108" t="str">
        <f>IF(OR(LEFT(D110,4)*1&lt;LEFT('General inputs'!$I$16,4)*1,LEFT(D110,4)*1&gt;LEFT('General inputs'!$I$16,4)+'General inputs'!$H$38-1),"",Q110/(1+'General inputs'!$H$34)^C110)</f>
        <v/>
      </c>
      <c r="S110" s="86"/>
      <c r="T110" s="115"/>
      <c r="U110" s="108" t="str">
        <f>IF(OR(LEFT(D110,4)*1&lt;LEFT('General inputs'!$I$16,4)*1,LEFT(D110,4)*1&gt;LEFT('General inputs'!$I$16,4)+'General inputs'!$H$38-1),"",T110/(1+'General inputs'!$H$34)^C110)</f>
        <v/>
      </c>
      <c r="V110" s="88"/>
      <c r="W110" s="87"/>
    </row>
    <row r="111" spans="2:23" x14ac:dyDescent="0.25">
      <c r="B111" s="60"/>
      <c r="C111" s="106">
        <f>IF(D111='General inputs'!$I$16,0,IF(D111&lt;'General inputs'!$I$16,C112-1,C110+1))</f>
        <v>49</v>
      </c>
      <c r="D111" s="106" t="str">
        <f t="shared" si="3"/>
        <v>2067-68</v>
      </c>
      <c r="E111" s="108" t="str">
        <f>IF(LEFT(D111,4)*1&gt;LEFT('General inputs'!$I$16,4)+'General inputs'!$H$38-1,"",'ET inputs'!D84)</f>
        <v/>
      </c>
      <c r="F111" s="108" t="str">
        <f>IF(LEFT(D111,4)*1&gt;LEFT('General inputs'!$I$16,4)+'General inputs'!$H$38-1,"",E111/(1+'General inputs'!$H$30)^C111)</f>
        <v/>
      </c>
      <c r="G111" s="108" t="str">
        <f>IF(LEFT(D111,4)*1&gt;LEFT('General inputs'!$I$16,4)+'General inputs'!$H$38-1,"",E111/(1+'General inputs'!$H$32)^C111)</f>
        <v/>
      </c>
      <c r="H111" s="108" t="str">
        <f>IF(LEFT(D111,4)*1&lt;LEFT('General inputs'!$I$16,4)*1,"",IF(LEFT(D111,4)*1&gt;LEFT('General inputs'!$I$16,4)+'General inputs'!$H$38-1,"",E111/(1+'General inputs'!$H$34)^C111))</f>
        <v/>
      </c>
      <c r="I111" s="86"/>
      <c r="J111" s="135"/>
      <c r="K111" s="135"/>
      <c r="L111" s="108" t="str">
        <f>IF(LEFT(D111,4)*1&gt;LEFT('General inputs'!$I$18,4)*1,"",SUMIF('Post-1996 commissioned assets'!$F$22:$F$218,$D111,'Post-1996 commissioned assets'!$P$22:$P$218))</f>
        <v/>
      </c>
      <c r="M111" s="108" t="str">
        <f>IF(L111="","",L111/(1+'General inputs'!$H$32)^C111)</f>
        <v/>
      </c>
      <c r="N111" s="108">
        <f>IF(LEFT(D111,4)*1&lt;LEFT('General inputs'!$I$18,4)*1+1,"",SUMIF('Uncommissioned assets'!$F$22:$F$218,$D111,'Uncommissioned assets'!$P$22:$P$218))</f>
        <v>0</v>
      </c>
      <c r="O111" s="108">
        <f>IF(N111="","",N111/(1+'General inputs'!$H$32)^C111)</f>
        <v>0</v>
      </c>
      <c r="P111" s="86"/>
      <c r="Q111" s="115"/>
      <c r="R111" s="108" t="str">
        <f>IF(OR(LEFT(D111,4)*1&lt;LEFT('General inputs'!$I$16,4)*1,LEFT(D111,4)*1&gt;LEFT('General inputs'!$I$16,4)+'General inputs'!$H$38-1),"",Q111/(1+'General inputs'!$H$34)^C111)</f>
        <v/>
      </c>
      <c r="S111" s="86"/>
      <c r="T111" s="115"/>
      <c r="U111" s="108" t="str">
        <f>IF(OR(LEFT(D111,4)*1&lt;LEFT('General inputs'!$I$16,4)*1,LEFT(D111,4)*1&gt;LEFT('General inputs'!$I$16,4)+'General inputs'!$H$38-1),"",T111/(1+'General inputs'!$H$34)^C111)</f>
        <v/>
      </c>
      <c r="V111" s="88"/>
      <c r="W111" s="87"/>
    </row>
    <row r="112" spans="2:23" x14ac:dyDescent="0.25">
      <c r="B112" s="60"/>
      <c r="C112" s="106">
        <f>IF(D112='General inputs'!$I$16,0,IF(D112&lt;'General inputs'!$I$16,C113-1,C111+1))</f>
        <v>50</v>
      </c>
      <c r="D112" s="106" t="str">
        <f t="shared" si="3"/>
        <v>2068-69</v>
      </c>
      <c r="E112" s="108" t="str">
        <f>IF(LEFT(D112,4)*1&gt;LEFT('General inputs'!$I$16,4)+'General inputs'!$H$38-1,"",'ET inputs'!D85)</f>
        <v/>
      </c>
      <c r="F112" s="108" t="str">
        <f>IF(LEFT(D112,4)*1&gt;LEFT('General inputs'!$I$16,4)+'General inputs'!$H$38-1,"",E112/(1+'General inputs'!$H$30)^C112)</f>
        <v/>
      </c>
      <c r="G112" s="108" t="str">
        <f>IF(LEFT(D112,4)*1&gt;LEFT('General inputs'!$I$16,4)+'General inputs'!$H$38-1,"",E112/(1+'General inputs'!$H$32)^C112)</f>
        <v/>
      </c>
      <c r="H112" s="108" t="str">
        <f>IF(LEFT(D112,4)*1&lt;LEFT('General inputs'!$I$16,4)*1,"",IF(LEFT(D112,4)*1&gt;LEFT('General inputs'!$I$16,4)+'General inputs'!$H$38-1,"",E112/(1+'General inputs'!$H$34)^C112))</f>
        <v/>
      </c>
      <c r="I112" s="86"/>
      <c r="J112" s="135"/>
      <c r="K112" s="135"/>
      <c r="L112" s="108" t="str">
        <f>IF(LEFT(D112,4)*1&gt;LEFT('General inputs'!$I$18,4)*1,"",SUMIF('Post-1996 commissioned assets'!$F$22:$F$218,$D112,'Post-1996 commissioned assets'!$P$22:$P$218))</f>
        <v/>
      </c>
      <c r="M112" s="108" t="str">
        <f>IF(L112="","",L112/(1+'General inputs'!$H$32)^C112)</f>
        <v/>
      </c>
      <c r="N112" s="108">
        <f>IF(LEFT(D112,4)*1&lt;LEFT('General inputs'!$I$18,4)*1+1,"",SUMIF('Uncommissioned assets'!$F$22:$F$218,$D112,'Uncommissioned assets'!$P$22:$P$218))</f>
        <v>0</v>
      </c>
      <c r="O112" s="108">
        <f>IF(N112="","",N112/(1+'General inputs'!$H$32)^C112)</f>
        <v>0</v>
      </c>
      <c r="P112" s="86"/>
      <c r="Q112" s="115"/>
      <c r="R112" s="108" t="str">
        <f>IF(OR(LEFT(D112,4)*1&lt;LEFT('General inputs'!$I$16,4)*1,LEFT(D112,4)*1&gt;LEFT('General inputs'!$I$16,4)+'General inputs'!$H$38-1),"",Q112/(1+'General inputs'!$H$34)^C112)</f>
        <v/>
      </c>
      <c r="S112" s="86"/>
      <c r="T112" s="115"/>
      <c r="U112" s="108" t="str">
        <f>IF(OR(LEFT(D112,4)*1&lt;LEFT('General inputs'!$I$16,4)*1,LEFT(D112,4)*1&gt;LEFT('General inputs'!$I$16,4)+'General inputs'!$H$38-1),"",T112/(1+'General inputs'!$H$34)^C112)</f>
        <v/>
      </c>
      <c r="V112" s="88"/>
      <c r="W112" s="87"/>
    </row>
    <row r="113" spans="2:23" x14ac:dyDescent="0.25">
      <c r="B113" s="60"/>
      <c r="C113" s="106">
        <f>IF(D113='General inputs'!$I$16,0,IF(D113&lt;'General inputs'!$I$16,C114-1,C112+1))</f>
        <v>51</v>
      </c>
      <c r="D113" s="106" t="str">
        <f t="shared" si="3"/>
        <v>2069-70</v>
      </c>
      <c r="E113" s="108" t="str">
        <f>IF(LEFT(D113,4)*1&gt;LEFT('General inputs'!$I$16,4)+'General inputs'!$H$38-1,"",'ET inputs'!D86)</f>
        <v/>
      </c>
      <c r="F113" s="108" t="str">
        <f>IF(LEFT(D113,4)*1&gt;LEFT('General inputs'!$I$16,4)+'General inputs'!$H$38-1,"",E113/(1+'General inputs'!$H$30)^C113)</f>
        <v/>
      </c>
      <c r="G113" s="108" t="str">
        <f>IF(LEFT(D113,4)*1&gt;LEFT('General inputs'!$I$16,4)+'General inputs'!$H$38-1,"",E113/(1+'General inputs'!$H$32)^C113)</f>
        <v/>
      </c>
      <c r="H113" s="108" t="str">
        <f>IF(LEFT(D113,4)*1&lt;LEFT('General inputs'!$I$16,4)*1,"",IF(LEFT(D113,4)*1&gt;LEFT('General inputs'!$I$16,4)+'General inputs'!$H$38-1,"",E113/(1+'General inputs'!$H$34)^C113))</f>
        <v/>
      </c>
      <c r="I113" s="86"/>
      <c r="J113" s="135"/>
      <c r="K113" s="135"/>
      <c r="L113" s="108" t="str">
        <f>IF(LEFT(D113,4)*1&gt;LEFT('General inputs'!$I$18,4)*1,"",SUMIF('Post-1996 commissioned assets'!$F$22:$F$218,$D113,'Post-1996 commissioned assets'!$P$22:$P$218))</f>
        <v/>
      </c>
      <c r="M113" s="108" t="str">
        <f>IF(L113="","",L113/(1+'General inputs'!$H$32)^C113)</f>
        <v/>
      </c>
      <c r="N113" s="108">
        <f>IF(LEFT(D113,4)*1&lt;LEFT('General inputs'!$I$18,4)*1+1,"",SUMIF('Uncommissioned assets'!$F$22:$F$218,$D113,'Uncommissioned assets'!$P$22:$P$218))</f>
        <v>0</v>
      </c>
      <c r="O113" s="108">
        <f>IF(N113="","",N113/(1+'General inputs'!$H$32)^C113)</f>
        <v>0</v>
      </c>
      <c r="P113" s="86"/>
      <c r="Q113" s="115"/>
      <c r="R113" s="108" t="str">
        <f>IF(OR(LEFT(D113,4)*1&lt;LEFT('General inputs'!$I$16,4)*1,LEFT(D113,4)*1&gt;LEFT('General inputs'!$I$16,4)+'General inputs'!$H$38-1),"",Q113/(1+'General inputs'!$H$34)^C113)</f>
        <v/>
      </c>
      <c r="S113" s="86"/>
      <c r="T113" s="115"/>
      <c r="U113" s="108" t="str">
        <f>IF(OR(LEFT(D113,4)*1&lt;LEFT('General inputs'!$I$16,4)*1,LEFT(D113,4)*1&gt;LEFT('General inputs'!$I$16,4)+'General inputs'!$H$38-1),"",T113/(1+'General inputs'!$H$34)^C113)</f>
        <v/>
      </c>
      <c r="V113" s="88"/>
      <c r="W113" s="87"/>
    </row>
    <row r="114" spans="2:23" x14ac:dyDescent="0.25">
      <c r="B114" s="60"/>
      <c r="C114" s="106">
        <f>IF(D114='General inputs'!$I$16,0,IF(D114&lt;'General inputs'!$I$16,C115-1,C113+1))</f>
        <v>52</v>
      </c>
      <c r="D114" s="106" t="str">
        <f t="shared" si="3"/>
        <v>2070-71</v>
      </c>
      <c r="E114" s="108" t="str">
        <f>IF(LEFT(D114,4)*1&gt;LEFT('General inputs'!$I$16,4)+'General inputs'!$H$38-1,"",'ET inputs'!D87)</f>
        <v/>
      </c>
      <c r="F114" s="108" t="str">
        <f>IF(LEFT(D114,4)*1&gt;LEFT('General inputs'!$I$16,4)+'General inputs'!$H$38-1,"",E114/(1+'General inputs'!$H$30)^C114)</f>
        <v/>
      </c>
      <c r="G114" s="108" t="str">
        <f>IF(LEFT(D114,4)*1&gt;LEFT('General inputs'!$I$16,4)+'General inputs'!$H$38-1,"",E114/(1+'General inputs'!$H$32)^C114)</f>
        <v/>
      </c>
      <c r="H114" s="108" t="str">
        <f>IF(LEFT(D114,4)*1&lt;LEFT('General inputs'!$I$16,4)*1,"",IF(LEFT(D114,4)*1&gt;LEFT('General inputs'!$I$16,4)+'General inputs'!$H$38-1,"",E114/(1+'General inputs'!$H$34)^C114))</f>
        <v/>
      </c>
      <c r="I114" s="86"/>
      <c r="J114" s="135"/>
      <c r="K114" s="135"/>
      <c r="L114" s="108" t="str">
        <f>IF(LEFT(D114,4)*1&gt;LEFT('General inputs'!$I$18,4)*1,"",SUMIF('Post-1996 commissioned assets'!$F$22:$F$218,$D114,'Post-1996 commissioned assets'!$P$22:$P$218))</f>
        <v/>
      </c>
      <c r="M114" s="108" t="str">
        <f>IF(L114="","",L114/(1+'General inputs'!$H$32)^C114)</f>
        <v/>
      </c>
      <c r="N114" s="108">
        <f>IF(LEFT(D114,4)*1&lt;LEFT('General inputs'!$I$18,4)*1+1,"",SUMIF('Uncommissioned assets'!$F$22:$F$218,$D114,'Uncommissioned assets'!$P$22:$P$218))</f>
        <v>0</v>
      </c>
      <c r="O114" s="108">
        <f>IF(N114="","",N114/(1+'General inputs'!$H$32)^C114)</f>
        <v>0</v>
      </c>
      <c r="P114" s="86"/>
      <c r="Q114" s="115"/>
      <c r="R114" s="108" t="str">
        <f>IF(OR(LEFT(D114,4)*1&lt;LEFT('General inputs'!$I$16,4)*1,LEFT(D114,4)*1&gt;LEFT('General inputs'!$I$16,4)+'General inputs'!$H$38-1),"",Q114/(1+'General inputs'!$H$34)^C114)</f>
        <v/>
      </c>
      <c r="S114" s="86"/>
      <c r="T114" s="115"/>
      <c r="U114" s="108" t="str">
        <f>IF(OR(LEFT(D114,4)*1&lt;LEFT('General inputs'!$I$16,4)*1,LEFT(D114,4)*1&gt;LEFT('General inputs'!$I$16,4)+'General inputs'!$H$38-1),"",T114/(1+'General inputs'!$H$34)^C114)</f>
        <v/>
      </c>
      <c r="V114" s="88"/>
      <c r="W114" s="87"/>
    </row>
    <row r="115" spans="2:23" x14ac:dyDescent="0.25">
      <c r="B115" s="60"/>
      <c r="C115" s="106">
        <f>IF(D115='General inputs'!$I$16,0,IF(D115&lt;'General inputs'!$I$16,C116-1,C114+1))</f>
        <v>53</v>
      </c>
      <c r="D115" s="106" t="str">
        <f t="shared" si="3"/>
        <v>2071-72</v>
      </c>
      <c r="E115" s="108" t="str">
        <f>IF(LEFT(D115,4)*1&gt;LEFT('General inputs'!$I$16,4)+'General inputs'!$H$38-1,"",'ET inputs'!D88)</f>
        <v/>
      </c>
      <c r="F115" s="108" t="str">
        <f>IF(LEFT(D115,4)*1&gt;LEFT('General inputs'!$I$16,4)+'General inputs'!$H$38-1,"",E115/(1+'General inputs'!$H$30)^C115)</f>
        <v/>
      </c>
      <c r="G115" s="108" t="str">
        <f>IF(LEFT(D115,4)*1&gt;LEFT('General inputs'!$I$16,4)+'General inputs'!$H$38-1,"",E115/(1+'General inputs'!$H$32)^C115)</f>
        <v/>
      </c>
      <c r="H115" s="108" t="str">
        <f>IF(LEFT(D115,4)*1&lt;LEFT('General inputs'!$I$16,4)*1,"",IF(LEFT(D115,4)*1&gt;LEFT('General inputs'!$I$16,4)+'General inputs'!$H$38-1,"",E115/(1+'General inputs'!$H$34)^C115))</f>
        <v/>
      </c>
      <c r="I115" s="86"/>
      <c r="J115" s="135"/>
      <c r="K115" s="135"/>
      <c r="L115" s="108" t="str">
        <f>IF(LEFT(D115,4)*1&gt;LEFT('General inputs'!$I$18,4)*1,"",SUMIF('Post-1996 commissioned assets'!$F$22:$F$218,$D115,'Post-1996 commissioned assets'!$P$22:$P$218))</f>
        <v/>
      </c>
      <c r="M115" s="108" t="str">
        <f>IF(L115="","",L115/(1+'General inputs'!$H$32)^C115)</f>
        <v/>
      </c>
      <c r="N115" s="108">
        <f>IF(LEFT(D115,4)*1&lt;LEFT('General inputs'!$I$18,4)*1+1,"",SUMIF('Uncommissioned assets'!$F$22:$F$218,$D115,'Uncommissioned assets'!$P$22:$P$218))</f>
        <v>0</v>
      </c>
      <c r="O115" s="108">
        <f>IF(N115="","",N115/(1+'General inputs'!$H$32)^C115)</f>
        <v>0</v>
      </c>
      <c r="P115" s="86"/>
      <c r="Q115" s="115"/>
      <c r="R115" s="108" t="str">
        <f>IF(OR(LEFT(D115,4)*1&lt;LEFT('General inputs'!$I$16,4)*1,LEFT(D115,4)*1&gt;LEFT('General inputs'!$I$16,4)+'General inputs'!$H$38-1),"",Q115/(1+'General inputs'!$H$34)^C115)</f>
        <v/>
      </c>
      <c r="S115" s="86"/>
      <c r="T115" s="115"/>
      <c r="U115" s="108" t="str">
        <f>IF(OR(LEFT(D115,4)*1&lt;LEFT('General inputs'!$I$16,4)*1,LEFT(D115,4)*1&gt;LEFT('General inputs'!$I$16,4)+'General inputs'!$H$38-1),"",T115/(1+'General inputs'!$H$34)^C115)</f>
        <v/>
      </c>
      <c r="V115" s="88"/>
      <c r="W115" s="87"/>
    </row>
    <row r="116" spans="2:23" x14ac:dyDescent="0.25">
      <c r="B116" s="60"/>
      <c r="C116" s="106">
        <f>IF(D116='General inputs'!$I$16,0,IF(D116&lt;'General inputs'!$I$16,C117-1,C115+1))</f>
        <v>54</v>
      </c>
      <c r="D116" s="106" t="str">
        <f t="shared" si="3"/>
        <v>2072-73</v>
      </c>
      <c r="E116" s="108" t="str">
        <f>IF(LEFT(D116,4)*1&gt;LEFT('General inputs'!$I$16,4)+'General inputs'!$H$38-1,"",'ET inputs'!D89)</f>
        <v/>
      </c>
      <c r="F116" s="108" t="str">
        <f>IF(LEFT(D116,4)*1&gt;LEFT('General inputs'!$I$16,4)+'General inputs'!$H$38-1,"",E116/(1+'General inputs'!$H$30)^C116)</f>
        <v/>
      </c>
      <c r="G116" s="108" t="str">
        <f>IF(LEFT(D116,4)*1&gt;LEFT('General inputs'!$I$16,4)+'General inputs'!$H$38-1,"",E116/(1+'General inputs'!$H$32)^C116)</f>
        <v/>
      </c>
      <c r="H116" s="108" t="str">
        <f>IF(LEFT(D116,4)*1&lt;LEFT('General inputs'!$I$16,4)*1,"",IF(LEFT(D116,4)*1&gt;LEFT('General inputs'!$I$16,4)+'General inputs'!$H$38-1,"",E116/(1+'General inputs'!$H$34)^C116))</f>
        <v/>
      </c>
      <c r="I116" s="86"/>
      <c r="J116" s="135"/>
      <c r="K116" s="135"/>
      <c r="L116" s="108" t="str">
        <f>IF(LEFT(D116,4)*1&gt;LEFT('General inputs'!$I$18,4)*1,"",SUMIF('Post-1996 commissioned assets'!$F$22:$F$218,$D116,'Post-1996 commissioned assets'!$P$22:$P$218))</f>
        <v/>
      </c>
      <c r="M116" s="108" t="str">
        <f>IF(L116="","",L116/(1+'General inputs'!$H$32)^C116)</f>
        <v/>
      </c>
      <c r="N116" s="108">
        <f>IF(LEFT(D116,4)*1&lt;LEFT('General inputs'!$I$18,4)*1+1,"",SUMIF('Uncommissioned assets'!$F$22:$F$218,$D116,'Uncommissioned assets'!$P$22:$P$218))</f>
        <v>0</v>
      </c>
      <c r="O116" s="108">
        <f>IF(N116="","",N116/(1+'General inputs'!$H$32)^C116)</f>
        <v>0</v>
      </c>
      <c r="P116" s="86"/>
      <c r="Q116" s="115"/>
      <c r="R116" s="108" t="str">
        <f>IF(OR(LEFT(D116,4)*1&lt;LEFT('General inputs'!$I$16,4)*1,LEFT(D116,4)*1&gt;LEFT('General inputs'!$I$16,4)+'General inputs'!$H$38-1),"",Q116/(1+'General inputs'!$H$34)^C116)</f>
        <v/>
      </c>
      <c r="S116" s="86"/>
      <c r="T116" s="115"/>
      <c r="U116" s="108" t="str">
        <f>IF(OR(LEFT(D116,4)*1&lt;LEFT('General inputs'!$I$16,4)*1,LEFT(D116,4)*1&gt;LEFT('General inputs'!$I$16,4)+'General inputs'!$H$38-1),"",T116/(1+'General inputs'!$H$34)^C116)</f>
        <v/>
      </c>
      <c r="V116" s="88"/>
      <c r="W116" s="87"/>
    </row>
    <row r="117" spans="2:23" x14ac:dyDescent="0.25">
      <c r="B117" s="60"/>
      <c r="C117" s="106">
        <f>IF(D117='General inputs'!$I$16,0,IF(D117&lt;'General inputs'!$I$16,C118-1,C116+1))</f>
        <v>55</v>
      </c>
      <c r="D117" s="106" t="str">
        <f t="shared" si="3"/>
        <v>2073-74</v>
      </c>
      <c r="E117" s="108" t="str">
        <f>IF(LEFT(D117,4)*1&gt;LEFT('General inputs'!$I$16,4)+'General inputs'!$H$38-1,"",'ET inputs'!D90)</f>
        <v/>
      </c>
      <c r="F117" s="108" t="str">
        <f>IF(LEFT(D117,4)*1&gt;LEFT('General inputs'!$I$16,4)+'General inputs'!$H$38-1,"",E117/(1+'General inputs'!$H$30)^C117)</f>
        <v/>
      </c>
      <c r="G117" s="108" t="str">
        <f>IF(LEFT(D117,4)*1&gt;LEFT('General inputs'!$I$16,4)+'General inputs'!$H$38-1,"",E117/(1+'General inputs'!$H$32)^C117)</f>
        <v/>
      </c>
      <c r="H117" s="108" t="str">
        <f>IF(LEFT(D117,4)*1&lt;LEFT('General inputs'!$I$16,4)*1,"",IF(LEFT(D117,4)*1&gt;LEFT('General inputs'!$I$16,4)+'General inputs'!$H$38-1,"",E117/(1+'General inputs'!$H$34)^C117))</f>
        <v/>
      </c>
      <c r="I117" s="86"/>
      <c r="J117" s="135"/>
      <c r="K117" s="135"/>
      <c r="L117" s="108" t="str">
        <f>IF(LEFT(D117,4)*1&gt;LEFT('General inputs'!$I$18,4)*1,"",SUMIF('Post-1996 commissioned assets'!$F$22:$F$218,$D117,'Post-1996 commissioned assets'!$P$22:$P$218))</f>
        <v/>
      </c>
      <c r="M117" s="108" t="str">
        <f>IF(L117="","",L117/(1+'General inputs'!$H$32)^C117)</f>
        <v/>
      </c>
      <c r="N117" s="108">
        <f>IF(LEFT(D117,4)*1&lt;LEFT('General inputs'!$I$18,4)*1+1,"",SUMIF('Uncommissioned assets'!$F$22:$F$218,$D117,'Uncommissioned assets'!$P$22:$P$218))</f>
        <v>0</v>
      </c>
      <c r="O117" s="108">
        <f>IF(N117="","",N117/(1+'General inputs'!$H$32)^C117)</f>
        <v>0</v>
      </c>
      <c r="P117" s="86"/>
      <c r="Q117" s="115"/>
      <c r="R117" s="108" t="str">
        <f>IF(OR(LEFT(D117,4)*1&lt;LEFT('General inputs'!$I$16,4)*1,LEFT(D117,4)*1&gt;LEFT('General inputs'!$I$16,4)+'General inputs'!$H$38-1),"",Q117/(1+'General inputs'!$H$34)^C117)</f>
        <v/>
      </c>
      <c r="S117" s="86"/>
      <c r="T117" s="115"/>
      <c r="U117" s="108" t="str">
        <f>IF(OR(LEFT(D117,4)*1&lt;LEFT('General inputs'!$I$16,4)*1,LEFT(D117,4)*1&gt;LEFT('General inputs'!$I$16,4)+'General inputs'!$H$38-1),"",T117/(1+'General inputs'!$H$34)^C117)</f>
        <v/>
      </c>
      <c r="V117" s="88"/>
      <c r="W117" s="87"/>
    </row>
    <row r="118" spans="2:23" x14ac:dyDescent="0.25">
      <c r="B118" s="60"/>
      <c r="C118" s="106">
        <f>IF(D118='General inputs'!$I$16,0,IF(D118&lt;'General inputs'!$I$16,C119-1,C117+1))</f>
        <v>56</v>
      </c>
      <c r="D118" s="106" t="str">
        <f t="shared" si="3"/>
        <v>2074-75</v>
      </c>
      <c r="E118" s="108" t="str">
        <f>IF(LEFT(D118,4)*1&gt;LEFT('General inputs'!$I$16,4)+'General inputs'!$H$38-1,"",'ET inputs'!D91)</f>
        <v/>
      </c>
      <c r="F118" s="108" t="str">
        <f>IF(LEFT(D118,4)*1&gt;LEFT('General inputs'!$I$16,4)+'General inputs'!$H$38-1,"",E118/(1+'General inputs'!$H$30)^C118)</f>
        <v/>
      </c>
      <c r="G118" s="108" t="str">
        <f>IF(LEFT(D118,4)*1&gt;LEFT('General inputs'!$I$16,4)+'General inputs'!$H$38-1,"",E118/(1+'General inputs'!$H$32)^C118)</f>
        <v/>
      </c>
      <c r="H118" s="108" t="str">
        <f>IF(LEFT(D118,4)*1&lt;LEFT('General inputs'!$I$16,4)*1,"",IF(LEFT(D118,4)*1&gt;LEFT('General inputs'!$I$16,4)+'General inputs'!$H$38-1,"",E118/(1+'General inputs'!$H$34)^C118))</f>
        <v/>
      </c>
      <c r="I118" s="86"/>
      <c r="J118" s="135"/>
      <c r="K118" s="135"/>
      <c r="L118" s="108" t="str">
        <f>IF(LEFT(D118,4)*1&gt;LEFT('General inputs'!$I$18,4)*1,"",SUMIF('Post-1996 commissioned assets'!$F$22:$F$218,$D118,'Post-1996 commissioned assets'!$P$22:$P$218))</f>
        <v/>
      </c>
      <c r="M118" s="108" t="str">
        <f>IF(L118="","",L118/(1+'General inputs'!$H$32)^C118)</f>
        <v/>
      </c>
      <c r="N118" s="108">
        <f>IF(LEFT(D118,4)*1&lt;LEFT('General inputs'!$I$18,4)*1+1,"",SUMIF('Uncommissioned assets'!$F$22:$F$218,$D118,'Uncommissioned assets'!$P$22:$P$218))</f>
        <v>0</v>
      </c>
      <c r="O118" s="108">
        <f>IF(N118="","",N118/(1+'General inputs'!$H$32)^C118)</f>
        <v>0</v>
      </c>
      <c r="P118" s="86"/>
      <c r="Q118" s="115"/>
      <c r="R118" s="108" t="str">
        <f>IF(OR(LEFT(D118,4)*1&lt;LEFT('General inputs'!$I$16,4)*1,LEFT(D118,4)*1&gt;LEFT('General inputs'!$I$16,4)+'General inputs'!$H$38-1),"",Q118/(1+'General inputs'!$H$34)^C118)</f>
        <v/>
      </c>
      <c r="S118" s="86"/>
      <c r="T118" s="115"/>
      <c r="U118" s="108" t="str">
        <f>IF(OR(LEFT(D118,4)*1&lt;LEFT('General inputs'!$I$16,4)*1,LEFT(D118,4)*1&gt;LEFT('General inputs'!$I$16,4)+'General inputs'!$H$38-1),"",T118/(1+'General inputs'!$H$34)^C118)</f>
        <v/>
      </c>
      <c r="V118" s="88"/>
      <c r="W118" s="87"/>
    </row>
    <row r="119" spans="2:23" x14ac:dyDescent="0.25">
      <c r="B119" s="60"/>
      <c r="C119" s="106">
        <f>IF(D119='General inputs'!$I$16,0,IF(D119&lt;'General inputs'!$I$16,C120-1,C118+1))</f>
        <v>57</v>
      </c>
      <c r="D119" s="106" t="str">
        <f t="shared" si="3"/>
        <v>2075-76</v>
      </c>
      <c r="E119" s="108" t="str">
        <f>IF(LEFT(D119,4)*1&gt;LEFT('General inputs'!$I$16,4)+'General inputs'!$H$38-1,"",'ET inputs'!D92)</f>
        <v/>
      </c>
      <c r="F119" s="108" t="str">
        <f>IF(LEFT(D119,4)*1&gt;LEFT('General inputs'!$I$16,4)+'General inputs'!$H$38-1,"",E119/(1+'General inputs'!$H$30)^C119)</f>
        <v/>
      </c>
      <c r="G119" s="108" t="str">
        <f>IF(LEFT(D119,4)*1&gt;LEFT('General inputs'!$I$16,4)+'General inputs'!$H$38-1,"",E119/(1+'General inputs'!$H$32)^C119)</f>
        <v/>
      </c>
      <c r="H119" s="108" t="str">
        <f>IF(LEFT(D119,4)*1&lt;LEFT('General inputs'!$I$16,4)*1,"",IF(LEFT(D119,4)*1&gt;LEFT('General inputs'!$I$16,4)+'General inputs'!$H$38-1,"",E119/(1+'General inputs'!$H$34)^C119))</f>
        <v/>
      </c>
      <c r="I119" s="86"/>
      <c r="J119" s="135"/>
      <c r="K119" s="135"/>
      <c r="L119" s="108" t="str">
        <f>IF(LEFT(D119,4)*1&gt;LEFT('General inputs'!$I$18,4)*1,"",SUMIF('Post-1996 commissioned assets'!$F$22:$F$218,$D119,'Post-1996 commissioned assets'!$P$22:$P$218))</f>
        <v/>
      </c>
      <c r="M119" s="108" t="str">
        <f>IF(L119="","",L119/(1+'General inputs'!$H$32)^C119)</f>
        <v/>
      </c>
      <c r="N119" s="108">
        <f>IF(LEFT(D119,4)*1&lt;LEFT('General inputs'!$I$18,4)*1+1,"",SUMIF('Uncommissioned assets'!$F$22:$F$218,$D119,'Uncommissioned assets'!$P$22:$P$218))</f>
        <v>0</v>
      </c>
      <c r="O119" s="108">
        <f>IF(N119="","",N119/(1+'General inputs'!$H$32)^C119)</f>
        <v>0</v>
      </c>
      <c r="P119" s="86"/>
      <c r="Q119" s="115"/>
      <c r="R119" s="108" t="str">
        <f>IF(OR(LEFT(D119,4)*1&lt;LEFT('General inputs'!$I$16,4)*1,LEFT(D119,4)*1&gt;LEFT('General inputs'!$I$16,4)+'General inputs'!$H$38-1),"",Q119/(1+'General inputs'!$H$34)^C119)</f>
        <v/>
      </c>
      <c r="S119" s="86"/>
      <c r="T119" s="115"/>
      <c r="U119" s="108" t="str">
        <f>IF(OR(LEFT(D119,4)*1&lt;LEFT('General inputs'!$I$16,4)*1,LEFT(D119,4)*1&gt;LEFT('General inputs'!$I$16,4)+'General inputs'!$H$38-1),"",T119/(1+'General inputs'!$H$34)^C119)</f>
        <v/>
      </c>
      <c r="V119" s="88"/>
      <c r="W119" s="87"/>
    </row>
    <row r="120" spans="2:23" x14ac:dyDescent="0.25">
      <c r="B120" s="60"/>
      <c r="C120" s="106">
        <f>IF(D120='General inputs'!$I$16,0,IF(D120&lt;'General inputs'!$I$16,C121-1,C119+1))</f>
        <v>58</v>
      </c>
      <c r="D120" s="106" t="str">
        <f t="shared" si="3"/>
        <v>2076-77</v>
      </c>
      <c r="E120" s="108" t="str">
        <f>IF(LEFT(D120,4)*1&gt;LEFT('General inputs'!$I$16,4)+'General inputs'!$H$38-1,"",'ET inputs'!D93)</f>
        <v/>
      </c>
      <c r="F120" s="108" t="str">
        <f>IF(LEFT(D120,4)*1&gt;LEFT('General inputs'!$I$16,4)+'General inputs'!$H$38-1,"",E120/(1+'General inputs'!$H$30)^C120)</f>
        <v/>
      </c>
      <c r="G120" s="108" t="str">
        <f>IF(LEFT(D120,4)*1&gt;LEFT('General inputs'!$I$16,4)+'General inputs'!$H$38-1,"",E120/(1+'General inputs'!$H$32)^C120)</f>
        <v/>
      </c>
      <c r="H120" s="108" t="str">
        <f>IF(LEFT(D120,4)*1&lt;LEFT('General inputs'!$I$16,4)*1,"",IF(LEFT(D120,4)*1&gt;LEFT('General inputs'!$I$16,4)+'General inputs'!$H$38-1,"",E120/(1+'General inputs'!$H$34)^C120))</f>
        <v/>
      </c>
      <c r="I120" s="86"/>
      <c r="J120" s="135"/>
      <c r="K120" s="135"/>
      <c r="L120" s="108" t="str">
        <f>IF(LEFT(D120,4)*1&gt;LEFT('General inputs'!$I$18,4)*1,"",SUMIF('Post-1996 commissioned assets'!$F$22:$F$218,$D120,'Post-1996 commissioned assets'!$P$22:$P$218))</f>
        <v/>
      </c>
      <c r="M120" s="108" t="str">
        <f>IF(L120="","",L120/(1+'General inputs'!$H$32)^C120)</f>
        <v/>
      </c>
      <c r="N120" s="108">
        <f>IF(LEFT(D120,4)*1&lt;LEFT('General inputs'!$I$18,4)*1+1,"",SUMIF('Uncommissioned assets'!$F$22:$F$218,$D120,'Uncommissioned assets'!$P$22:$P$218))</f>
        <v>0</v>
      </c>
      <c r="O120" s="108">
        <f>IF(N120="","",N120/(1+'General inputs'!$H$32)^C120)</f>
        <v>0</v>
      </c>
      <c r="P120" s="86"/>
      <c r="Q120" s="115"/>
      <c r="R120" s="108" t="str">
        <f>IF(OR(LEFT(D120,4)*1&lt;LEFT('General inputs'!$I$16,4)*1,LEFT(D120,4)*1&gt;LEFT('General inputs'!$I$16,4)+'General inputs'!$H$38-1),"",Q120/(1+'General inputs'!$H$34)^C120)</f>
        <v/>
      </c>
      <c r="S120" s="86"/>
      <c r="T120" s="115"/>
      <c r="U120" s="108" t="str">
        <f>IF(OR(LEFT(D120,4)*1&lt;LEFT('General inputs'!$I$16,4)*1,LEFT(D120,4)*1&gt;LEFT('General inputs'!$I$16,4)+'General inputs'!$H$38-1),"",T120/(1+'General inputs'!$H$34)^C120)</f>
        <v/>
      </c>
      <c r="V120" s="88"/>
      <c r="W120" s="87"/>
    </row>
    <row r="121" spans="2:23" x14ac:dyDescent="0.25">
      <c r="B121" s="60"/>
      <c r="C121" s="106">
        <f>IF(D121='General inputs'!$I$16,0,IF(D121&lt;'General inputs'!$I$16,C122-1,C120+1))</f>
        <v>59</v>
      </c>
      <c r="D121" s="106" t="str">
        <f t="shared" si="3"/>
        <v>2077-78</v>
      </c>
      <c r="E121" s="108" t="str">
        <f>IF(LEFT(D121,4)*1&gt;LEFT('General inputs'!$I$16,4)+'General inputs'!$H$38-1,"",'ET inputs'!D94)</f>
        <v/>
      </c>
      <c r="F121" s="108" t="str">
        <f>IF(LEFT(D121,4)*1&gt;LEFT('General inputs'!$I$16,4)+'General inputs'!$H$38-1,"",E121/(1+'General inputs'!$H$30)^C121)</f>
        <v/>
      </c>
      <c r="G121" s="108" t="str">
        <f>IF(LEFT(D121,4)*1&gt;LEFT('General inputs'!$I$16,4)+'General inputs'!$H$38-1,"",E121/(1+'General inputs'!$H$32)^C121)</f>
        <v/>
      </c>
      <c r="H121" s="108" t="str">
        <f>IF(LEFT(D121,4)*1&lt;LEFT('General inputs'!$I$16,4)*1,"",IF(LEFT(D121,4)*1&gt;LEFT('General inputs'!$I$16,4)+'General inputs'!$H$38-1,"",E121/(1+'General inputs'!$H$34)^C121))</f>
        <v/>
      </c>
      <c r="I121" s="86"/>
      <c r="J121" s="135"/>
      <c r="K121" s="135"/>
      <c r="L121" s="108" t="str">
        <f>IF(LEFT(D121,4)*1&gt;LEFT('General inputs'!$I$18,4)*1,"",SUMIF('Post-1996 commissioned assets'!$F$22:$F$218,$D121,'Post-1996 commissioned assets'!$P$22:$P$218))</f>
        <v/>
      </c>
      <c r="M121" s="108" t="str">
        <f>IF(L121="","",L121/(1+'General inputs'!$H$32)^C121)</f>
        <v/>
      </c>
      <c r="N121" s="108">
        <f>IF(LEFT(D121,4)*1&lt;LEFT('General inputs'!$I$18,4)*1+1,"",SUMIF('Uncommissioned assets'!$F$22:$F$218,$D121,'Uncommissioned assets'!$P$22:$P$218))</f>
        <v>0</v>
      </c>
      <c r="O121" s="108">
        <f>IF(N121="","",N121/(1+'General inputs'!$H$32)^C121)</f>
        <v>0</v>
      </c>
      <c r="P121" s="86"/>
      <c r="Q121" s="115"/>
      <c r="R121" s="108" t="str">
        <f>IF(OR(LEFT(D121,4)*1&lt;LEFT('General inputs'!$I$16,4)*1,LEFT(D121,4)*1&gt;LEFT('General inputs'!$I$16,4)+'General inputs'!$H$38-1),"",Q121/(1+'General inputs'!$H$34)^C121)</f>
        <v/>
      </c>
      <c r="S121" s="86"/>
      <c r="T121" s="115"/>
      <c r="U121" s="108" t="str">
        <f>IF(OR(LEFT(D121,4)*1&lt;LEFT('General inputs'!$I$16,4)*1,LEFT(D121,4)*1&gt;LEFT('General inputs'!$I$16,4)+'General inputs'!$H$38-1),"",T121/(1+'General inputs'!$H$34)^C121)</f>
        <v/>
      </c>
      <c r="V121" s="88"/>
      <c r="W121" s="87"/>
    </row>
    <row r="122" spans="2:23" x14ac:dyDescent="0.25">
      <c r="B122" s="60"/>
      <c r="C122" s="106">
        <f>IF(D122='General inputs'!$I$16,0,IF(D122&lt;'General inputs'!$I$16,C123-1,C121+1))</f>
        <v>60</v>
      </c>
      <c r="D122" s="106" t="str">
        <f t="shared" si="3"/>
        <v>2078-79</v>
      </c>
      <c r="E122" s="108" t="str">
        <f>IF(LEFT(D122,4)*1&gt;LEFT('General inputs'!$I$16,4)+'General inputs'!$H$38-1,"",'ET inputs'!D95)</f>
        <v/>
      </c>
      <c r="F122" s="108" t="str">
        <f>IF(LEFT(D122,4)*1&gt;LEFT('General inputs'!$I$16,4)+'General inputs'!$H$38-1,"",E122/(1+'General inputs'!$H$30)^C122)</f>
        <v/>
      </c>
      <c r="G122" s="108" t="str">
        <f>IF(LEFT(D122,4)*1&gt;LEFT('General inputs'!$I$16,4)+'General inputs'!$H$38-1,"",E122/(1+'General inputs'!$H$32)^C122)</f>
        <v/>
      </c>
      <c r="H122" s="108" t="str">
        <f>IF(LEFT(D122,4)*1&lt;LEFT('General inputs'!$I$16,4)*1,"",IF(LEFT(D122,4)*1&gt;LEFT('General inputs'!$I$16,4)+'General inputs'!$H$38-1,"",E122/(1+'General inputs'!$H$34)^C122))</f>
        <v/>
      </c>
      <c r="I122" s="86"/>
      <c r="J122" s="135"/>
      <c r="K122" s="135"/>
      <c r="L122" s="108" t="str">
        <f>IF(LEFT(D122,4)*1&gt;LEFT('General inputs'!$I$18,4)*1,"",SUMIF('Post-1996 commissioned assets'!$F$22:$F$218,$D122,'Post-1996 commissioned assets'!$P$22:$P$218))</f>
        <v/>
      </c>
      <c r="M122" s="108" t="str">
        <f>IF(L122="","",L122/(1+'General inputs'!$H$32)^C122)</f>
        <v/>
      </c>
      <c r="N122" s="108">
        <f>IF(LEFT(D122,4)*1&lt;LEFT('General inputs'!$I$18,4)*1+1,"",SUMIF('Uncommissioned assets'!$F$22:$F$218,$D122,'Uncommissioned assets'!$P$22:$P$218))</f>
        <v>0</v>
      </c>
      <c r="O122" s="108">
        <f>IF(N122="","",N122/(1+'General inputs'!$H$32)^C122)</f>
        <v>0</v>
      </c>
      <c r="P122" s="86"/>
      <c r="Q122" s="115"/>
      <c r="R122" s="108" t="str">
        <f>IF(OR(LEFT(D122,4)*1&lt;LEFT('General inputs'!$I$16,4)*1,LEFT(D122,4)*1&gt;LEFT('General inputs'!$I$16,4)+'General inputs'!$H$38-1),"",Q122/(1+'General inputs'!$H$34)^C122)</f>
        <v/>
      </c>
      <c r="S122" s="86"/>
      <c r="T122" s="115"/>
      <c r="U122" s="108" t="str">
        <f>IF(OR(LEFT(D122,4)*1&lt;LEFT('General inputs'!$I$16,4)*1,LEFT(D122,4)*1&gt;LEFT('General inputs'!$I$16,4)+'General inputs'!$H$38-1),"",T122/(1+'General inputs'!$H$34)^C122)</f>
        <v/>
      </c>
      <c r="V122" s="88"/>
      <c r="W122" s="87"/>
    </row>
    <row r="123" spans="2:23" x14ac:dyDescent="0.25">
      <c r="B123" s="60"/>
      <c r="C123" s="106">
        <f>IF(D123='General inputs'!$I$16,0,IF(D123&lt;'General inputs'!$I$16,C124-1,C122+1))</f>
        <v>61</v>
      </c>
      <c r="D123" s="106" t="str">
        <f t="shared" ref="D123:D129" si="4">LEFT(D122,4)+1&amp;"-"&amp;RIGHT(D122,2)+1</f>
        <v>2079-80</v>
      </c>
      <c r="E123" s="108" t="str">
        <f>IF(LEFT(D123,4)*1&gt;LEFT('General inputs'!$I$16,4)+'General inputs'!$H$38-1,"",'ET inputs'!D96)</f>
        <v/>
      </c>
      <c r="F123" s="108" t="str">
        <f>IF(LEFT(D123,4)*1&gt;LEFT('General inputs'!$I$16,4)+'General inputs'!$H$38-1,"",E123/(1+'General inputs'!$H$30)^C123)</f>
        <v/>
      </c>
      <c r="G123" s="108" t="str">
        <f>IF(LEFT(D123,4)*1&gt;LEFT('General inputs'!$I$16,4)+'General inputs'!$H$38-1,"",E123/(1+'General inputs'!$H$32)^C123)</f>
        <v/>
      </c>
      <c r="H123" s="108" t="str">
        <f>IF(LEFT(D123,4)*1&lt;LEFT('General inputs'!$I$16,4)*1,"",IF(LEFT(D123,4)*1&gt;LEFT('General inputs'!$I$16,4)+'General inputs'!$H$38-1,"",E123/(1+'General inputs'!$H$34)^C123))</f>
        <v/>
      </c>
      <c r="I123" s="86"/>
      <c r="J123" s="135"/>
      <c r="K123" s="135"/>
      <c r="L123" s="108" t="str">
        <f>IF(LEFT(D123,4)*1&gt;LEFT('General inputs'!$I$18,4)*1,"",SUMIF('Post-1996 commissioned assets'!$F$22:$F$218,$D123,'Post-1996 commissioned assets'!$P$22:$P$218))</f>
        <v/>
      </c>
      <c r="M123" s="108" t="str">
        <f>IF(L123="","",L123/(1+'General inputs'!$H$32)^C123)</f>
        <v/>
      </c>
      <c r="N123" s="108">
        <f>IF(LEFT(D123,4)*1&lt;LEFT('General inputs'!$I$18,4)*1+1,"",SUMIF('Uncommissioned assets'!$F$22:$F$218,$D123,'Uncommissioned assets'!$P$22:$P$218))</f>
        <v>0</v>
      </c>
      <c r="O123" s="108">
        <f>IF(N123="","",N123/(1+'General inputs'!$H$32)^C123)</f>
        <v>0</v>
      </c>
      <c r="P123" s="86"/>
      <c r="Q123" s="115"/>
      <c r="R123" s="108" t="str">
        <f>IF(OR(LEFT(D123,4)*1&lt;LEFT('General inputs'!$I$16,4)*1,LEFT(D123,4)*1&gt;LEFT('General inputs'!$I$16,4)+'General inputs'!$H$38-1),"",Q123/(1+'General inputs'!$H$34)^C123)</f>
        <v/>
      </c>
      <c r="S123" s="86"/>
      <c r="T123" s="115"/>
      <c r="U123" s="108" t="str">
        <f>IF(OR(LEFT(D123,4)*1&lt;LEFT('General inputs'!$I$16,4)*1,LEFT(D123,4)*1&gt;LEFT('General inputs'!$I$16,4)+'General inputs'!$H$38-1),"",T123/(1+'General inputs'!$H$34)^C123)</f>
        <v/>
      </c>
      <c r="V123" s="88"/>
      <c r="W123" s="87"/>
    </row>
    <row r="124" spans="2:23" x14ac:dyDescent="0.25">
      <c r="B124" s="60"/>
      <c r="C124" s="106">
        <f>IF(D124='General inputs'!$I$16,0,IF(D124&lt;'General inputs'!$I$16,C125-1,C123+1))</f>
        <v>62</v>
      </c>
      <c r="D124" s="106" t="str">
        <f t="shared" si="4"/>
        <v>2080-81</v>
      </c>
      <c r="E124" s="108" t="str">
        <f>IF(LEFT(D124,4)*1&gt;LEFT('General inputs'!$I$16,4)+'General inputs'!$H$38-1,"",'ET inputs'!D97)</f>
        <v/>
      </c>
      <c r="F124" s="108" t="str">
        <f>IF(LEFT(D124,4)*1&gt;LEFT('General inputs'!$I$16,4)+'General inputs'!$H$38-1,"",E124/(1+'General inputs'!$H$30)^C124)</f>
        <v/>
      </c>
      <c r="G124" s="108" t="str">
        <f>IF(LEFT(D124,4)*1&gt;LEFT('General inputs'!$I$16,4)+'General inputs'!$H$38-1,"",E124/(1+'General inputs'!$H$32)^C124)</f>
        <v/>
      </c>
      <c r="H124" s="108" t="str">
        <f>IF(LEFT(D124,4)*1&lt;LEFT('General inputs'!$I$16,4)*1,"",IF(LEFT(D124,4)*1&gt;LEFT('General inputs'!$I$16,4)+'General inputs'!$H$38-1,"",E124/(1+'General inputs'!$H$34)^C124))</f>
        <v/>
      </c>
      <c r="I124" s="86"/>
      <c r="J124" s="135"/>
      <c r="K124" s="135"/>
      <c r="L124" s="108" t="str">
        <f>IF(LEFT(D124,4)*1&gt;LEFT('General inputs'!$I$18,4)*1,"",SUMIF('Post-1996 commissioned assets'!$F$22:$F$218,$D124,'Post-1996 commissioned assets'!$P$22:$P$218))</f>
        <v/>
      </c>
      <c r="M124" s="108" t="str">
        <f>IF(L124="","",L124/(1+'General inputs'!$H$32)^C124)</f>
        <v/>
      </c>
      <c r="N124" s="108">
        <f>IF(LEFT(D124,4)*1&lt;LEFT('General inputs'!$I$18,4)*1+1,"",SUMIF('Uncommissioned assets'!$F$22:$F$218,$D124,'Uncommissioned assets'!$P$22:$P$218))</f>
        <v>0</v>
      </c>
      <c r="O124" s="108">
        <f>IF(N124="","",N124/(1+'General inputs'!$H$32)^C124)</f>
        <v>0</v>
      </c>
      <c r="P124" s="86"/>
      <c r="Q124" s="115"/>
      <c r="R124" s="108" t="str">
        <f>IF(OR(LEFT(D124,4)*1&lt;LEFT('General inputs'!$I$16,4)*1,LEFT(D124,4)*1&gt;LEFT('General inputs'!$I$16,4)+'General inputs'!$H$38-1),"",Q124/(1+'General inputs'!$H$34)^C124)</f>
        <v/>
      </c>
      <c r="S124" s="86"/>
      <c r="T124" s="115"/>
      <c r="U124" s="108" t="str">
        <f>IF(OR(LEFT(D124,4)*1&lt;LEFT('General inputs'!$I$16,4)*1,LEFT(D124,4)*1&gt;LEFT('General inputs'!$I$16,4)+'General inputs'!$H$38-1),"",T124/(1+'General inputs'!$H$34)^C124)</f>
        <v/>
      </c>
      <c r="V124" s="88"/>
      <c r="W124" s="87"/>
    </row>
    <row r="125" spans="2:23" x14ac:dyDescent="0.25">
      <c r="B125" s="60"/>
      <c r="C125" s="106">
        <f>IF(D125='General inputs'!$I$16,0,IF(D125&lt;'General inputs'!$I$16,C126-1,C124+1))</f>
        <v>63</v>
      </c>
      <c r="D125" s="106" t="str">
        <f t="shared" si="4"/>
        <v>2081-82</v>
      </c>
      <c r="E125" s="108" t="str">
        <f>IF(LEFT(D125,4)*1&gt;LEFT('General inputs'!$I$16,4)+'General inputs'!$H$38-1,"",'ET inputs'!D98)</f>
        <v/>
      </c>
      <c r="F125" s="108" t="str">
        <f>IF(LEFT(D125,4)*1&gt;LEFT('General inputs'!$I$16,4)+'General inputs'!$H$38-1,"",E125/(1+'General inputs'!$H$30)^C125)</f>
        <v/>
      </c>
      <c r="G125" s="108" t="str">
        <f>IF(LEFT(D125,4)*1&gt;LEFT('General inputs'!$I$16,4)+'General inputs'!$H$38-1,"",E125/(1+'General inputs'!$H$32)^C125)</f>
        <v/>
      </c>
      <c r="H125" s="108" t="str">
        <f>IF(LEFT(D125,4)*1&lt;LEFT('General inputs'!$I$16,4)*1,"",IF(LEFT(D125,4)*1&gt;LEFT('General inputs'!$I$16,4)+'General inputs'!$H$38-1,"",E125/(1+'General inputs'!$H$34)^C125))</f>
        <v/>
      </c>
      <c r="I125" s="86"/>
      <c r="J125" s="135"/>
      <c r="K125" s="135"/>
      <c r="L125" s="108" t="str">
        <f>IF(LEFT(D125,4)*1&gt;LEFT('General inputs'!$I$18,4)*1,"",SUMIF('Post-1996 commissioned assets'!$F$22:$F$218,$D125,'Post-1996 commissioned assets'!$P$22:$P$218))</f>
        <v/>
      </c>
      <c r="M125" s="108" t="str">
        <f>IF(L125="","",L125/(1+'General inputs'!$H$32)^C125)</f>
        <v/>
      </c>
      <c r="N125" s="108">
        <f>IF(LEFT(D125,4)*1&lt;LEFT('General inputs'!$I$18,4)*1+1,"",SUMIF('Uncommissioned assets'!$F$22:$F$218,$D125,'Uncommissioned assets'!$P$22:$P$218))</f>
        <v>0</v>
      </c>
      <c r="O125" s="108">
        <f>IF(N125="","",N125/(1+'General inputs'!$H$32)^C125)</f>
        <v>0</v>
      </c>
      <c r="P125" s="86"/>
      <c r="Q125" s="115"/>
      <c r="R125" s="108" t="str">
        <f>IF(OR(LEFT(D125,4)*1&lt;LEFT('General inputs'!$I$16,4)*1,LEFT(D125,4)*1&gt;LEFT('General inputs'!$I$16,4)+'General inputs'!$H$38-1),"",Q125/(1+'General inputs'!$H$34)^C125)</f>
        <v/>
      </c>
      <c r="S125" s="86"/>
      <c r="T125" s="115"/>
      <c r="U125" s="108" t="str">
        <f>IF(OR(LEFT(D125,4)*1&lt;LEFT('General inputs'!$I$16,4)*1,LEFT(D125,4)*1&gt;LEFT('General inputs'!$I$16,4)+'General inputs'!$H$38-1),"",T125/(1+'General inputs'!$H$34)^C125)</f>
        <v/>
      </c>
      <c r="V125" s="88"/>
      <c r="W125" s="87"/>
    </row>
    <row r="126" spans="2:23" x14ac:dyDescent="0.25">
      <c r="B126" s="60"/>
      <c r="C126" s="106">
        <f>IF(D126='General inputs'!$I$16,0,IF(D126&lt;'General inputs'!$I$16,C127-1,C125+1))</f>
        <v>64</v>
      </c>
      <c r="D126" s="106" t="str">
        <f t="shared" si="4"/>
        <v>2082-83</v>
      </c>
      <c r="E126" s="108" t="str">
        <f>IF(LEFT(D126,4)*1&gt;LEFT('General inputs'!$I$16,4)+'General inputs'!$H$38-1,"",'ET inputs'!D99)</f>
        <v/>
      </c>
      <c r="F126" s="108" t="str">
        <f>IF(LEFT(D126,4)*1&gt;LEFT('General inputs'!$I$16,4)+'General inputs'!$H$38-1,"",E126/(1+'General inputs'!$H$30)^C126)</f>
        <v/>
      </c>
      <c r="G126" s="108" t="str">
        <f>IF(LEFT(D126,4)*1&gt;LEFT('General inputs'!$I$16,4)+'General inputs'!$H$38-1,"",E126/(1+'General inputs'!$H$32)^C126)</f>
        <v/>
      </c>
      <c r="H126" s="108" t="str">
        <f>IF(LEFT(D126,4)*1&lt;LEFT('General inputs'!$I$16,4)*1,"",IF(LEFT(D126,4)*1&gt;LEFT('General inputs'!$I$16,4)+'General inputs'!$H$38-1,"",E126/(1+'General inputs'!$H$34)^C126))</f>
        <v/>
      </c>
      <c r="I126" s="86"/>
      <c r="J126" s="135"/>
      <c r="K126" s="135"/>
      <c r="L126" s="108" t="str">
        <f>IF(LEFT(D126,4)*1&gt;LEFT('General inputs'!$I$18,4)*1,"",SUMIF('Post-1996 commissioned assets'!$F$22:$F$218,$D126,'Post-1996 commissioned assets'!$P$22:$P$218))</f>
        <v/>
      </c>
      <c r="M126" s="108" t="str">
        <f>IF(L126="","",L126/(1+'General inputs'!$H$32)^C126)</f>
        <v/>
      </c>
      <c r="N126" s="108">
        <f>IF(LEFT(D126,4)*1&lt;LEFT('General inputs'!$I$18,4)*1+1,"",SUMIF('Uncommissioned assets'!$F$22:$F$218,$D126,'Uncommissioned assets'!$P$22:$P$218))</f>
        <v>0</v>
      </c>
      <c r="O126" s="108">
        <f>IF(N126="","",N126/(1+'General inputs'!$H$32)^C126)</f>
        <v>0</v>
      </c>
      <c r="P126" s="86"/>
      <c r="Q126" s="115"/>
      <c r="R126" s="108" t="str">
        <f>IF(OR(LEFT(D126,4)*1&lt;LEFT('General inputs'!$I$16,4)*1,LEFT(D126,4)*1&gt;LEFT('General inputs'!$I$16,4)+'General inputs'!$H$38-1),"",Q126/(1+'General inputs'!$H$34)^C126)</f>
        <v/>
      </c>
      <c r="S126" s="86"/>
      <c r="T126" s="115"/>
      <c r="U126" s="108" t="str">
        <f>IF(OR(LEFT(D126,4)*1&lt;LEFT('General inputs'!$I$16,4)*1,LEFT(D126,4)*1&gt;LEFT('General inputs'!$I$16,4)+'General inputs'!$H$38-1),"",T126/(1+'General inputs'!$H$34)^C126)</f>
        <v/>
      </c>
      <c r="V126" s="88"/>
      <c r="W126" s="87"/>
    </row>
    <row r="127" spans="2:23" x14ac:dyDescent="0.25">
      <c r="B127" s="60"/>
      <c r="C127" s="106">
        <f>IF(D127='General inputs'!$I$16,0,IF(D127&lt;'General inputs'!$I$16,C128-1,C126+1))</f>
        <v>65</v>
      </c>
      <c r="D127" s="106" t="str">
        <f t="shared" si="4"/>
        <v>2083-84</v>
      </c>
      <c r="E127" s="108" t="str">
        <f>IF(LEFT(D127,4)*1&gt;LEFT('General inputs'!$I$16,4)+'General inputs'!$H$38-1,"",'ET inputs'!D100)</f>
        <v/>
      </c>
      <c r="F127" s="108" t="str">
        <f>IF(LEFT(D127,4)*1&gt;LEFT('General inputs'!$I$16,4)+'General inputs'!$H$38-1,"",E127/(1+'General inputs'!$H$30)^C127)</f>
        <v/>
      </c>
      <c r="G127" s="108" t="str">
        <f>IF(LEFT(D127,4)*1&gt;LEFT('General inputs'!$I$16,4)+'General inputs'!$H$38-1,"",E127/(1+'General inputs'!$H$32)^C127)</f>
        <v/>
      </c>
      <c r="H127" s="108" t="str">
        <f>IF(LEFT(D127,4)*1&lt;LEFT('General inputs'!$I$16,4)*1,"",IF(LEFT(D127,4)*1&gt;LEFT('General inputs'!$I$16,4)+'General inputs'!$H$38-1,"",E127/(1+'General inputs'!$H$34)^C127))</f>
        <v/>
      </c>
      <c r="I127" s="86"/>
      <c r="J127" s="135"/>
      <c r="K127" s="135"/>
      <c r="L127" s="108" t="str">
        <f>IF(LEFT(D127,4)*1&gt;LEFT('General inputs'!$I$18,4)*1,"",SUMIF('Post-1996 commissioned assets'!$F$22:$F$218,$D127,'Post-1996 commissioned assets'!$P$22:$P$218))</f>
        <v/>
      </c>
      <c r="M127" s="108" t="str">
        <f>IF(L127="","",L127/(1+'General inputs'!$H$32)^C127)</f>
        <v/>
      </c>
      <c r="N127" s="108">
        <f>IF(LEFT(D127,4)*1&lt;LEFT('General inputs'!$I$18,4)*1+1,"",SUMIF('Uncommissioned assets'!$F$22:$F$218,$D127,'Uncommissioned assets'!$P$22:$P$218))</f>
        <v>0</v>
      </c>
      <c r="O127" s="108">
        <f>IF(N127="","",N127/(1+'General inputs'!$H$32)^C127)</f>
        <v>0</v>
      </c>
      <c r="P127" s="86"/>
      <c r="Q127" s="115"/>
      <c r="R127" s="108" t="str">
        <f>IF(OR(LEFT(D127,4)*1&lt;LEFT('General inputs'!$I$16,4)*1,LEFT(D127,4)*1&gt;LEFT('General inputs'!$I$16,4)+'General inputs'!$H$38-1),"",Q127/(1+'General inputs'!$H$34)^C127)</f>
        <v/>
      </c>
      <c r="S127" s="86"/>
      <c r="T127" s="115"/>
      <c r="U127" s="108" t="str">
        <f>IF(OR(LEFT(D127,4)*1&lt;LEFT('General inputs'!$I$16,4)*1,LEFT(D127,4)*1&gt;LEFT('General inputs'!$I$16,4)+'General inputs'!$H$38-1),"",T127/(1+'General inputs'!$H$34)^C127)</f>
        <v/>
      </c>
      <c r="V127" s="88"/>
      <c r="W127" s="87"/>
    </row>
    <row r="128" spans="2:23" x14ac:dyDescent="0.25">
      <c r="B128" s="60"/>
      <c r="C128" s="106">
        <f>IF(D128='General inputs'!$I$16,0,IF(D128&lt;'General inputs'!$I$16,C129-1,C127+1))</f>
        <v>66</v>
      </c>
      <c r="D128" s="106" t="str">
        <f t="shared" si="4"/>
        <v>2084-85</v>
      </c>
      <c r="E128" s="108" t="str">
        <f>IF(LEFT(D128,4)*1&gt;LEFT('General inputs'!$I$16,4)+'General inputs'!$H$38-1,"",'ET inputs'!D101)</f>
        <v/>
      </c>
      <c r="F128" s="108" t="str">
        <f>IF(LEFT(D128,4)*1&gt;LEFT('General inputs'!$I$16,4)+'General inputs'!$H$38-1,"",E128/(1+'General inputs'!$H$30)^C128)</f>
        <v/>
      </c>
      <c r="G128" s="108" t="str">
        <f>IF(LEFT(D128,4)*1&gt;LEFT('General inputs'!$I$16,4)+'General inputs'!$H$38-1,"",E128/(1+'General inputs'!$H$32)^C128)</f>
        <v/>
      </c>
      <c r="H128" s="108" t="str">
        <f>IF(LEFT(D128,4)*1&lt;LEFT('General inputs'!$I$16,4)*1,"",IF(LEFT(D128,4)*1&gt;LEFT('General inputs'!$I$16,4)+'General inputs'!$H$38-1,"",E128/(1+'General inputs'!$H$34)^C128))</f>
        <v/>
      </c>
      <c r="I128" s="86"/>
      <c r="J128" s="135"/>
      <c r="K128" s="135"/>
      <c r="L128" s="108" t="str">
        <f>IF(LEFT(D128,4)*1&gt;LEFT('General inputs'!$I$18,4)*1,"",SUMIF('Post-1996 commissioned assets'!$F$22:$F$218,$D128,'Post-1996 commissioned assets'!$P$22:$P$218))</f>
        <v/>
      </c>
      <c r="M128" s="108" t="str">
        <f>IF(L128="","",L128/(1+'General inputs'!$H$32)^C128)</f>
        <v/>
      </c>
      <c r="N128" s="108">
        <f>IF(LEFT(D128,4)*1&lt;LEFT('General inputs'!$I$18,4)*1+1,"",SUMIF('Uncommissioned assets'!$F$22:$F$218,$D128,'Uncommissioned assets'!$P$22:$P$218))</f>
        <v>0</v>
      </c>
      <c r="O128" s="108">
        <f>IF(N128="","",N128/(1+'General inputs'!$H$32)^C128)</f>
        <v>0</v>
      </c>
      <c r="P128" s="86"/>
      <c r="Q128" s="115"/>
      <c r="R128" s="108" t="str">
        <f>IF(OR(LEFT(D128,4)*1&lt;LEFT('General inputs'!$I$16,4)*1,LEFT(D128,4)*1&gt;LEFT('General inputs'!$I$16,4)+'General inputs'!$H$38-1),"",Q128/(1+'General inputs'!$H$34)^C128)</f>
        <v/>
      </c>
      <c r="S128" s="86"/>
      <c r="T128" s="115"/>
      <c r="U128" s="108" t="str">
        <f>IF(OR(LEFT(D128,4)*1&lt;LEFT('General inputs'!$I$16,4)*1,LEFT(D128,4)*1&gt;LEFT('General inputs'!$I$16,4)+'General inputs'!$H$38-1),"",T128/(1+'General inputs'!$H$34)^C128)</f>
        <v/>
      </c>
      <c r="V128" s="88"/>
      <c r="W128" s="87"/>
    </row>
    <row r="129" spans="2:23" x14ac:dyDescent="0.25">
      <c r="B129" s="60"/>
      <c r="C129" s="106">
        <f>IF(D129='General inputs'!$I$16,0,IF(D129&lt;'General inputs'!$I$16,C130-1,C128+1))</f>
        <v>67</v>
      </c>
      <c r="D129" s="106" t="str">
        <f t="shared" si="4"/>
        <v>2085-86</v>
      </c>
      <c r="E129" s="108" t="str">
        <f>IF(LEFT(D129,4)*1&gt;LEFT('General inputs'!$I$16,4)+'General inputs'!$H$38-1,"",'ET inputs'!D102)</f>
        <v/>
      </c>
      <c r="F129" s="108" t="str">
        <f>IF(LEFT(D129,4)*1&gt;LEFT('General inputs'!$I$16,4)+'General inputs'!$H$38-1,"",E129/(1+'General inputs'!$H$30)^C129)</f>
        <v/>
      </c>
      <c r="G129" s="108" t="str">
        <f>IF(LEFT(D129,4)*1&gt;LEFT('General inputs'!$I$16,4)+'General inputs'!$H$38-1,"",E129/(1+'General inputs'!$H$32)^C129)</f>
        <v/>
      </c>
      <c r="H129" s="108" t="str">
        <f>IF(LEFT(D129,4)*1&lt;LEFT('General inputs'!$I$16,4)*1,"",IF(LEFT(D129,4)*1&gt;LEFT('General inputs'!$I$16,4)+'General inputs'!$H$38-1,"",E129/(1+'General inputs'!$H$34)^C129))</f>
        <v/>
      </c>
      <c r="I129" s="86"/>
      <c r="J129" s="135"/>
      <c r="K129" s="135"/>
      <c r="L129" s="108" t="str">
        <f>IF(LEFT(D129,4)*1&gt;LEFT('General inputs'!$I$18,4)*1,"",SUMIF('Post-1996 commissioned assets'!$F$22:$F$218,$D129,'Post-1996 commissioned assets'!$P$22:$P$218))</f>
        <v/>
      </c>
      <c r="M129" s="108" t="str">
        <f>IF(L129="","",L129/(1+'General inputs'!$H$32)^C129)</f>
        <v/>
      </c>
      <c r="N129" s="108">
        <f>IF(LEFT(D129,4)*1&lt;LEFT('General inputs'!$I$18,4)*1+1,"",SUMIF('Uncommissioned assets'!$F$22:$F$218,$D129,'Uncommissioned assets'!$P$22:$P$218))</f>
        <v>0</v>
      </c>
      <c r="O129" s="108">
        <f>IF(N129="","",N129/(1+'General inputs'!$H$32)^C129)</f>
        <v>0</v>
      </c>
      <c r="P129" s="86"/>
      <c r="Q129" s="115"/>
      <c r="R129" s="108" t="str">
        <f>IF(OR(LEFT(D129,4)*1&lt;LEFT('General inputs'!$I$16,4)*1,LEFT(D129,4)*1&gt;LEFT('General inputs'!$I$16,4)+'General inputs'!$H$38-1),"",Q129/(1+'General inputs'!$H$34)^C129)</f>
        <v/>
      </c>
      <c r="S129" s="86"/>
      <c r="T129" s="115"/>
      <c r="U129" s="108" t="str">
        <f>IF(OR(LEFT(D129,4)*1&lt;LEFT('General inputs'!$I$16,4)*1,LEFT(D129,4)*1&gt;LEFT('General inputs'!$I$16,4)+'General inputs'!$H$38-1),"",T129/(1+'General inputs'!$H$34)^C129)</f>
        <v/>
      </c>
      <c r="V129" s="88"/>
      <c r="W129" s="87"/>
    </row>
    <row r="130" spans="2:23" x14ac:dyDescent="0.25">
      <c r="B130" s="62"/>
      <c r="C130" s="46"/>
      <c r="D130" s="46"/>
      <c r="E130" s="46"/>
      <c r="F130" s="46"/>
      <c r="G130" s="46"/>
      <c r="H130" s="46"/>
      <c r="I130" s="46"/>
      <c r="J130" s="46"/>
      <c r="K130" s="46"/>
      <c r="L130" s="46"/>
      <c r="M130" s="46"/>
      <c r="N130" s="46"/>
      <c r="O130" s="46"/>
      <c r="P130" s="46"/>
      <c r="Q130" s="46"/>
      <c r="R130" s="46"/>
      <c r="S130" s="46"/>
      <c r="T130" s="46"/>
      <c r="U130" s="46"/>
      <c r="V130" s="63"/>
    </row>
  </sheetData>
  <conditionalFormatting sqref="Q36">
    <cfRule type="containsText" dxfId="14" priority="5" operator="containsText" text="data">
      <formula>NOT(ISERROR(SEARCH("data",Q36)))</formula>
    </cfRule>
  </conditionalFormatting>
  <conditionalFormatting sqref="T36">
    <cfRule type="containsText" dxfId="13" priority="3" operator="containsText" text="data">
      <formula>NOT(ISERROR(SEARCH("data",T36)))</formula>
    </cfRule>
  </conditionalFormatting>
  <pageMargins left="0.7" right="0.7" top="0.75" bottom="0.75" header="0.3" footer="0.3"/>
  <pageSetup paperSize="9" orientation="portrait" horizontalDpi="200" verticalDpi="200" r:id="rId1"/>
  <legacyDrawing r:id="rId2"/>
  <extLst>
    <ext xmlns:x14="http://schemas.microsoft.com/office/spreadsheetml/2009/9/main" uri="{78C0D931-6437-407d-A8EE-F0AAD7539E65}">
      <x14:conditionalFormattings>
        <x14:conditionalFormatting xmlns:xm="http://schemas.microsoft.com/office/excel/2006/main">
          <x14:cfRule type="expression" priority="10" id="{6B0067C0-C24B-4659-92FC-9A9120D63099}">
            <xm:f>LEFT($D39,4)*1&gt;LEFT('General inputs'!$I$18,4)*1</xm:f>
            <x14:dxf>
              <fill>
                <patternFill>
                  <bgColor rgb="FFDDDDDD"/>
                </patternFill>
              </fill>
            </x14:dxf>
          </x14:cfRule>
          <xm:sqref>L39:M129</xm:sqref>
        </x14:conditionalFormatting>
        <x14:conditionalFormatting xmlns:xm="http://schemas.microsoft.com/office/excel/2006/main">
          <x14:cfRule type="expression" priority="47" id="{F2539AB7-12EB-495F-868F-335C45BD094E}">
            <xm:f>LEFT($D39,4)*1&gt;LEFT('General inputs'!$I$16,4)*1+'General inputs'!$H$38-1</xm:f>
            <x14:dxf>
              <fill>
                <patternFill>
                  <bgColor rgb="FFDDDDDD"/>
                </patternFill>
              </fill>
            </x14:dxf>
          </x14:cfRule>
          <xm:sqref>E39:G129</xm:sqref>
        </x14:conditionalFormatting>
        <x14:conditionalFormatting xmlns:xm="http://schemas.microsoft.com/office/excel/2006/main">
          <x14:cfRule type="expression" priority="48" id="{C0A81E9A-9D86-4B88-9785-A24519DF4322}">
            <xm:f>LEFT($D39,4)*1&lt;=LEFT('General inputs'!$I$18,4)*1</xm:f>
            <x14:dxf>
              <fill>
                <patternFill>
                  <bgColor rgb="FFDDDDDD"/>
                </patternFill>
              </fill>
            </x14:dxf>
          </x14:cfRule>
          <xm:sqref>N39:O129</xm:sqref>
        </x14:conditionalFormatting>
        <x14:conditionalFormatting xmlns:xm="http://schemas.microsoft.com/office/excel/2006/main">
          <x14:cfRule type="expression" priority="49" id="{4007EED2-5127-4B0E-9224-74B73C828219}">
            <xm:f>OR(LEFT($D39,4)*1&lt;LEFT('General inputs'!$I$16,4)*1,LEFT($D39,4)*1&gt;LEFT('General inputs'!$I$16,4)*1+'General inputs'!$H$38-1)</xm:f>
            <x14:dxf>
              <fill>
                <patternFill>
                  <bgColor rgb="FFDDDDDD"/>
                </patternFill>
              </fill>
            </x14:dxf>
          </x14:cfRule>
          <xm:sqref>T39:U129 Q39:R129</xm:sqref>
        </x14:conditionalFormatting>
        <x14:conditionalFormatting xmlns:xm="http://schemas.microsoft.com/office/excel/2006/main">
          <x14:cfRule type="expression" priority="1" id="{04D9EEEA-FFC6-446F-9FA3-330D8E657997}">
            <xm:f>OR(LEFT($D39,4)*1&lt;LEFT('General inputs'!$I$16,4)*1,LEFT($D39,4)*1&gt;LEFT('General inputs'!$I$16,4)*1+'General inputs'!$H$38-1)</xm:f>
            <x14:dxf>
              <fill>
                <patternFill>
                  <bgColor rgb="FFDDDDDD"/>
                </patternFill>
              </fill>
            </x14:dxf>
          </x14:cfRule>
          <xm:sqref>H39:H129</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tabColor theme="7" tint="0.79998168889431442"/>
  </sheetPr>
  <dimension ref="C3:M50"/>
  <sheetViews>
    <sheetView showGridLines="0" zoomScaleNormal="100" workbookViewId="0"/>
  </sheetViews>
  <sheetFormatPr defaultRowHeight="11.5" x14ac:dyDescent="0.25"/>
  <cols>
    <col min="1" max="3" width="2.69921875" customWidth="1"/>
    <col min="4" max="6" width="15.69921875" customWidth="1"/>
    <col min="7" max="7" width="18.8984375" customWidth="1"/>
    <col min="8" max="14" width="15.69921875" customWidth="1"/>
  </cols>
  <sheetData>
    <row r="3" spans="3:13" ht="20" x14ac:dyDescent="0.4">
      <c r="C3" s="64" t="s">
        <v>58</v>
      </c>
    </row>
    <row r="5" spans="3:13" ht="15.5" x14ac:dyDescent="0.35">
      <c r="C5" s="3" t="s">
        <v>125</v>
      </c>
      <c r="H5" s="228" t="s">
        <v>130</v>
      </c>
      <c r="I5" s="229"/>
      <c r="L5" s="50" t="str">
        <f>"Do not delete - data validation for option at "&amp;ADDRESS(ROW(H5),COLUMN(H5))</f>
        <v>Do not delete - data validation for option at $H$5</v>
      </c>
    </row>
    <row r="6" spans="3:13" x14ac:dyDescent="0.25">
      <c r="L6" t="s">
        <v>126</v>
      </c>
      <c r="M6" t="s">
        <v>127</v>
      </c>
    </row>
    <row r="7" spans="3:13" ht="15.5" x14ac:dyDescent="0.35">
      <c r="C7" s="3" t="s">
        <v>76</v>
      </c>
      <c r="H7" s="228" t="s">
        <v>271</v>
      </c>
      <c r="I7" s="229"/>
      <c r="L7" s="47" t="s">
        <v>128</v>
      </c>
      <c r="M7" s="157">
        <v>0</v>
      </c>
    </row>
    <row r="8" spans="3:13" x14ac:dyDescent="0.25">
      <c r="L8" s="48" t="s">
        <v>129</v>
      </c>
      <c r="M8" s="158">
        <v>0.03</v>
      </c>
    </row>
    <row r="9" spans="3:13" ht="15.5" x14ac:dyDescent="0.35">
      <c r="C9" s="3" t="s">
        <v>139</v>
      </c>
      <c r="H9" s="228" t="s">
        <v>140</v>
      </c>
      <c r="I9" s="229"/>
      <c r="L9" s="49" t="s">
        <v>130</v>
      </c>
      <c r="M9" s="159">
        <v>0.03</v>
      </c>
    </row>
    <row r="11" spans="3:13" ht="15.5" x14ac:dyDescent="0.35">
      <c r="C11" s="3" t="s">
        <v>138</v>
      </c>
      <c r="H11" s="228" t="s">
        <v>142</v>
      </c>
      <c r="I11" s="229"/>
    </row>
    <row r="12" spans="3:13" x14ac:dyDescent="0.25">
      <c r="L12" s="50" t="str">
        <f>"Do not delete - data validation for options at "&amp;ADDRESS(ROW(H11),COLUMN(H11))</f>
        <v>Do not delete - data validation for options at $H$11</v>
      </c>
    </row>
    <row r="13" spans="3:13" x14ac:dyDescent="0.25">
      <c r="L13" s="47" t="s">
        <v>141</v>
      </c>
    </row>
    <row r="14" spans="3:13" ht="15.5" x14ac:dyDescent="0.35">
      <c r="C14" s="3" t="s">
        <v>87</v>
      </c>
      <c r="I14" s="129" t="s">
        <v>41</v>
      </c>
      <c r="L14" s="48" t="s">
        <v>142</v>
      </c>
    </row>
    <row r="15" spans="3:13" x14ac:dyDescent="0.25">
      <c r="L15" s="49" t="s">
        <v>143</v>
      </c>
    </row>
    <row r="16" spans="3:13" x14ac:dyDescent="0.25">
      <c r="D16" s="50" t="s">
        <v>222</v>
      </c>
      <c r="I16" s="55" t="s">
        <v>15</v>
      </c>
    </row>
    <row r="17" spans="3:12" x14ac:dyDescent="0.25">
      <c r="D17" s="50"/>
    </row>
    <row r="18" spans="3:12" x14ac:dyDescent="0.25">
      <c r="D18" s="50" t="s">
        <v>54</v>
      </c>
      <c r="H18" s="214">
        <v>43281</v>
      </c>
      <c r="I18" s="73" t="str">
        <f>IF(MONTH(H18)&gt;=7,YEAR(H18)&amp;"-"&amp;RIGHT(YEAR(H18),2)+1,RIGHT(YEAR(H18),4)-1&amp;"-"&amp;RIGHT(YEAR(H18),2))</f>
        <v>2017-18</v>
      </c>
      <c r="L18" s="50" t="str">
        <f>"Do not delete - data validation for options at "&amp;ADDRESS(ROW(I16),COLUMN(I16))&amp;" and "&amp;ADDRESS(ROW(I40),COLUMN(I40))</f>
        <v>Do not delete - data validation for options at $I$16 and $I$40</v>
      </c>
    </row>
    <row r="19" spans="3:12" x14ac:dyDescent="0.25">
      <c r="L19" s="196" t="s">
        <v>15</v>
      </c>
    </row>
    <row r="20" spans="3:12" x14ac:dyDescent="0.25">
      <c r="L20" s="48" t="s">
        <v>100</v>
      </c>
    </row>
    <row r="21" spans="3:12" x14ac:dyDescent="0.25">
      <c r="D21" s="50" t="s">
        <v>40</v>
      </c>
      <c r="L21" s="48" t="s">
        <v>43</v>
      </c>
    </row>
    <row r="22" spans="3:12" x14ac:dyDescent="0.25">
      <c r="L22" s="48" t="s">
        <v>44</v>
      </c>
    </row>
    <row r="23" spans="3:12" x14ac:dyDescent="0.25">
      <c r="D23" s="71" t="s">
        <v>56</v>
      </c>
      <c r="H23" s="72">
        <v>25569</v>
      </c>
      <c r="L23" s="48" t="s">
        <v>45</v>
      </c>
    </row>
    <row r="24" spans="3:12" x14ac:dyDescent="0.25">
      <c r="D24" s="71" t="s">
        <v>57</v>
      </c>
      <c r="H24" s="72">
        <v>35064</v>
      </c>
      <c r="L24" s="48" t="s">
        <v>46</v>
      </c>
    </row>
    <row r="25" spans="3:12" x14ac:dyDescent="0.25">
      <c r="L25" s="48" t="s">
        <v>47</v>
      </c>
    </row>
    <row r="26" spans="3:12" x14ac:dyDescent="0.25">
      <c r="L26" s="48" t="s">
        <v>48</v>
      </c>
    </row>
    <row r="27" spans="3:12" x14ac:dyDescent="0.25">
      <c r="L27" s="48" t="s">
        <v>49</v>
      </c>
    </row>
    <row r="28" spans="3:12" ht="15.5" x14ac:dyDescent="0.35">
      <c r="C28" s="3" t="s">
        <v>86</v>
      </c>
      <c r="L28" s="48" t="s">
        <v>50</v>
      </c>
    </row>
    <row r="29" spans="3:12" x14ac:dyDescent="0.25">
      <c r="L29" s="48" t="s">
        <v>51</v>
      </c>
    </row>
    <row r="30" spans="3:12" x14ac:dyDescent="0.25">
      <c r="D30" s="50" t="s">
        <v>112</v>
      </c>
      <c r="H30" s="74">
        <f>INDEX($M$7:$M$12,MATCH($H$5,$L$7:$L$12))</f>
        <v>0.03</v>
      </c>
      <c r="L30" s="48" t="s">
        <v>52</v>
      </c>
    </row>
    <row r="31" spans="3:12" ht="12" customHeight="1" x14ac:dyDescent="0.35">
      <c r="C31" s="3"/>
      <c r="D31" s="50"/>
      <c r="H31" s="40"/>
      <c r="L31" s="49" t="s">
        <v>53</v>
      </c>
    </row>
    <row r="32" spans="3:12" ht="12" customHeight="1" x14ac:dyDescent="0.35">
      <c r="C32" s="3"/>
      <c r="D32" s="6" t="s">
        <v>113</v>
      </c>
      <c r="H32" s="198">
        <v>0.05</v>
      </c>
    </row>
    <row r="33" spans="3:12" ht="12" customHeight="1" x14ac:dyDescent="0.25">
      <c r="D33" s="50"/>
      <c r="H33" s="40"/>
    </row>
    <row r="34" spans="3:12" ht="12" customHeight="1" x14ac:dyDescent="0.25">
      <c r="D34" s="6" t="s">
        <v>93</v>
      </c>
      <c r="H34" s="198">
        <v>0.05</v>
      </c>
    </row>
    <row r="35" spans="3:12" ht="12" customHeight="1" x14ac:dyDescent="0.35">
      <c r="C35" s="3"/>
    </row>
    <row r="36" spans="3:12" ht="12" customHeight="1" x14ac:dyDescent="0.35">
      <c r="C36" s="3"/>
      <c r="D36" s="50" t="s">
        <v>114</v>
      </c>
      <c r="H36" s="69">
        <v>200</v>
      </c>
      <c r="L36" s="50" t="str">
        <f>"Do not delete - data validation for option at "&amp;ADDRESS(ROW(H42),COLUMN(H42))</f>
        <v>Do not delete - data validation for option at $H$42</v>
      </c>
    </row>
    <row r="37" spans="3:12" ht="12" customHeight="1" x14ac:dyDescent="0.35">
      <c r="C37" s="3"/>
      <c r="L37" s="47" t="s">
        <v>28</v>
      </c>
    </row>
    <row r="38" spans="3:12" ht="12" customHeight="1" x14ac:dyDescent="0.35">
      <c r="C38" s="3"/>
      <c r="D38" s="50" t="s">
        <v>24</v>
      </c>
      <c r="H38" s="75">
        <v>30</v>
      </c>
      <c r="L38" s="48" t="s">
        <v>29</v>
      </c>
    </row>
    <row r="39" spans="3:12" ht="12" customHeight="1" x14ac:dyDescent="0.35">
      <c r="C39" s="3"/>
      <c r="L39" s="49" t="s">
        <v>30</v>
      </c>
    </row>
    <row r="40" spans="3:12" ht="12" customHeight="1" x14ac:dyDescent="0.25">
      <c r="D40" s="50" t="s">
        <v>42</v>
      </c>
      <c r="I40" s="55" t="s">
        <v>15</v>
      </c>
    </row>
    <row r="42" spans="3:12" x14ac:dyDescent="0.25">
      <c r="D42" s="50" t="s">
        <v>27</v>
      </c>
      <c r="H42" s="197" t="s">
        <v>28</v>
      </c>
    </row>
    <row r="43" spans="3:12" x14ac:dyDescent="0.25">
      <c r="D43" s="50"/>
    </row>
    <row r="47" spans="3:12" ht="15.5" x14ac:dyDescent="0.35">
      <c r="C47" s="3"/>
    </row>
    <row r="49" spans="6:6" x14ac:dyDescent="0.25">
      <c r="F49" s="38"/>
    </row>
    <row r="50" spans="6:6" x14ac:dyDescent="0.25">
      <c r="F50" s="38"/>
    </row>
  </sheetData>
  <mergeCells count="4">
    <mergeCell ref="H5:I5"/>
    <mergeCell ref="H7:I7"/>
    <mergeCell ref="H9:I9"/>
    <mergeCell ref="H11:I11"/>
  </mergeCells>
  <dataValidations count="4">
    <dataValidation type="list" allowBlank="1" showInputMessage="1" showErrorMessage="1" sqref="I40 I16" xr:uid="{00000000-0002-0000-0400-000000000000}">
      <formula1>$L$19:$L$31</formula1>
    </dataValidation>
    <dataValidation type="list" allowBlank="1" showInputMessage="1" showErrorMessage="1" sqref="H42" xr:uid="{00000000-0002-0000-0400-000001000000}">
      <formula1>$L$37:$L$39</formula1>
    </dataValidation>
    <dataValidation type="list" allowBlank="1" showInputMessage="1" showErrorMessage="1" sqref="H11" xr:uid="{00000000-0002-0000-0400-000002000000}">
      <formula1>$L$13:$L$15</formula1>
    </dataValidation>
    <dataValidation type="list" allowBlank="1" showInputMessage="1" showErrorMessage="1" sqref="H5:I5" xr:uid="{00000000-0002-0000-0400-000003000000}">
      <formula1>$L$7:$L$9</formula1>
    </dataValidation>
  </dataValidations>
  <pageMargins left="0.7" right="0.7" top="0.75" bottom="0.75" header="0.3" footer="0.3"/>
  <pageSetup paperSize="9" orientation="portrait" horizontalDpi="200" verticalDpi="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tint="0.79998168889431442"/>
  </sheetPr>
  <dimension ref="C1:R219"/>
  <sheetViews>
    <sheetView showGridLines="0" zoomScaleNormal="100" workbookViewId="0">
      <pane ySplit="21" topLeftCell="A22" activePane="bottomLeft" state="frozen"/>
      <selection activeCell="A22" sqref="A22"/>
      <selection pane="bottomLeft" activeCell="A22" sqref="A22"/>
    </sheetView>
  </sheetViews>
  <sheetFormatPr defaultColWidth="28" defaultRowHeight="11.5" x14ac:dyDescent="0.25"/>
  <cols>
    <col min="1" max="2" width="2.69921875" customWidth="1"/>
    <col min="3" max="3" width="15.69921875" customWidth="1"/>
    <col min="4" max="4" width="49.69921875" customWidth="1"/>
    <col min="5" max="5" width="15.69921875" customWidth="1"/>
    <col min="6" max="6" width="25.8984375" customWidth="1"/>
    <col min="7" max="7" width="2.69921875" customWidth="1"/>
    <col min="8" max="10" width="15.69921875" customWidth="1"/>
    <col min="11" max="11" width="2.69921875" customWidth="1"/>
    <col min="12" max="13" width="15.69921875" customWidth="1"/>
    <col min="14" max="14" width="18" customWidth="1"/>
    <col min="15" max="16" width="15.69921875" customWidth="1"/>
  </cols>
  <sheetData>
    <row r="1" spans="3:18" x14ac:dyDescent="0.25">
      <c r="E1" s="38"/>
    </row>
    <row r="2" spans="3:18" x14ac:dyDescent="0.25">
      <c r="E2" s="38"/>
    </row>
    <row r="3" spans="3:18" ht="20" x14ac:dyDescent="0.4">
      <c r="C3" s="64" t="s">
        <v>204</v>
      </c>
    </row>
    <row r="6" spans="3:18" x14ac:dyDescent="0.25">
      <c r="C6" s="131"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c r="D6" s="87"/>
      <c r="E6" s="87"/>
      <c r="F6" s="87"/>
      <c r="G6" s="87"/>
      <c r="H6" s="87"/>
      <c r="I6" s="87"/>
      <c r="J6" s="87"/>
      <c r="K6" s="87"/>
      <c r="L6" s="87"/>
      <c r="M6" s="87"/>
      <c r="N6" s="87"/>
      <c r="O6" s="87"/>
      <c r="P6" s="87"/>
      <c r="Q6" s="87"/>
      <c r="R6" s="87"/>
    </row>
    <row r="7" spans="3:18" x14ac:dyDescent="0.25">
      <c r="C7" s="187" t="str">
        <f ca="1">"Hyperlink to the '"&amp;MID(CELL("filename",'Asset exclusions'!A1),FIND("]",CELL("filename",'Asset exclusions'!A1))+1,255)&amp;"' worksheet:"</f>
        <v>Hyperlink to the 'Asset exclusions' worksheet:</v>
      </c>
      <c r="E7" s="188" t="s">
        <v>190</v>
      </c>
      <c r="F7" s="87"/>
      <c r="G7" s="87"/>
      <c r="H7" s="87"/>
      <c r="I7" s="87"/>
      <c r="J7" s="87"/>
      <c r="K7" s="87"/>
      <c r="L7" s="87"/>
      <c r="M7" s="87"/>
      <c r="N7" s="87"/>
      <c r="O7" s="87"/>
      <c r="P7" s="87"/>
      <c r="Q7" s="87"/>
      <c r="R7" s="87"/>
    </row>
    <row r="8" spans="3:18" x14ac:dyDescent="0.25">
      <c r="C8" s="187"/>
      <c r="E8" s="188"/>
      <c r="F8" s="87"/>
      <c r="G8" s="87"/>
      <c r="H8" s="87"/>
      <c r="I8" s="87"/>
      <c r="J8" s="87"/>
      <c r="K8" s="87"/>
      <c r="L8" s="87"/>
      <c r="M8" s="87"/>
      <c r="N8" s="87"/>
      <c r="O8" s="87"/>
      <c r="P8" s="87"/>
      <c r="Q8" s="87"/>
      <c r="R8" s="87"/>
    </row>
    <row r="9" spans="3:18" x14ac:dyDescent="0.25">
      <c r="C9" s="187" t="s">
        <v>245</v>
      </c>
      <c r="E9" s="188"/>
      <c r="F9" s="87"/>
      <c r="G9" s="87"/>
      <c r="H9" s="87"/>
      <c r="I9" s="87"/>
      <c r="J9" s="87"/>
      <c r="K9" s="87"/>
      <c r="L9" s="87"/>
      <c r="M9" s="87"/>
      <c r="N9" s="87"/>
      <c r="O9" s="87"/>
      <c r="P9" s="87"/>
      <c r="Q9" s="87"/>
      <c r="R9" s="87"/>
    </row>
    <row r="10" spans="3:18" x14ac:dyDescent="0.25">
      <c r="C10" s="187" t="s">
        <v>248</v>
      </c>
      <c r="E10" s="188"/>
      <c r="F10" s="87"/>
      <c r="G10" s="87"/>
      <c r="H10" s="87"/>
      <c r="I10" s="87"/>
      <c r="J10" s="87"/>
      <c r="K10" s="87"/>
      <c r="L10" s="87"/>
      <c r="M10" s="87"/>
      <c r="N10" s="87"/>
      <c r="O10" s="87"/>
      <c r="P10" s="87"/>
      <c r="Q10" s="87"/>
      <c r="R10" s="87"/>
    </row>
    <row r="11" spans="3:18" x14ac:dyDescent="0.25">
      <c r="C11" s="187" t="s">
        <v>247</v>
      </c>
      <c r="E11" s="188"/>
      <c r="F11" s="87"/>
      <c r="G11" s="87"/>
      <c r="H11" s="87"/>
      <c r="I11" s="87"/>
      <c r="J11" s="87"/>
      <c r="K11" s="87"/>
      <c r="L11" s="87"/>
      <c r="M11" s="87"/>
      <c r="N11" s="87"/>
      <c r="O11" s="87"/>
      <c r="P11" s="87"/>
      <c r="Q11" s="87"/>
      <c r="R11" s="87"/>
    </row>
    <row r="12" spans="3:18" x14ac:dyDescent="0.25">
      <c r="C12" s="187" t="s">
        <v>246</v>
      </c>
      <c r="E12" s="188"/>
      <c r="F12" s="87"/>
      <c r="G12" s="87"/>
      <c r="H12" s="87"/>
      <c r="I12" s="87"/>
      <c r="J12" s="87"/>
      <c r="K12" s="87"/>
      <c r="L12" s="87"/>
      <c r="M12" s="87"/>
      <c r="N12" s="87"/>
      <c r="O12" s="87"/>
      <c r="P12" s="87"/>
      <c r="Q12" s="87"/>
      <c r="R12" s="87"/>
    </row>
    <row r="13" spans="3:18" x14ac:dyDescent="0.25">
      <c r="C13" s="87"/>
      <c r="D13" s="87"/>
      <c r="E13" s="87"/>
      <c r="F13" s="87"/>
      <c r="G13" s="87"/>
      <c r="H13" s="116"/>
      <c r="I13" s="87"/>
      <c r="J13" s="87"/>
      <c r="K13" s="87"/>
      <c r="L13" s="87"/>
      <c r="M13" s="87"/>
      <c r="N13" s="87"/>
      <c r="O13" s="87"/>
      <c r="P13" s="87"/>
      <c r="Q13" s="87"/>
      <c r="R13" s="87"/>
    </row>
    <row r="14" spans="3:18" x14ac:dyDescent="0.25">
      <c r="C14" s="117" t="s">
        <v>55</v>
      </c>
      <c r="D14" s="87"/>
      <c r="E14" s="87"/>
      <c r="F14" s="87"/>
      <c r="G14" s="87"/>
      <c r="H14" s="116"/>
      <c r="I14" s="87"/>
      <c r="J14" s="87"/>
      <c r="K14" s="87"/>
      <c r="L14" s="87"/>
      <c r="M14" s="87"/>
      <c r="N14" s="87"/>
      <c r="O14" s="87"/>
      <c r="P14" s="87"/>
      <c r="Q14" s="87"/>
      <c r="R14" s="87"/>
    </row>
    <row r="15" spans="3:18" x14ac:dyDescent="0.25">
      <c r="C15" s="118" t="s">
        <v>59</v>
      </c>
      <c r="D15" s="87"/>
      <c r="E15" s="119">
        <f>'General inputs'!$H$23</f>
        <v>25569</v>
      </c>
      <c r="F15" s="87"/>
      <c r="G15" s="87"/>
      <c r="H15" s="116"/>
      <c r="I15" s="87"/>
      <c r="J15" s="87"/>
      <c r="K15" s="87"/>
      <c r="L15" s="87"/>
      <c r="M15" s="87"/>
      <c r="N15" s="87"/>
      <c r="O15" s="87"/>
      <c r="P15" s="87"/>
      <c r="Q15" s="87"/>
      <c r="R15" s="87"/>
    </row>
    <row r="16" spans="3:18" x14ac:dyDescent="0.25">
      <c r="C16" s="118" t="s">
        <v>60</v>
      </c>
      <c r="D16" s="87"/>
      <c r="E16" s="120">
        <f>'General inputs'!$H$24</f>
        <v>35064</v>
      </c>
      <c r="F16" s="87"/>
      <c r="G16" s="87"/>
      <c r="H16" s="116"/>
      <c r="I16" s="87"/>
      <c r="J16" s="87"/>
      <c r="K16" s="87"/>
      <c r="L16" s="87"/>
      <c r="M16" s="87"/>
      <c r="N16" s="87"/>
      <c r="O16" s="87"/>
      <c r="P16" s="87"/>
      <c r="Q16" s="87"/>
      <c r="R16" s="87"/>
    </row>
    <row r="17" spans="3:18" x14ac:dyDescent="0.25">
      <c r="C17" s="87"/>
      <c r="D17" s="87"/>
      <c r="E17" s="87"/>
      <c r="F17" s="87"/>
      <c r="G17" s="87"/>
      <c r="H17" s="87"/>
      <c r="I17" s="87"/>
      <c r="J17" s="87"/>
      <c r="K17" s="87"/>
      <c r="L17" s="87"/>
      <c r="M17" s="87"/>
      <c r="N17" s="87"/>
      <c r="O17" s="87"/>
      <c r="P17" s="87"/>
      <c r="Q17" s="87"/>
      <c r="R17" s="87"/>
    </row>
    <row r="18" spans="3:18" ht="15.5" x14ac:dyDescent="0.35">
      <c r="C18" s="207" t="s">
        <v>210</v>
      </c>
      <c r="E18" s="87"/>
      <c r="F18" s="87"/>
      <c r="G18" s="87"/>
      <c r="H18" s="87"/>
      <c r="I18" s="87"/>
      <c r="J18" s="87"/>
      <c r="K18" s="87"/>
      <c r="L18" s="87"/>
      <c r="M18" s="87"/>
      <c r="N18" s="87"/>
      <c r="P18" s="87"/>
      <c r="Q18" s="87"/>
      <c r="R18" s="87"/>
    </row>
    <row r="19" spans="3:18" x14ac:dyDescent="0.25">
      <c r="C19" s="87"/>
      <c r="D19" s="87"/>
      <c r="E19" s="87"/>
      <c r="F19" s="87"/>
      <c r="G19" s="87"/>
      <c r="H19" s="87"/>
      <c r="I19" s="87"/>
      <c r="K19" s="87"/>
      <c r="L19" s="87"/>
      <c r="M19" s="87"/>
      <c r="N19" s="87"/>
      <c r="O19" s="87"/>
      <c r="P19" s="87"/>
      <c r="Q19" s="87"/>
      <c r="R19" s="87"/>
    </row>
    <row r="20" spans="3:18" x14ac:dyDescent="0.25">
      <c r="C20" s="117" t="s">
        <v>16</v>
      </c>
      <c r="D20" s="87"/>
      <c r="F20" s="87"/>
      <c r="G20" s="87"/>
      <c r="H20" s="117" t="s">
        <v>17</v>
      </c>
      <c r="I20" s="87"/>
      <c r="K20" s="87"/>
      <c r="L20" s="117" t="s">
        <v>18</v>
      </c>
      <c r="M20" s="117"/>
      <c r="P20" s="87"/>
      <c r="Q20" s="87"/>
      <c r="R20" s="87"/>
    </row>
    <row r="21" spans="3:18" ht="46" x14ac:dyDescent="0.25">
      <c r="C21" s="199" t="s">
        <v>13</v>
      </c>
      <c r="D21" s="35" t="s">
        <v>12</v>
      </c>
      <c r="E21" s="199" t="s">
        <v>14</v>
      </c>
      <c r="F21" s="35" t="s">
        <v>25</v>
      </c>
      <c r="G21" s="87"/>
      <c r="H21" s="199" t="s">
        <v>31</v>
      </c>
      <c r="I21" s="199" t="s">
        <v>91</v>
      </c>
      <c r="J21" s="199" t="s">
        <v>89</v>
      </c>
      <c r="K21" s="87"/>
      <c r="L21" s="199" t="s">
        <v>90</v>
      </c>
      <c r="M21" s="35" t="s">
        <v>116</v>
      </c>
      <c r="N21" s="199" t="str">
        <f>"MEERA value per unit/measure of length (B) 
("&amp;'General inputs'!$H$42&amp;" as at 1 July "&amp;LEFT('General inputs'!$I$40,4)&amp;")"</f>
        <v>MEERA value per unit/measure of length (B) 
($ as at 1 July 2018)</v>
      </c>
      <c r="O21" s="199" t="str">
        <f>"Total MEERA value (A x B)
("&amp;'General inputs'!$H$42&amp;", $"&amp;'General inputs'!$I$40&amp;")"</f>
        <v>Total MEERA value (A x B)
($, $2018-19)</v>
      </c>
      <c r="P21" s="35" t="str">
        <f>"MEERA value to be recovered via DSP ("&amp;'General inputs'!$H$42&amp;", $"&amp;'General inputs'!$I$40&amp;")"</f>
        <v>MEERA value to be recovered via DSP ($, $2018-19)</v>
      </c>
      <c r="Q21" s="87"/>
      <c r="R21" s="87"/>
    </row>
    <row r="22" spans="3:18" x14ac:dyDescent="0.25">
      <c r="C22" s="232">
        <v>123456</v>
      </c>
      <c r="D22" s="240" t="s">
        <v>273</v>
      </c>
      <c r="E22" s="235">
        <v>25569</v>
      </c>
      <c r="F22" s="241" t="str">
        <f>IF(E22="","-",IF(OR(E22&lt;$E$15,E22&gt;$E$16),"ERROR - date outside of range","Date check - OK"))</f>
        <v>Date check - OK</v>
      </c>
      <c r="G22" s="242"/>
      <c r="H22" s="243" t="s">
        <v>278</v>
      </c>
      <c r="I22" s="232">
        <v>1600000</v>
      </c>
      <c r="J22" s="244">
        <f>IFERROR(MIN('MP Calculations'!$E$29/I22,1),"-")</f>
        <v>8.3374999999999994E-3</v>
      </c>
      <c r="K22" s="245"/>
      <c r="L22" s="232">
        <v>1</v>
      </c>
      <c r="M22" s="246" t="s">
        <v>280</v>
      </c>
      <c r="N22" s="232">
        <v>200000000</v>
      </c>
      <c r="O22" s="247">
        <f>IF(N22="","-",L22*N22)</f>
        <v>200000000</v>
      </c>
      <c r="P22" s="248">
        <f>IF(O22="-","-",IF(OR(E22&lt;$E$15,E22&gt;$E$16),0,O22*J22))</f>
        <v>1667500</v>
      </c>
      <c r="Q22" s="87"/>
      <c r="R22" s="87"/>
    </row>
    <row r="23" spans="3:18" ht="24" customHeight="1" x14ac:dyDescent="0.25">
      <c r="C23" s="233">
        <v>123457</v>
      </c>
      <c r="D23" s="249" t="s">
        <v>274</v>
      </c>
      <c r="E23" s="236">
        <v>35064</v>
      </c>
      <c r="F23" s="250" t="str">
        <f t="shared" ref="F23:F86" si="0">IF(E23="","-",IF(OR(E23&lt;$E$15,E23&gt;$E$16),"ERROR - date outside of range","Date check - OK"))</f>
        <v>Date check - OK</v>
      </c>
      <c r="G23" s="242"/>
      <c r="H23" s="251" t="s">
        <v>279</v>
      </c>
      <c r="I23" s="233">
        <v>800000</v>
      </c>
      <c r="J23" s="252">
        <f>IFERROR(MIN('MP Calculations'!$E$29/I23,1),"-")</f>
        <v>1.6674999999999999E-2</v>
      </c>
      <c r="K23" s="253"/>
      <c r="L23" s="233">
        <v>1</v>
      </c>
      <c r="M23" s="233" t="s">
        <v>280</v>
      </c>
      <c r="N23" s="254">
        <v>300000000</v>
      </c>
      <c r="O23" s="255">
        <f t="shared" ref="O23:O86" si="1">IF(N23="","-",L23*N23)</f>
        <v>300000000</v>
      </c>
      <c r="P23" s="256">
        <f t="shared" ref="P23:P86" si="2">IF(O23="-","-",IF(OR(E23&lt;$E$15,E23&gt;$E$16),0,O23*J23))</f>
        <v>5002500</v>
      </c>
      <c r="Q23" s="87"/>
      <c r="R23" s="87"/>
    </row>
    <row r="24" spans="3:18" x14ac:dyDescent="0.25">
      <c r="C24" s="233"/>
      <c r="D24" s="249"/>
      <c r="E24" s="238"/>
      <c r="F24" s="250" t="str">
        <f t="shared" si="0"/>
        <v>-</v>
      </c>
      <c r="G24" s="242"/>
      <c r="H24" s="251"/>
      <c r="I24" s="233"/>
      <c r="J24" s="252" t="str">
        <f>IFERROR(MIN('MP Calculations'!$E$29/I24,1),"-")</f>
        <v>-</v>
      </c>
      <c r="K24" s="257"/>
      <c r="L24" s="233"/>
      <c r="M24" s="233"/>
      <c r="N24" s="233"/>
      <c r="O24" s="255" t="str">
        <f t="shared" si="1"/>
        <v>-</v>
      </c>
      <c r="P24" s="256" t="str">
        <f t="shared" si="2"/>
        <v>-</v>
      </c>
      <c r="Q24" s="87"/>
      <c r="R24" s="87"/>
    </row>
    <row r="25" spans="3:18" x14ac:dyDescent="0.25">
      <c r="C25" s="233"/>
      <c r="D25" s="249"/>
      <c r="E25" s="238"/>
      <c r="F25" s="250" t="str">
        <f>IF(E25="","-",IF(OR(E25&lt;$E$15,E25&gt;$E$16),"ERROR - date outside of range","Date check - OK"))</f>
        <v>-</v>
      </c>
      <c r="G25" s="242"/>
      <c r="H25" s="251"/>
      <c r="I25" s="233"/>
      <c r="J25" s="252" t="str">
        <f>IFERROR(MIN('MP Calculations'!$E$29/I25,1),"-")</f>
        <v>-</v>
      </c>
      <c r="K25" s="257"/>
      <c r="L25" s="233"/>
      <c r="M25" s="233"/>
      <c r="N25" s="233"/>
      <c r="O25" s="255" t="str">
        <f t="shared" si="1"/>
        <v>-</v>
      </c>
      <c r="P25" s="256" t="str">
        <f t="shared" si="2"/>
        <v>-</v>
      </c>
      <c r="Q25" s="87"/>
      <c r="R25" s="87"/>
    </row>
    <row r="26" spans="3:18" x14ac:dyDescent="0.25">
      <c r="C26" s="233"/>
      <c r="D26" s="249"/>
      <c r="E26" s="238"/>
      <c r="F26" s="250" t="str">
        <f t="shared" si="0"/>
        <v>-</v>
      </c>
      <c r="G26" s="242"/>
      <c r="H26" s="251"/>
      <c r="I26" s="233"/>
      <c r="J26" s="252" t="str">
        <f>IFERROR(MIN('MP Calculations'!$E$29/I26,1),"-")</f>
        <v>-</v>
      </c>
      <c r="K26" s="257"/>
      <c r="L26" s="233"/>
      <c r="M26" s="233"/>
      <c r="N26" s="233"/>
      <c r="O26" s="255" t="str">
        <f t="shared" si="1"/>
        <v>-</v>
      </c>
      <c r="P26" s="256" t="str">
        <f>IF(O26="-","-",IF(OR(E26&lt;$E$15,E26&gt;$E$16),0,O26*J26))</f>
        <v>-</v>
      </c>
      <c r="Q26" s="87"/>
      <c r="R26" s="87"/>
    </row>
    <row r="27" spans="3:18" x14ac:dyDescent="0.25">
      <c r="C27" s="233"/>
      <c r="D27" s="249"/>
      <c r="E27" s="238"/>
      <c r="F27" s="250" t="str">
        <f t="shared" si="0"/>
        <v>-</v>
      </c>
      <c r="G27" s="242"/>
      <c r="H27" s="251"/>
      <c r="I27" s="233"/>
      <c r="J27" s="252" t="str">
        <f>IFERROR(MIN('MP Calculations'!$E$29/I27,1),"-")</f>
        <v>-</v>
      </c>
      <c r="K27" s="257"/>
      <c r="L27" s="233"/>
      <c r="M27" s="233"/>
      <c r="N27" s="233"/>
      <c r="O27" s="255" t="str">
        <f t="shared" si="1"/>
        <v>-</v>
      </c>
      <c r="P27" s="256" t="str">
        <f t="shared" si="2"/>
        <v>-</v>
      </c>
      <c r="Q27" s="87"/>
      <c r="R27" s="87"/>
    </row>
    <row r="28" spans="3:18" x14ac:dyDescent="0.25">
      <c r="C28" s="233"/>
      <c r="D28" s="249"/>
      <c r="E28" s="238"/>
      <c r="F28" s="250" t="str">
        <f t="shared" si="0"/>
        <v>-</v>
      </c>
      <c r="G28" s="242"/>
      <c r="H28" s="251"/>
      <c r="I28" s="233"/>
      <c r="J28" s="252" t="str">
        <f>IFERROR(MIN('MP Calculations'!$E$29/I28,1),"-")</f>
        <v>-</v>
      </c>
      <c r="K28" s="257"/>
      <c r="L28" s="233"/>
      <c r="M28" s="233"/>
      <c r="N28" s="233"/>
      <c r="O28" s="255" t="str">
        <f t="shared" si="1"/>
        <v>-</v>
      </c>
      <c r="P28" s="256" t="str">
        <f t="shared" si="2"/>
        <v>-</v>
      </c>
      <c r="Q28" s="87"/>
      <c r="R28" s="87"/>
    </row>
    <row r="29" spans="3:18" x14ac:dyDescent="0.25">
      <c r="C29" s="233"/>
      <c r="D29" s="249"/>
      <c r="E29" s="238"/>
      <c r="F29" s="250" t="str">
        <f t="shared" si="0"/>
        <v>-</v>
      </c>
      <c r="G29" s="242"/>
      <c r="H29" s="251"/>
      <c r="I29" s="233"/>
      <c r="J29" s="252" t="str">
        <f>IFERROR(MIN('MP Calculations'!$E$29/I29,1),"-")</f>
        <v>-</v>
      </c>
      <c r="K29" s="257"/>
      <c r="L29" s="233"/>
      <c r="M29" s="233"/>
      <c r="N29" s="233"/>
      <c r="O29" s="255" t="str">
        <f t="shared" si="1"/>
        <v>-</v>
      </c>
      <c r="P29" s="256" t="str">
        <f t="shared" si="2"/>
        <v>-</v>
      </c>
      <c r="Q29" s="87"/>
      <c r="R29" s="87"/>
    </row>
    <row r="30" spans="3:18" x14ac:dyDescent="0.25">
      <c r="C30" s="233"/>
      <c r="D30" s="249"/>
      <c r="E30" s="238"/>
      <c r="F30" s="250" t="str">
        <f t="shared" si="0"/>
        <v>-</v>
      </c>
      <c r="G30" s="242"/>
      <c r="H30" s="251"/>
      <c r="I30" s="233"/>
      <c r="J30" s="252" t="str">
        <f>IFERROR(MIN('MP Calculations'!$E$29/I30,1),"-")</f>
        <v>-</v>
      </c>
      <c r="K30" s="257"/>
      <c r="L30" s="233"/>
      <c r="M30" s="233"/>
      <c r="N30" s="233"/>
      <c r="O30" s="255" t="str">
        <f t="shared" si="1"/>
        <v>-</v>
      </c>
      <c r="P30" s="256" t="str">
        <f t="shared" si="2"/>
        <v>-</v>
      </c>
      <c r="Q30" s="87"/>
      <c r="R30" s="87"/>
    </row>
    <row r="31" spans="3:18" x14ac:dyDescent="0.25">
      <c r="C31" s="233"/>
      <c r="D31" s="249"/>
      <c r="E31" s="238"/>
      <c r="F31" s="250" t="str">
        <f t="shared" si="0"/>
        <v>-</v>
      </c>
      <c r="G31" s="242"/>
      <c r="H31" s="251"/>
      <c r="I31" s="233"/>
      <c r="J31" s="252" t="str">
        <f>IFERROR(MIN('MP Calculations'!$E$29/I31,1),"-")</f>
        <v>-</v>
      </c>
      <c r="K31" s="257"/>
      <c r="L31" s="233"/>
      <c r="M31" s="233"/>
      <c r="N31" s="233"/>
      <c r="O31" s="255" t="str">
        <f t="shared" si="1"/>
        <v>-</v>
      </c>
      <c r="P31" s="256" t="str">
        <f t="shared" si="2"/>
        <v>-</v>
      </c>
      <c r="Q31" s="87"/>
      <c r="R31" s="87"/>
    </row>
    <row r="32" spans="3:18" x14ac:dyDescent="0.25">
      <c r="C32" s="233"/>
      <c r="D32" s="249"/>
      <c r="E32" s="238"/>
      <c r="F32" s="250" t="str">
        <f t="shared" si="0"/>
        <v>-</v>
      </c>
      <c r="G32" s="242"/>
      <c r="H32" s="251"/>
      <c r="I32" s="233"/>
      <c r="J32" s="252" t="str">
        <f>IFERROR(MIN('MP Calculations'!$E$29/I32,1),"-")</f>
        <v>-</v>
      </c>
      <c r="K32" s="257"/>
      <c r="L32" s="233"/>
      <c r="M32" s="233"/>
      <c r="N32" s="233"/>
      <c r="O32" s="255" t="str">
        <f t="shared" si="1"/>
        <v>-</v>
      </c>
      <c r="P32" s="256" t="str">
        <f t="shared" si="2"/>
        <v>-</v>
      </c>
      <c r="Q32" s="87"/>
      <c r="R32" s="87"/>
    </row>
    <row r="33" spans="3:18" x14ac:dyDescent="0.25">
      <c r="C33" s="233"/>
      <c r="D33" s="249"/>
      <c r="E33" s="238"/>
      <c r="F33" s="250" t="str">
        <f t="shared" si="0"/>
        <v>-</v>
      </c>
      <c r="G33" s="242"/>
      <c r="H33" s="251"/>
      <c r="I33" s="233"/>
      <c r="J33" s="252" t="str">
        <f>IFERROR(MIN('MP Calculations'!$E$29/I33,1),"-")</f>
        <v>-</v>
      </c>
      <c r="K33" s="257"/>
      <c r="L33" s="233"/>
      <c r="M33" s="233"/>
      <c r="N33" s="233"/>
      <c r="O33" s="255" t="str">
        <f t="shared" si="1"/>
        <v>-</v>
      </c>
      <c r="P33" s="256" t="str">
        <f t="shared" si="2"/>
        <v>-</v>
      </c>
      <c r="Q33" s="87"/>
      <c r="R33" s="87"/>
    </row>
    <row r="34" spans="3:18" x14ac:dyDescent="0.25">
      <c r="C34" s="233"/>
      <c r="D34" s="249"/>
      <c r="E34" s="238"/>
      <c r="F34" s="250" t="str">
        <f t="shared" si="0"/>
        <v>-</v>
      </c>
      <c r="G34" s="242"/>
      <c r="H34" s="251"/>
      <c r="I34" s="233"/>
      <c r="J34" s="252" t="str">
        <f>IFERROR(MIN('MP Calculations'!$E$29/I34,1),"-")</f>
        <v>-</v>
      </c>
      <c r="K34" s="257"/>
      <c r="L34" s="233"/>
      <c r="M34" s="233"/>
      <c r="N34" s="233"/>
      <c r="O34" s="255" t="str">
        <f t="shared" si="1"/>
        <v>-</v>
      </c>
      <c r="P34" s="256" t="str">
        <f t="shared" si="2"/>
        <v>-</v>
      </c>
      <c r="Q34" s="87"/>
      <c r="R34" s="87"/>
    </row>
    <row r="35" spans="3:18" x14ac:dyDescent="0.25">
      <c r="C35" s="233"/>
      <c r="D35" s="249"/>
      <c r="E35" s="238"/>
      <c r="F35" s="250" t="str">
        <f t="shared" si="0"/>
        <v>-</v>
      </c>
      <c r="G35" s="242"/>
      <c r="H35" s="251"/>
      <c r="I35" s="233"/>
      <c r="J35" s="252" t="str">
        <f>IFERROR(MIN('MP Calculations'!$E$29/I35,1),"-")</f>
        <v>-</v>
      </c>
      <c r="K35" s="257"/>
      <c r="L35" s="233"/>
      <c r="M35" s="233"/>
      <c r="N35" s="233"/>
      <c r="O35" s="255" t="str">
        <f t="shared" si="1"/>
        <v>-</v>
      </c>
      <c r="P35" s="256" t="str">
        <f t="shared" si="2"/>
        <v>-</v>
      </c>
      <c r="Q35" s="87"/>
      <c r="R35" s="87"/>
    </row>
    <row r="36" spans="3:18" x14ac:dyDescent="0.25">
      <c r="C36" s="233"/>
      <c r="D36" s="249"/>
      <c r="E36" s="238"/>
      <c r="F36" s="250" t="str">
        <f t="shared" si="0"/>
        <v>-</v>
      </c>
      <c r="G36" s="242"/>
      <c r="H36" s="251"/>
      <c r="I36" s="233"/>
      <c r="J36" s="252" t="str">
        <f>IFERROR(MIN('MP Calculations'!$E$29/I36,1),"-")</f>
        <v>-</v>
      </c>
      <c r="K36" s="257"/>
      <c r="L36" s="233"/>
      <c r="M36" s="233"/>
      <c r="N36" s="233"/>
      <c r="O36" s="255" t="str">
        <f t="shared" si="1"/>
        <v>-</v>
      </c>
      <c r="P36" s="256" t="str">
        <f t="shared" si="2"/>
        <v>-</v>
      </c>
      <c r="Q36" s="87"/>
      <c r="R36" s="87"/>
    </row>
    <row r="37" spans="3:18" x14ac:dyDescent="0.25">
      <c r="C37" s="233"/>
      <c r="D37" s="249"/>
      <c r="E37" s="238"/>
      <c r="F37" s="250" t="str">
        <f t="shared" si="0"/>
        <v>-</v>
      </c>
      <c r="G37" s="242"/>
      <c r="H37" s="251"/>
      <c r="I37" s="233"/>
      <c r="J37" s="252" t="str">
        <f>IFERROR(MIN('MP Calculations'!$E$29/I37,1),"-")</f>
        <v>-</v>
      </c>
      <c r="K37" s="257"/>
      <c r="L37" s="233"/>
      <c r="M37" s="233"/>
      <c r="N37" s="233"/>
      <c r="O37" s="255" t="str">
        <f t="shared" si="1"/>
        <v>-</v>
      </c>
      <c r="P37" s="256" t="str">
        <f t="shared" si="2"/>
        <v>-</v>
      </c>
      <c r="Q37" s="87"/>
      <c r="R37" s="87"/>
    </row>
    <row r="38" spans="3:18" x14ac:dyDescent="0.25">
      <c r="C38" s="233"/>
      <c r="D38" s="249"/>
      <c r="E38" s="238"/>
      <c r="F38" s="250" t="str">
        <f t="shared" si="0"/>
        <v>-</v>
      </c>
      <c r="G38" s="242"/>
      <c r="H38" s="251"/>
      <c r="I38" s="233"/>
      <c r="J38" s="252" t="str">
        <f>IFERROR(MIN('MP Calculations'!$E$29/I38,1),"-")</f>
        <v>-</v>
      </c>
      <c r="K38" s="257"/>
      <c r="L38" s="233"/>
      <c r="M38" s="233"/>
      <c r="N38" s="233"/>
      <c r="O38" s="255" t="str">
        <f t="shared" si="1"/>
        <v>-</v>
      </c>
      <c r="P38" s="256" t="str">
        <f t="shared" si="2"/>
        <v>-</v>
      </c>
      <c r="Q38" s="87"/>
      <c r="R38" s="87"/>
    </row>
    <row r="39" spans="3:18" x14ac:dyDescent="0.25">
      <c r="C39" s="233"/>
      <c r="D39" s="249"/>
      <c r="E39" s="238"/>
      <c r="F39" s="250" t="str">
        <f t="shared" si="0"/>
        <v>-</v>
      </c>
      <c r="G39" s="242"/>
      <c r="H39" s="251"/>
      <c r="I39" s="233"/>
      <c r="J39" s="252" t="str">
        <f>IFERROR(MIN('MP Calculations'!$E$29/I39,1),"-")</f>
        <v>-</v>
      </c>
      <c r="K39" s="257"/>
      <c r="L39" s="233"/>
      <c r="M39" s="233"/>
      <c r="N39" s="233"/>
      <c r="O39" s="255" t="str">
        <f t="shared" si="1"/>
        <v>-</v>
      </c>
      <c r="P39" s="256" t="str">
        <f t="shared" si="2"/>
        <v>-</v>
      </c>
      <c r="Q39" s="87"/>
      <c r="R39" s="87"/>
    </row>
    <row r="40" spans="3:18" x14ac:dyDescent="0.25">
      <c r="C40" s="233"/>
      <c r="D40" s="249"/>
      <c r="E40" s="238"/>
      <c r="F40" s="250" t="str">
        <f t="shared" si="0"/>
        <v>-</v>
      </c>
      <c r="G40" s="242"/>
      <c r="H40" s="251"/>
      <c r="I40" s="233"/>
      <c r="J40" s="252" t="str">
        <f>IFERROR(MIN('MP Calculations'!$E$29/I40,1),"-")</f>
        <v>-</v>
      </c>
      <c r="K40" s="257"/>
      <c r="L40" s="233"/>
      <c r="M40" s="233"/>
      <c r="N40" s="233"/>
      <c r="O40" s="255" t="str">
        <f t="shared" si="1"/>
        <v>-</v>
      </c>
      <c r="P40" s="256" t="str">
        <f t="shared" si="2"/>
        <v>-</v>
      </c>
      <c r="Q40" s="87"/>
      <c r="R40" s="87"/>
    </row>
    <row r="41" spans="3:18" x14ac:dyDescent="0.25">
      <c r="C41" s="233"/>
      <c r="D41" s="249"/>
      <c r="E41" s="238"/>
      <c r="F41" s="250" t="str">
        <f t="shared" si="0"/>
        <v>-</v>
      </c>
      <c r="G41" s="242"/>
      <c r="H41" s="251"/>
      <c r="I41" s="233"/>
      <c r="J41" s="252" t="str">
        <f>IFERROR(MIN('MP Calculations'!$E$29/I41,1),"-")</f>
        <v>-</v>
      </c>
      <c r="K41" s="257"/>
      <c r="L41" s="233"/>
      <c r="M41" s="233"/>
      <c r="N41" s="233"/>
      <c r="O41" s="255" t="str">
        <f t="shared" si="1"/>
        <v>-</v>
      </c>
      <c r="P41" s="256" t="str">
        <f t="shared" si="2"/>
        <v>-</v>
      </c>
      <c r="Q41" s="87"/>
      <c r="R41" s="87"/>
    </row>
    <row r="42" spans="3:18" x14ac:dyDescent="0.25">
      <c r="C42" s="233"/>
      <c r="D42" s="249"/>
      <c r="E42" s="238"/>
      <c r="F42" s="250" t="str">
        <f t="shared" si="0"/>
        <v>-</v>
      </c>
      <c r="G42" s="242"/>
      <c r="H42" s="251"/>
      <c r="I42" s="233"/>
      <c r="J42" s="252" t="str">
        <f>IFERROR(MIN('MP Calculations'!$E$29/I42,1),"-")</f>
        <v>-</v>
      </c>
      <c r="K42" s="257"/>
      <c r="L42" s="233"/>
      <c r="M42" s="233"/>
      <c r="N42" s="233"/>
      <c r="O42" s="255" t="str">
        <f t="shared" si="1"/>
        <v>-</v>
      </c>
      <c r="P42" s="256" t="str">
        <f t="shared" si="2"/>
        <v>-</v>
      </c>
      <c r="Q42" s="87"/>
      <c r="R42" s="87"/>
    </row>
    <row r="43" spans="3:18" x14ac:dyDescent="0.25">
      <c r="C43" s="233"/>
      <c r="D43" s="249"/>
      <c r="E43" s="238"/>
      <c r="F43" s="250" t="str">
        <f t="shared" si="0"/>
        <v>-</v>
      </c>
      <c r="G43" s="242"/>
      <c r="H43" s="251"/>
      <c r="I43" s="233"/>
      <c r="J43" s="252" t="str">
        <f>IFERROR(MIN('MP Calculations'!$E$29/I43,1),"-")</f>
        <v>-</v>
      </c>
      <c r="K43" s="257"/>
      <c r="L43" s="233"/>
      <c r="M43" s="233"/>
      <c r="N43" s="233"/>
      <c r="O43" s="255" t="str">
        <f t="shared" si="1"/>
        <v>-</v>
      </c>
      <c r="P43" s="256" t="str">
        <f t="shared" si="2"/>
        <v>-</v>
      </c>
      <c r="Q43" s="87"/>
      <c r="R43" s="87"/>
    </row>
    <row r="44" spans="3:18" x14ac:dyDescent="0.25">
      <c r="C44" s="233"/>
      <c r="D44" s="249"/>
      <c r="E44" s="238"/>
      <c r="F44" s="250" t="str">
        <f t="shared" si="0"/>
        <v>-</v>
      </c>
      <c r="G44" s="242"/>
      <c r="H44" s="251"/>
      <c r="I44" s="233"/>
      <c r="J44" s="252" t="str">
        <f>IFERROR(MIN('MP Calculations'!$E$29/I44,1),"-")</f>
        <v>-</v>
      </c>
      <c r="K44" s="257"/>
      <c r="L44" s="233"/>
      <c r="M44" s="233"/>
      <c r="N44" s="233"/>
      <c r="O44" s="255" t="str">
        <f t="shared" si="1"/>
        <v>-</v>
      </c>
      <c r="P44" s="256" t="str">
        <f t="shared" si="2"/>
        <v>-</v>
      </c>
      <c r="Q44" s="87"/>
      <c r="R44" s="87"/>
    </row>
    <row r="45" spans="3:18" x14ac:dyDescent="0.25">
      <c r="C45" s="233"/>
      <c r="D45" s="249"/>
      <c r="E45" s="238"/>
      <c r="F45" s="250" t="str">
        <f t="shared" si="0"/>
        <v>-</v>
      </c>
      <c r="G45" s="242"/>
      <c r="H45" s="251"/>
      <c r="I45" s="233"/>
      <c r="J45" s="252" t="str">
        <f>IFERROR(MIN('MP Calculations'!$E$29/I45,1),"-")</f>
        <v>-</v>
      </c>
      <c r="K45" s="257"/>
      <c r="L45" s="233"/>
      <c r="M45" s="233"/>
      <c r="N45" s="233"/>
      <c r="O45" s="255" t="str">
        <f t="shared" si="1"/>
        <v>-</v>
      </c>
      <c r="P45" s="256" t="str">
        <f t="shared" si="2"/>
        <v>-</v>
      </c>
      <c r="Q45" s="87"/>
      <c r="R45" s="87"/>
    </row>
    <row r="46" spans="3:18" x14ac:dyDescent="0.25">
      <c r="C46" s="233"/>
      <c r="D46" s="249"/>
      <c r="E46" s="238"/>
      <c r="F46" s="250" t="str">
        <f t="shared" si="0"/>
        <v>-</v>
      </c>
      <c r="G46" s="242"/>
      <c r="H46" s="251"/>
      <c r="I46" s="233"/>
      <c r="J46" s="252" t="str">
        <f>IFERROR(MIN('MP Calculations'!$E$29/I46,1),"-")</f>
        <v>-</v>
      </c>
      <c r="K46" s="257"/>
      <c r="L46" s="233"/>
      <c r="M46" s="233"/>
      <c r="N46" s="233"/>
      <c r="O46" s="255" t="str">
        <f t="shared" si="1"/>
        <v>-</v>
      </c>
      <c r="P46" s="256" t="str">
        <f t="shared" si="2"/>
        <v>-</v>
      </c>
      <c r="Q46" s="87"/>
      <c r="R46" s="87"/>
    </row>
    <row r="47" spans="3:18" x14ac:dyDescent="0.25">
      <c r="C47" s="233"/>
      <c r="D47" s="249"/>
      <c r="E47" s="238"/>
      <c r="F47" s="250" t="str">
        <f t="shared" si="0"/>
        <v>-</v>
      </c>
      <c r="G47" s="242"/>
      <c r="H47" s="251"/>
      <c r="I47" s="233"/>
      <c r="J47" s="252" t="str">
        <f>IFERROR(MIN('MP Calculations'!$E$29/I47,1),"-")</f>
        <v>-</v>
      </c>
      <c r="K47" s="257"/>
      <c r="L47" s="233"/>
      <c r="M47" s="233"/>
      <c r="N47" s="233"/>
      <c r="O47" s="255" t="str">
        <f t="shared" si="1"/>
        <v>-</v>
      </c>
      <c r="P47" s="256" t="str">
        <f t="shared" si="2"/>
        <v>-</v>
      </c>
      <c r="Q47" s="87"/>
      <c r="R47" s="87"/>
    </row>
    <row r="48" spans="3:18" x14ac:dyDescent="0.25">
      <c r="C48" s="233"/>
      <c r="D48" s="249"/>
      <c r="E48" s="238"/>
      <c r="F48" s="250" t="str">
        <f t="shared" si="0"/>
        <v>-</v>
      </c>
      <c r="G48" s="242"/>
      <c r="H48" s="251"/>
      <c r="I48" s="233"/>
      <c r="J48" s="252" t="str">
        <f>IFERROR(MIN('MP Calculations'!$E$29/I48,1),"-")</f>
        <v>-</v>
      </c>
      <c r="K48" s="257"/>
      <c r="L48" s="233"/>
      <c r="M48" s="233"/>
      <c r="N48" s="233"/>
      <c r="O48" s="255" t="str">
        <f t="shared" si="1"/>
        <v>-</v>
      </c>
      <c r="P48" s="256" t="str">
        <f t="shared" si="2"/>
        <v>-</v>
      </c>
      <c r="Q48" s="87"/>
      <c r="R48" s="87"/>
    </row>
    <row r="49" spans="3:18" x14ac:dyDescent="0.25">
      <c r="C49" s="233"/>
      <c r="D49" s="249"/>
      <c r="E49" s="238"/>
      <c r="F49" s="250" t="str">
        <f t="shared" si="0"/>
        <v>-</v>
      </c>
      <c r="G49" s="242"/>
      <c r="H49" s="251"/>
      <c r="I49" s="233"/>
      <c r="J49" s="252" t="str">
        <f>IFERROR(MIN('MP Calculations'!$E$29/I49,1),"-")</f>
        <v>-</v>
      </c>
      <c r="K49" s="257"/>
      <c r="L49" s="233"/>
      <c r="M49" s="233"/>
      <c r="N49" s="233"/>
      <c r="O49" s="255" t="str">
        <f t="shared" si="1"/>
        <v>-</v>
      </c>
      <c r="P49" s="256" t="str">
        <f t="shared" si="2"/>
        <v>-</v>
      </c>
      <c r="Q49" s="87"/>
      <c r="R49" s="87"/>
    </row>
    <row r="50" spans="3:18" x14ac:dyDescent="0.25">
      <c r="C50" s="233"/>
      <c r="D50" s="249"/>
      <c r="E50" s="238"/>
      <c r="F50" s="250" t="str">
        <f t="shared" si="0"/>
        <v>-</v>
      </c>
      <c r="G50" s="242"/>
      <c r="H50" s="251"/>
      <c r="I50" s="233"/>
      <c r="J50" s="252" t="str">
        <f>IFERROR(MIN('MP Calculations'!$E$29/I50,1),"-")</f>
        <v>-</v>
      </c>
      <c r="K50" s="257"/>
      <c r="L50" s="233"/>
      <c r="M50" s="233"/>
      <c r="N50" s="233"/>
      <c r="O50" s="255" t="str">
        <f t="shared" si="1"/>
        <v>-</v>
      </c>
      <c r="P50" s="256" t="str">
        <f t="shared" si="2"/>
        <v>-</v>
      </c>
      <c r="Q50" s="87"/>
      <c r="R50" s="87"/>
    </row>
    <row r="51" spans="3:18" x14ac:dyDescent="0.25">
      <c r="C51" s="233"/>
      <c r="D51" s="249"/>
      <c r="E51" s="238"/>
      <c r="F51" s="250" t="str">
        <f t="shared" si="0"/>
        <v>-</v>
      </c>
      <c r="G51" s="242"/>
      <c r="H51" s="251"/>
      <c r="I51" s="233"/>
      <c r="J51" s="252" t="str">
        <f>IFERROR(MIN('MP Calculations'!$E$29/I51,1),"-")</f>
        <v>-</v>
      </c>
      <c r="K51" s="257"/>
      <c r="L51" s="233"/>
      <c r="M51" s="233"/>
      <c r="N51" s="233"/>
      <c r="O51" s="255" t="str">
        <f t="shared" si="1"/>
        <v>-</v>
      </c>
      <c r="P51" s="256" t="str">
        <f t="shared" si="2"/>
        <v>-</v>
      </c>
      <c r="Q51" s="87"/>
      <c r="R51" s="87"/>
    </row>
    <row r="52" spans="3:18" x14ac:dyDescent="0.25">
      <c r="C52" s="233"/>
      <c r="D52" s="249"/>
      <c r="E52" s="238"/>
      <c r="F52" s="250" t="str">
        <f t="shared" si="0"/>
        <v>-</v>
      </c>
      <c r="G52" s="242"/>
      <c r="H52" s="251"/>
      <c r="I52" s="233"/>
      <c r="J52" s="252" t="str">
        <f>IFERROR(MIN('MP Calculations'!$E$29/I52,1),"-")</f>
        <v>-</v>
      </c>
      <c r="K52" s="257"/>
      <c r="L52" s="233"/>
      <c r="M52" s="233"/>
      <c r="N52" s="233"/>
      <c r="O52" s="255" t="str">
        <f t="shared" si="1"/>
        <v>-</v>
      </c>
      <c r="P52" s="256" t="str">
        <f t="shared" si="2"/>
        <v>-</v>
      </c>
      <c r="Q52" s="87"/>
      <c r="R52" s="87"/>
    </row>
    <row r="53" spans="3:18" x14ac:dyDescent="0.25">
      <c r="C53" s="233"/>
      <c r="D53" s="249"/>
      <c r="E53" s="238"/>
      <c r="F53" s="250" t="str">
        <f t="shared" si="0"/>
        <v>-</v>
      </c>
      <c r="G53" s="242"/>
      <c r="H53" s="251"/>
      <c r="I53" s="233"/>
      <c r="J53" s="252" t="str">
        <f>IFERROR(MIN('MP Calculations'!$E$29/I53,1),"-")</f>
        <v>-</v>
      </c>
      <c r="K53" s="257"/>
      <c r="L53" s="233"/>
      <c r="M53" s="233"/>
      <c r="N53" s="233"/>
      <c r="O53" s="255" t="str">
        <f t="shared" si="1"/>
        <v>-</v>
      </c>
      <c r="P53" s="256" t="str">
        <f t="shared" si="2"/>
        <v>-</v>
      </c>
      <c r="Q53" s="87"/>
      <c r="R53" s="87"/>
    </row>
    <row r="54" spans="3:18" x14ac:dyDescent="0.25">
      <c r="C54" s="233"/>
      <c r="D54" s="249"/>
      <c r="E54" s="238"/>
      <c r="F54" s="250" t="str">
        <f t="shared" si="0"/>
        <v>-</v>
      </c>
      <c r="G54" s="242"/>
      <c r="H54" s="251"/>
      <c r="I54" s="233"/>
      <c r="J54" s="252" t="str">
        <f>IFERROR(MIN('MP Calculations'!$E$29/I54,1),"-")</f>
        <v>-</v>
      </c>
      <c r="K54" s="257"/>
      <c r="L54" s="233"/>
      <c r="M54" s="233"/>
      <c r="N54" s="233"/>
      <c r="O54" s="255" t="str">
        <f t="shared" si="1"/>
        <v>-</v>
      </c>
      <c r="P54" s="256" t="str">
        <f t="shared" si="2"/>
        <v>-</v>
      </c>
      <c r="Q54" s="87"/>
      <c r="R54" s="87"/>
    </row>
    <row r="55" spans="3:18" x14ac:dyDescent="0.25">
      <c r="C55" s="233"/>
      <c r="D55" s="249"/>
      <c r="E55" s="238"/>
      <c r="F55" s="250" t="str">
        <f t="shared" si="0"/>
        <v>-</v>
      </c>
      <c r="G55" s="242"/>
      <c r="H55" s="251"/>
      <c r="I55" s="233"/>
      <c r="J55" s="252" t="str">
        <f>IFERROR(MIN('MP Calculations'!$E$29/I55,1),"-")</f>
        <v>-</v>
      </c>
      <c r="K55" s="257"/>
      <c r="L55" s="233"/>
      <c r="M55" s="233"/>
      <c r="N55" s="233"/>
      <c r="O55" s="255" t="str">
        <f t="shared" si="1"/>
        <v>-</v>
      </c>
      <c r="P55" s="256" t="str">
        <f t="shared" si="2"/>
        <v>-</v>
      </c>
      <c r="Q55" s="87"/>
      <c r="R55" s="87"/>
    </row>
    <row r="56" spans="3:18" x14ac:dyDescent="0.25">
      <c r="C56" s="233"/>
      <c r="D56" s="249"/>
      <c r="E56" s="238"/>
      <c r="F56" s="250" t="str">
        <f t="shared" si="0"/>
        <v>-</v>
      </c>
      <c r="G56" s="242"/>
      <c r="H56" s="251"/>
      <c r="I56" s="233"/>
      <c r="J56" s="252" t="str">
        <f>IFERROR(MIN('MP Calculations'!$E$29/I56,1),"-")</f>
        <v>-</v>
      </c>
      <c r="K56" s="257"/>
      <c r="L56" s="233"/>
      <c r="M56" s="233"/>
      <c r="N56" s="233"/>
      <c r="O56" s="255" t="str">
        <f t="shared" si="1"/>
        <v>-</v>
      </c>
      <c r="P56" s="256" t="str">
        <f t="shared" si="2"/>
        <v>-</v>
      </c>
      <c r="Q56" s="87"/>
      <c r="R56" s="87"/>
    </row>
    <row r="57" spans="3:18" x14ac:dyDescent="0.25">
      <c r="C57" s="233"/>
      <c r="D57" s="249"/>
      <c r="E57" s="238"/>
      <c r="F57" s="250" t="str">
        <f t="shared" si="0"/>
        <v>-</v>
      </c>
      <c r="G57" s="242"/>
      <c r="H57" s="251"/>
      <c r="I57" s="233"/>
      <c r="J57" s="252" t="str">
        <f>IFERROR(MIN('MP Calculations'!$E$29/I57,1),"-")</f>
        <v>-</v>
      </c>
      <c r="K57" s="257"/>
      <c r="L57" s="233"/>
      <c r="M57" s="233"/>
      <c r="N57" s="233"/>
      <c r="O57" s="255" t="str">
        <f t="shared" si="1"/>
        <v>-</v>
      </c>
      <c r="P57" s="256" t="str">
        <f t="shared" si="2"/>
        <v>-</v>
      </c>
      <c r="Q57" s="87"/>
      <c r="R57" s="87"/>
    </row>
    <row r="58" spans="3:18" x14ac:dyDescent="0.25">
      <c r="C58" s="233"/>
      <c r="D58" s="249"/>
      <c r="E58" s="238"/>
      <c r="F58" s="250" t="str">
        <f t="shared" si="0"/>
        <v>-</v>
      </c>
      <c r="G58" s="242"/>
      <c r="H58" s="251"/>
      <c r="I58" s="233"/>
      <c r="J58" s="252" t="str">
        <f>IFERROR(MIN('MP Calculations'!$E$29/I58,1),"-")</f>
        <v>-</v>
      </c>
      <c r="K58" s="257"/>
      <c r="L58" s="233"/>
      <c r="M58" s="233"/>
      <c r="N58" s="233"/>
      <c r="O58" s="255" t="str">
        <f t="shared" si="1"/>
        <v>-</v>
      </c>
      <c r="P58" s="256" t="str">
        <f t="shared" si="2"/>
        <v>-</v>
      </c>
      <c r="Q58" s="87"/>
      <c r="R58" s="87"/>
    </row>
    <row r="59" spans="3:18" x14ac:dyDescent="0.25">
      <c r="C59" s="233"/>
      <c r="D59" s="249"/>
      <c r="E59" s="238"/>
      <c r="F59" s="250" t="str">
        <f t="shared" si="0"/>
        <v>-</v>
      </c>
      <c r="G59" s="242"/>
      <c r="H59" s="251"/>
      <c r="I59" s="233"/>
      <c r="J59" s="252" t="str">
        <f>IFERROR(MIN('MP Calculations'!$E$29/I59,1),"-")</f>
        <v>-</v>
      </c>
      <c r="K59" s="257"/>
      <c r="L59" s="233"/>
      <c r="M59" s="233"/>
      <c r="N59" s="233"/>
      <c r="O59" s="255" t="str">
        <f t="shared" si="1"/>
        <v>-</v>
      </c>
      <c r="P59" s="256" t="str">
        <f t="shared" si="2"/>
        <v>-</v>
      </c>
      <c r="Q59" s="87"/>
      <c r="R59" s="87"/>
    </row>
    <row r="60" spans="3:18" x14ac:dyDescent="0.25">
      <c r="C60" s="233"/>
      <c r="D60" s="249"/>
      <c r="E60" s="238"/>
      <c r="F60" s="250" t="str">
        <f t="shared" si="0"/>
        <v>-</v>
      </c>
      <c r="G60" s="242"/>
      <c r="H60" s="251"/>
      <c r="I60" s="233"/>
      <c r="J60" s="252" t="str">
        <f>IFERROR(MIN('MP Calculations'!$E$29/I60,1),"-")</f>
        <v>-</v>
      </c>
      <c r="K60" s="257"/>
      <c r="L60" s="233"/>
      <c r="M60" s="233"/>
      <c r="N60" s="233"/>
      <c r="O60" s="255" t="str">
        <f t="shared" si="1"/>
        <v>-</v>
      </c>
      <c r="P60" s="256" t="str">
        <f t="shared" si="2"/>
        <v>-</v>
      </c>
      <c r="Q60" s="87"/>
      <c r="R60" s="87"/>
    </row>
    <row r="61" spans="3:18" x14ac:dyDescent="0.25">
      <c r="C61" s="233"/>
      <c r="D61" s="249"/>
      <c r="E61" s="238"/>
      <c r="F61" s="250" t="str">
        <f t="shared" si="0"/>
        <v>-</v>
      </c>
      <c r="G61" s="242"/>
      <c r="H61" s="251"/>
      <c r="I61" s="233"/>
      <c r="J61" s="252" t="str">
        <f>IFERROR(MIN('MP Calculations'!$E$29/I61,1),"-")</f>
        <v>-</v>
      </c>
      <c r="K61" s="257"/>
      <c r="L61" s="233"/>
      <c r="M61" s="233"/>
      <c r="N61" s="233"/>
      <c r="O61" s="255" t="str">
        <f t="shared" si="1"/>
        <v>-</v>
      </c>
      <c r="P61" s="256" t="str">
        <f t="shared" si="2"/>
        <v>-</v>
      </c>
      <c r="Q61" s="87"/>
      <c r="R61" s="87"/>
    </row>
    <row r="62" spans="3:18" x14ac:dyDescent="0.25">
      <c r="C62" s="233"/>
      <c r="D62" s="249"/>
      <c r="E62" s="238"/>
      <c r="F62" s="250" t="str">
        <f t="shared" si="0"/>
        <v>-</v>
      </c>
      <c r="G62" s="242"/>
      <c r="H62" s="251"/>
      <c r="I62" s="233"/>
      <c r="J62" s="252" t="str">
        <f>IFERROR(MIN('MP Calculations'!$E$29/I62,1),"-")</f>
        <v>-</v>
      </c>
      <c r="K62" s="257"/>
      <c r="L62" s="233"/>
      <c r="M62" s="233"/>
      <c r="N62" s="233"/>
      <c r="O62" s="255" t="str">
        <f t="shared" si="1"/>
        <v>-</v>
      </c>
      <c r="P62" s="256" t="str">
        <f t="shared" si="2"/>
        <v>-</v>
      </c>
      <c r="Q62" s="87"/>
      <c r="R62" s="87"/>
    </row>
    <row r="63" spans="3:18" x14ac:dyDescent="0.25">
      <c r="C63" s="233"/>
      <c r="D63" s="249"/>
      <c r="E63" s="238"/>
      <c r="F63" s="250" t="str">
        <f t="shared" si="0"/>
        <v>-</v>
      </c>
      <c r="G63" s="242"/>
      <c r="H63" s="251"/>
      <c r="I63" s="233"/>
      <c r="J63" s="252" t="str">
        <f>IFERROR(MIN('MP Calculations'!$E$29/I63,1),"-")</f>
        <v>-</v>
      </c>
      <c r="K63" s="257"/>
      <c r="L63" s="233"/>
      <c r="M63" s="233"/>
      <c r="N63" s="233"/>
      <c r="O63" s="255" t="str">
        <f t="shared" si="1"/>
        <v>-</v>
      </c>
      <c r="P63" s="256" t="str">
        <f t="shared" si="2"/>
        <v>-</v>
      </c>
      <c r="Q63" s="87"/>
      <c r="R63" s="87"/>
    </row>
    <row r="64" spans="3:18" x14ac:dyDescent="0.25">
      <c r="C64" s="233"/>
      <c r="D64" s="249"/>
      <c r="E64" s="238"/>
      <c r="F64" s="250" t="str">
        <f t="shared" si="0"/>
        <v>-</v>
      </c>
      <c r="G64" s="242"/>
      <c r="H64" s="251"/>
      <c r="I64" s="233"/>
      <c r="J64" s="252" t="str">
        <f>IFERROR(MIN('MP Calculations'!$E$29/I64,1),"-")</f>
        <v>-</v>
      </c>
      <c r="K64" s="257"/>
      <c r="L64" s="233"/>
      <c r="M64" s="233"/>
      <c r="N64" s="233"/>
      <c r="O64" s="255" t="str">
        <f t="shared" si="1"/>
        <v>-</v>
      </c>
      <c r="P64" s="256" t="str">
        <f t="shared" si="2"/>
        <v>-</v>
      </c>
      <c r="Q64" s="87"/>
      <c r="R64" s="87"/>
    </row>
    <row r="65" spans="3:18" x14ac:dyDescent="0.25">
      <c r="C65" s="233"/>
      <c r="D65" s="249"/>
      <c r="E65" s="238"/>
      <c r="F65" s="250" t="str">
        <f t="shared" si="0"/>
        <v>-</v>
      </c>
      <c r="G65" s="242"/>
      <c r="H65" s="251"/>
      <c r="I65" s="233"/>
      <c r="J65" s="252" t="str">
        <f>IFERROR(MIN('MP Calculations'!$E$29/I65,1),"-")</f>
        <v>-</v>
      </c>
      <c r="K65" s="257"/>
      <c r="L65" s="233"/>
      <c r="M65" s="233"/>
      <c r="N65" s="233"/>
      <c r="O65" s="255" t="str">
        <f t="shared" si="1"/>
        <v>-</v>
      </c>
      <c r="P65" s="256" t="str">
        <f t="shared" si="2"/>
        <v>-</v>
      </c>
      <c r="Q65" s="87"/>
      <c r="R65" s="87"/>
    </row>
    <row r="66" spans="3:18" x14ac:dyDescent="0.25">
      <c r="C66" s="233"/>
      <c r="D66" s="249"/>
      <c r="E66" s="238"/>
      <c r="F66" s="250" t="str">
        <f t="shared" si="0"/>
        <v>-</v>
      </c>
      <c r="G66" s="242"/>
      <c r="H66" s="251"/>
      <c r="I66" s="233"/>
      <c r="J66" s="252" t="str">
        <f>IFERROR(MIN('MP Calculations'!$E$29/I66,1),"-")</f>
        <v>-</v>
      </c>
      <c r="K66" s="257"/>
      <c r="L66" s="233"/>
      <c r="M66" s="233"/>
      <c r="N66" s="233"/>
      <c r="O66" s="255" t="str">
        <f t="shared" si="1"/>
        <v>-</v>
      </c>
      <c r="P66" s="256" t="str">
        <f t="shared" si="2"/>
        <v>-</v>
      </c>
      <c r="Q66" s="87"/>
      <c r="R66" s="87"/>
    </row>
    <row r="67" spans="3:18" x14ac:dyDescent="0.25">
      <c r="C67" s="233"/>
      <c r="D67" s="249"/>
      <c r="E67" s="238"/>
      <c r="F67" s="250" t="str">
        <f t="shared" si="0"/>
        <v>-</v>
      </c>
      <c r="G67" s="242"/>
      <c r="H67" s="251"/>
      <c r="I67" s="233"/>
      <c r="J67" s="252" t="str">
        <f>IFERROR(MIN('MP Calculations'!$E$29/I67,1),"-")</f>
        <v>-</v>
      </c>
      <c r="K67" s="257"/>
      <c r="L67" s="233"/>
      <c r="M67" s="233"/>
      <c r="N67" s="233"/>
      <c r="O67" s="255" t="str">
        <f t="shared" si="1"/>
        <v>-</v>
      </c>
      <c r="P67" s="256" t="str">
        <f t="shared" si="2"/>
        <v>-</v>
      </c>
      <c r="Q67" s="87"/>
      <c r="R67" s="87"/>
    </row>
    <row r="68" spans="3:18" x14ac:dyDescent="0.25">
      <c r="C68" s="233"/>
      <c r="D68" s="249"/>
      <c r="E68" s="238"/>
      <c r="F68" s="250" t="str">
        <f t="shared" si="0"/>
        <v>-</v>
      </c>
      <c r="G68" s="242"/>
      <c r="H68" s="251"/>
      <c r="I68" s="233"/>
      <c r="J68" s="252" t="str">
        <f>IFERROR(MIN('MP Calculations'!$E$29/I68,1),"-")</f>
        <v>-</v>
      </c>
      <c r="K68" s="257"/>
      <c r="L68" s="233"/>
      <c r="M68" s="233"/>
      <c r="N68" s="233"/>
      <c r="O68" s="255" t="str">
        <f t="shared" si="1"/>
        <v>-</v>
      </c>
      <c r="P68" s="256" t="str">
        <f t="shared" si="2"/>
        <v>-</v>
      </c>
      <c r="Q68" s="87"/>
      <c r="R68" s="87"/>
    </row>
    <row r="69" spans="3:18" x14ac:dyDescent="0.25">
      <c r="C69" s="233"/>
      <c r="D69" s="249"/>
      <c r="E69" s="238"/>
      <c r="F69" s="250" t="str">
        <f t="shared" si="0"/>
        <v>-</v>
      </c>
      <c r="G69" s="242"/>
      <c r="H69" s="251"/>
      <c r="I69" s="233"/>
      <c r="J69" s="252" t="str">
        <f>IFERROR(MIN('MP Calculations'!$E$29/I69,1),"-")</f>
        <v>-</v>
      </c>
      <c r="K69" s="257"/>
      <c r="L69" s="233"/>
      <c r="M69" s="233"/>
      <c r="N69" s="233"/>
      <c r="O69" s="255" t="str">
        <f t="shared" si="1"/>
        <v>-</v>
      </c>
      <c r="P69" s="256" t="str">
        <f t="shared" si="2"/>
        <v>-</v>
      </c>
      <c r="Q69" s="87"/>
      <c r="R69" s="87"/>
    </row>
    <row r="70" spans="3:18" x14ac:dyDescent="0.25">
      <c r="C70" s="233"/>
      <c r="D70" s="249"/>
      <c r="E70" s="238"/>
      <c r="F70" s="250" t="str">
        <f t="shared" si="0"/>
        <v>-</v>
      </c>
      <c r="G70" s="242"/>
      <c r="H70" s="251"/>
      <c r="I70" s="233"/>
      <c r="J70" s="252" t="str">
        <f>IFERROR(MIN('MP Calculations'!$E$29/I70,1),"-")</f>
        <v>-</v>
      </c>
      <c r="K70" s="257"/>
      <c r="L70" s="233"/>
      <c r="M70" s="233"/>
      <c r="N70" s="233"/>
      <c r="O70" s="255" t="str">
        <f t="shared" si="1"/>
        <v>-</v>
      </c>
      <c r="P70" s="256" t="str">
        <f t="shared" si="2"/>
        <v>-</v>
      </c>
      <c r="Q70" s="87"/>
      <c r="R70" s="87"/>
    </row>
    <row r="71" spans="3:18" x14ac:dyDescent="0.25">
      <c r="C71" s="233"/>
      <c r="D71" s="249"/>
      <c r="E71" s="238"/>
      <c r="F71" s="250" t="str">
        <f t="shared" si="0"/>
        <v>-</v>
      </c>
      <c r="G71" s="242"/>
      <c r="H71" s="251"/>
      <c r="I71" s="233"/>
      <c r="J71" s="252" t="str">
        <f>IFERROR(MIN('MP Calculations'!$E$29/I71,1),"-")</f>
        <v>-</v>
      </c>
      <c r="K71" s="257"/>
      <c r="L71" s="233"/>
      <c r="M71" s="233"/>
      <c r="N71" s="233"/>
      <c r="O71" s="255" t="str">
        <f t="shared" si="1"/>
        <v>-</v>
      </c>
      <c r="P71" s="256" t="str">
        <f t="shared" si="2"/>
        <v>-</v>
      </c>
      <c r="Q71" s="87"/>
      <c r="R71" s="87"/>
    </row>
    <row r="72" spans="3:18" x14ac:dyDescent="0.25">
      <c r="C72" s="233"/>
      <c r="D72" s="249"/>
      <c r="E72" s="238"/>
      <c r="F72" s="250" t="str">
        <f t="shared" si="0"/>
        <v>-</v>
      </c>
      <c r="G72" s="242"/>
      <c r="H72" s="251"/>
      <c r="I72" s="233"/>
      <c r="J72" s="252" t="str">
        <f>IFERROR(MIN('MP Calculations'!$E$29/I72,1),"-")</f>
        <v>-</v>
      </c>
      <c r="K72" s="257"/>
      <c r="L72" s="233"/>
      <c r="M72" s="233"/>
      <c r="N72" s="233"/>
      <c r="O72" s="255" t="str">
        <f t="shared" si="1"/>
        <v>-</v>
      </c>
      <c r="P72" s="256" t="str">
        <f t="shared" si="2"/>
        <v>-</v>
      </c>
      <c r="Q72" s="87"/>
      <c r="R72" s="87"/>
    </row>
    <row r="73" spans="3:18" x14ac:dyDescent="0.25">
      <c r="C73" s="233"/>
      <c r="D73" s="249"/>
      <c r="E73" s="238"/>
      <c r="F73" s="250" t="str">
        <f t="shared" si="0"/>
        <v>-</v>
      </c>
      <c r="G73" s="242"/>
      <c r="H73" s="251"/>
      <c r="I73" s="233"/>
      <c r="J73" s="252" t="str">
        <f>IFERROR(MIN('MP Calculations'!$E$29/I73,1),"-")</f>
        <v>-</v>
      </c>
      <c r="K73" s="257"/>
      <c r="L73" s="233"/>
      <c r="M73" s="233"/>
      <c r="N73" s="233"/>
      <c r="O73" s="255" t="str">
        <f t="shared" si="1"/>
        <v>-</v>
      </c>
      <c r="P73" s="256" t="str">
        <f t="shared" si="2"/>
        <v>-</v>
      </c>
      <c r="Q73" s="87"/>
      <c r="R73" s="87"/>
    </row>
    <row r="74" spans="3:18" x14ac:dyDescent="0.25">
      <c r="C74" s="233"/>
      <c r="D74" s="249"/>
      <c r="E74" s="238"/>
      <c r="F74" s="250" t="str">
        <f t="shared" si="0"/>
        <v>-</v>
      </c>
      <c r="G74" s="242"/>
      <c r="H74" s="251"/>
      <c r="I74" s="233"/>
      <c r="J74" s="252" t="str">
        <f>IFERROR(MIN('MP Calculations'!$E$29/I74,1),"-")</f>
        <v>-</v>
      </c>
      <c r="K74" s="257"/>
      <c r="L74" s="233"/>
      <c r="M74" s="233"/>
      <c r="N74" s="233"/>
      <c r="O74" s="255" t="str">
        <f t="shared" si="1"/>
        <v>-</v>
      </c>
      <c r="P74" s="256" t="str">
        <f t="shared" si="2"/>
        <v>-</v>
      </c>
      <c r="Q74" s="87"/>
      <c r="R74" s="87"/>
    </row>
    <row r="75" spans="3:18" x14ac:dyDescent="0.25">
      <c r="C75" s="233"/>
      <c r="D75" s="249"/>
      <c r="E75" s="238"/>
      <c r="F75" s="250" t="str">
        <f t="shared" si="0"/>
        <v>-</v>
      </c>
      <c r="G75" s="242"/>
      <c r="H75" s="251"/>
      <c r="I75" s="233"/>
      <c r="J75" s="252" t="str">
        <f>IFERROR(MIN('MP Calculations'!$E$29/I75,1),"-")</f>
        <v>-</v>
      </c>
      <c r="K75" s="257"/>
      <c r="L75" s="233"/>
      <c r="M75" s="233"/>
      <c r="N75" s="233"/>
      <c r="O75" s="255" t="str">
        <f t="shared" si="1"/>
        <v>-</v>
      </c>
      <c r="P75" s="256" t="str">
        <f t="shared" si="2"/>
        <v>-</v>
      </c>
      <c r="Q75" s="87"/>
      <c r="R75" s="87"/>
    </row>
    <row r="76" spans="3:18" x14ac:dyDescent="0.25">
      <c r="C76" s="233"/>
      <c r="D76" s="249"/>
      <c r="E76" s="238"/>
      <c r="F76" s="250" t="str">
        <f t="shared" si="0"/>
        <v>-</v>
      </c>
      <c r="G76" s="242"/>
      <c r="H76" s="251"/>
      <c r="I76" s="233"/>
      <c r="J76" s="252" t="str">
        <f>IFERROR(MIN('MP Calculations'!$E$29/I76,1),"-")</f>
        <v>-</v>
      </c>
      <c r="K76" s="257"/>
      <c r="L76" s="233"/>
      <c r="M76" s="233"/>
      <c r="N76" s="233"/>
      <c r="O76" s="255" t="str">
        <f t="shared" si="1"/>
        <v>-</v>
      </c>
      <c r="P76" s="256" t="str">
        <f t="shared" si="2"/>
        <v>-</v>
      </c>
      <c r="Q76" s="87"/>
      <c r="R76" s="87"/>
    </row>
    <row r="77" spans="3:18" x14ac:dyDescent="0.25">
      <c r="C77" s="233"/>
      <c r="D77" s="249"/>
      <c r="E77" s="238"/>
      <c r="F77" s="250" t="str">
        <f t="shared" si="0"/>
        <v>-</v>
      </c>
      <c r="G77" s="242"/>
      <c r="H77" s="251"/>
      <c r="I77" s="233"/>
      <c r="J77" s="252" t="str">
        <f>IFERROR(MIN('MP Calculations'!$E$29/I77,1),"-")</f>
        <v>-</v>
      </c>
      <c r="K77" s="257"/>
      <c r="L77" s="233"/>
      <c r="M77" s="233"/>
      <c r="N77" s="233"/>
      <c r="O77" s="255" t="str">
        <f t="shared" si="1"/>
        <v>-</v>
      </c>
      <c r="P77" s="256" t="str">
        <f t="shared" si="2"/>
        <v>-</v>
      </c>
      <c r="Q77" s="87"/>
      <c r="R77" s="87"/>
    </row>
    <row r="78" spans="3:18" x14ac:dyDescent="0.25">
      <c r="C78" s="233"/>
      <c r="D78" s="249"/>
      <c r="E78" s="238"/>
      <c r="F78" s="250" t="str">
        <f t="shared" si="0"/>
        <v>-</v>
      </c>
      <c r="G78" s="242"/>
      <c r="H78" s="251"/>
      <c r="I78" s="233"/>
      <c r="J78" s="252" t="str">
        <f>IFERROR(MIN('MP Calculations'!$E$29/I78,1),"-")</f>
        <v>-</v>
      </c>
      <c r="K78" s="257"/>
      <c r="L78" s="233"/>
      <c r="M78" s="233"/>
      <c r="N78" s="233"/>
      <c r="O78" s="255" t="str">
        <f t="shared" si="1"/>
        <v>-</v>
      </c>
      <c r="P78" s="256" t="str">
        <f t="shared" si="2"/>
        <v>-</v>
      </c>
      <c r="Q78" s="87"/>
      <c r="R78" s="87"/>
    </row>
    <row r="79" spans="3:18" x14ac:dyDescent="0.25">
      <c r="C79" s="233"/>
      <c r="D79" s="249"/>
      <c r="E79" s="238"/>
      <c r="F79" s="250" t="str">
        <f t="shared" si="0"/>
        <v>-</v>
      </c>
      <c r="G79" s="242"/>
      <c r="H79" s="251"/>
      <c r="I79" s="233"/>
      <c r="J79" s="252" t="str">
        <f>IFERROR(MIN('MP Calculations'!$E$29/I79,1),"-")</f>
        <v>-</v>
      </c>
      <c r="K79" s="257"/>
      <c r="L79" s="233"/>
      <c r="M79" s="233"/>
      <c r="N79" s="233"/>
      <c r="O79" s="255" t="str">
        <f t="shared" si="1"/>
        <v>-</v>
      </c>
      <c r="P79" s="256" t="str">
        <f t="shared" si="2"/>
        <v>-</v>
      </c>
      <c r="Q79" s="87"/>
      <c r="R79" s="87"/>
    </row>
    <row r="80" spans="3:18" x14ac:dyDescent="0.25">
      <c r="C80" s="233"/>
      <c r="D80" s="249"/>
      <c r="E80" s="238"/>
      <c r="F80" s="250" t="str">
        <f t="shared" si="0"/>
        <v>-</v>
      </c>
      <c r="G80" s="242"/>
      <c r="H80" s="251"/>
      <c r="I80" s="233"/>
      <c r="J80" s="252" t="str">
        <f>IFERROR(MIN('MP Calculations'!$E$29/I80,1),"-")</f>
        <v>-</v>
      </c>
      <c r="K80" s="257"/>
      <c r="L80" s="233"/>
      <c r="M80" s="233"/>
      <c r="N80" s="233"/>
      <c r="O80" s="255" t="str">
        <f t="shared" si="1"/>
        <v>-</v>
      </c>
      <c r="P80" s="256" t="str">
        <f t="shared" si="2"/>
        <v>-</v>
      </c>
      <c r="Q80" s="87"/>
      <c r="R80" s="87"/>
    </row>
    <row r="81" spans="3:18" x14ac:dyDescent="0.25">
      <c r="C81" s="233"/>
      <c r="D81" s="249"/>
      <c r="E81" s="238"/>
      <c r="F81" s="250" t="str">
        <f t="shared" si="0"/>
        <v>-</v>
      </c>
      <c r="G81" s="242"/>
      <c r="H81" s="251"/>
      <c r="I81" s="233"/>
      <c r="J81" s="252" t="str">
        <f>IFERROR(MIN('MP Calculations'!$E$29/I81,1),"-")</f>
        <v>-</v>
      </c>
      <c r="K81" s="257"/>
      <c r="L81" s="233"/>
      <c r="M81" s="233"/>
      <c r="N81" s="233"/>
      <c r="O81" s="255" t="str">
        <f t="shared" si="1"/>
        <v>-</v>
      </c>
      <c r="P81" s="256" t="str">
        <f t="shared" si="2"/>
        <v>-</v>
      </c>
      <c r="Q81" s="87"/>
      <c r="R81" s="87"/>
    </row>
    <row r="82" spans="3:18" x14ac:dyDescent="0.25">
      <c r="C82" s="233"/>
      <c r="D82" s="249"/>
      <c r="E82" s="238"/>
      <c r="F82" s="250" t="str">
        <f t="shared" si="0"/>
        <v>-</v>
      </c>
      <c r="G82" s="242"/>
      <c r="H82" s="251"/>
      <c r="I82" s="233"/>
      <c r="J82" s="252" t="str">
        <f>IFERROR(MIN('MP Calculations'!$E$29/I82,1),"-")</f>
        <v>-</v>
      </c>
      <c r="K82" s="257"/>
      <c r="L82" s="233"/>
      <c r="M82" s="233"/>
      <c r="N82" s="233"/>
      <c r="O82" s="255" t="str">
        <f t="shared" si="1"/>
        <v>-</v>
      </c>
      <c r="P82" s="256" t="str">
        <f t="shared" si="2"/>
        <v>-</v>
      </c>
      <c r="Q82" s="87"/>
      <c r="R82" s="87"/>
    </row>
    <row r="83" spans="3:18" x14ac:dyDescent="0.25">
      <c r="C83" s="233"/>
      <c r="D83" s="249"/>
      <c r="E83" s="238"/>
      <c r="F83" s="250" t="str">
        <f t="shared" si="0"/>
        <v>-</v>
      </c>
      <c r="G83" s="242"/>
      <c r="H83" s="251"/>
      <c r="I83" s="233"/>
      <c r="J83" s="252" t="str">
        <f>IFERROR(MIN('MP Calculations'!$E$29/I83,1),"-")</f>
        <v>-</v>
      </c>
      <c r="K83" s="257"/>
      <c r="L83" s="233"/>
      <c r="M83" s="233"/>
      <c r="N83" s="233"/>
      <c r="O83" s="255" t="str">
        <f t="shared" si="1"/>
        <v>-</v>
      </c>
      <c r="P83" s="256" t="str">
        <f t="shared" si="2"/>
        <v>-</v>
      </c>
      <c r="Q83" s="87"/>
      <c r="R83" s="87"/>
    </row>
    <row r="84" spans="3:18" x14ac:dyDescent="0.25">
      <c r="C84" s="233"/>
      <c r="D84" s="249"/>
      <c r="E84" s="238"/>
      <c r="F84" s="250" t="str">
        <f t="shared" si="0"/>
        <v>-</v>
      </c>
      <c r="G84" s="242"/>
      <c r="H84" s="251"/>
      <c r="I84" s="233"/>
      <c r="J84" s="252" t="str">
        <f>IFERROR(MIN('MP Calculations'!$E$29/I84,1),"-")</f>
        <v>-</v>
      </c>
      <c r="K84" s="257"/>
      <c r="L84" s="233"/>
      <c r="M84" s="233"/>
      <c r="N84" s="233"/>
      <c r="O84" s="255" t="str">
        <f t="shared" si="1"/>
        <v>-</v>
      </c>
      <c r="P84" s="256" t="str">
        <f t="shared" si="2"/>
        <v>-</v>
      </c>
      <c r="Q84" s="87"/>
      <c r="R84" s="87"/>
    </row>
    <row r="85" spans="3:18" x14ac:dyDescent="0.25">
      <c r="C85" s="233"/>
      <c r="D85" s="249"/>
      <c r="E85" s="238"/>
      <c r="F85" s="250" t="str">
        <f t="shared" si="0"/>
        <v>-</v>
      </c>
      <c r="G85" s="242"/>
      <c r="H85" s="251"/>
      <c r="I85" s="233"/>
      <c r="J85" s="252" t="str">
        <f>IFERROR(MIN('MP Calculations'!$E$29/I85,1),"-")</f>
        <v>-</v>
      </c>
      <c r="K85" s="257"/>
      <c r="L85" s="233"/>
      <c r="M85" s="233"/>
      <c r="N85" s="233"/>
      <c r="O85" s="255" t="str">
        <f t="shared" si="1"/>
        <v>-</v>
      </c>
      <c r="P85" s="256" t="str">
        <f t="shared" si="2"/>
        <v>-</v>
      </c>
      <c r="Q85" s="87"/>
      <c r="R85" s="87"/>
    </row>
    <row r="86" spans="3:18" x14ac:dyDescent="0.25">
      <c r="C86" s="233"/>
      <c r="D86" s="249"/>
      <c r="E86" s="238"/>
      <c r="F86" s="250" t="str">
        <f t="shared" si="0"/>
        <v>-</v>
      </c>
      <c r="G86" s="242"/>
      <c r="H86" s="251"/>
      <c r="I86" s="233"/>
      <c r="J86" s="252" t="str">
        <f>IFERROR(MIN('MP Calculations'!$E$29/I86,1),"-")</f>
        <v>-</v>
      </c>
      <c r="K86" s="257"/>
      <c r="L86" s="233"/>
      <c r="M86" s="233"/>
      <c r="N86" s="233"/>
      <c r="O86" s="255" t="str">
        <f t="shared" si="1"/>
        <v>-</v>
      </c>
      <c r="P86" s="256" t="str">
        <f t="shared" si="2"/>
        <v>-</v>
      </c>
      <c r="Q86" s="87"/>
      <c r="R86" s="87"/>
    </row>
    <row r="87" spans="3:18" x14ac:dyDescent="0.25">
      <c r="C87" s="233"/>
      <c r="D87" s="249"/>
      <c r="E87" s="238"/>
      <c r="F87" s="250" t="str">
        <f t="shared" ref="F87:F218" si="3">IF(E87="","-",IF(OR(E87&lt;$E$15,E87&gt;$E$16),"ERROR - date outside of range","Date check - OK"))</f>
        <v>-</v>
      </c>
      <c r="G87" s="242"/>
      <c r="H87" s="251"/>
      <c r="I87" s="233"/>
      <c r="J87" s="252" t="str">
        <f>IFERROR(MIN('MP Calculations'!$E$29/I87,1),"-")</f>
        <v>-</v>
      </c>
      <c r="K87" s="257"/>
      <c r="L87" s="233"/>
      <c r="M87" s="233"/>
      <c r="N87" s="233"/>
      <c r="O87" s="255" t="str">
        <f t="shared" ref="O87:O150" si="4">IF(N87="","-",L87*N87)</f>
        <v>-</v>
      </c>
      <c r="P87" s="256" t="str">
        <f t="shared" ref="P87:P218" si="5">IF(O87="-","-",IF(OR(E87&lt;$E$15,E87&gt;$E$16),0,O87*J87))</f>
        <v>-</v>
      </c>
      <c r="Q87" s="87"/>
      <c r="R87" s="87"/>
    </row>
    <row r="88" spans="3:18" x14ac:dyDescent="0.25">
      <c r="C88" s="233"/>
      <c r="D88" s="249"/>
      <c r="E88" s="238"/>
      <c r="F88" s="250" t="str">
        <f t="shared" si="3"/>
        <v>-</v>
      </c>
      <c r="G88" s="242"/>
      <c r="H88" s="251"/>
      <c r="I88" s="233"/>
      <c r="J88" s="252" t="str">
        <f>IFERROR(MIN('MP Calculations'!$E$29/I88,1),"-")</f>
        <v>-</v>
      </c>
      <c r="K88" s="257"/>
      <c r="L88" s="233"/>
      <c r="M88" s="233"/>
      <c r="N88" s="233"/>
      <c r="O88" s="255" t="str">
        <f t="shared" si="4"/>
        <v>-</v>
      </c>
      <c r="P88" s="256" t="str">
        <f t="shared" si="5"/>
        <v>-</v>
      </c>
      <c r="Q88" s="87"/>
      <c r="R88" s="87"/>
    </row>
    <row r="89" spans="3:18" x14ac:dyDescent="0.25">
      <c r="C89" s="233"/>
      <c r="D89" s="249"/>
      <c r="E89" s="238"/>
      <c r="F89" s="250" t="str">
        <f t="shared" si="3"/>
        <v>-</v>
      </c>
      <c r="G89" s="242"/>
      <c r="H89" s="251"/>
      <c r="I89" s="233"/>
      <c r="J89" s="252" t="str">
        <f>IFERROR(MIN('MP Calculations'!$E$29/I89,1),"-")</f>
        <v>-</v>
      </c>
      <c r="K89" s="257"/>
      <c r="L89" s="233"/>
      <c r="M89" s="233"/>
      <c r="N89" s="233"/>
      <c r="O89" s="255" t="str">
        <f t="shared" si="4"/>
        <v>-</v>
      </c>
      <c r="P89" s="256" t="str">
        <f t="shared" si="5"/>
        <v>-</v>
      </c>
      <c r="Q89" s="87"/>
      <c r="R89" s="87"/>
    </row>
    <row r="90" spans="3:18" x14ac:dyDescent="0.25">
      <c r="C90" s="233"/>
      <c r="D90" s="249"/>
      <c r="E90" s="238"/>
      <c r="F90" s="250" t="str">
        <f t="shared" si="3"/>
        <v>-</v>
      </c>
      <c r="G90" s="242"/>
      <c r="H90" s="251"/>
      <c r="I90" s="233"/>
      <c r="J90" s="252" t="str">
        <f>IFERROR(MIN('MP Calculations'!$E$29/I90,1),"-")</f>
        <v>-</v>
      </c>
      <c r="K90" s="257"/>
      <c r="L90" s="233"/>
      <c r="M90" s="233"/>
      <c r="N90" s="233"/>
      <c r="O90" s="255" t="str">
        <f t="shared" si="4"/>
        <v>-</v>
      </c>
      <c r="P90" s="256" t="str">
        <f t="shared" si="5"/>
        <v>-</v>
      </c>
      <c r="Q90" s="87"/>
      <c r="R90" s="87"/>
    </row>
    <row r="91" spans="3:18" x14ac:dyDescent="0.25">
      <c r="C91" s="233"/>
      <c r="D91" s="249"/>
      <c r="E91" s="238"/>
      <c r="F91" s="250" t="str">
        <f t="shared" si="3"/>
        <v>-</v>
      </c>
      <c r="G91" s="242"/>
      <c r="H91" s="251"/>
      <c r="I91" s="233"/>
      <c r="J91" s="252" t="str">
        <f>IFERROR(MIN('MP Calculations'!$E$29/I91,1),"-")</f>
        <v>-</v>
      </c>
      <c r="K91" s="257"/>
      <c r="L91" s="233"/>
      <c r="M91" s="233"/>
      <c r="N91" s="233"/>
      <c r="O91" s="255" t="str">
        <f t="shared" si="4"/>
        <v>-</v>
      </c>
      <c r="P91" s="256" t="str">
        <f t="shared" si="5"/>
        <v>-</v>
      </c>
      <c r="Q91" s="87"/>
      <c r="R91" s="87"/>
    </row>
    <row r="92" spans="3:18" x14ac:dyDescent="0.25">
      <c r="C92" s="233"/>
      <c r="D92" s="249"/>
      <c r="E92" s="238"/>
      <c r="F92" s="250" t="str">
        <f t="shared" si="3"/>
        <v>-</v>
      </c>
      <c r="G92" s="242"/>
      <c r="H92" s="251"/>
      <c r="I92" s="233"/>
      <c r="J92" s="252" t="str">
        <f>IFERROR(MIN('MP Calculations'!$E$29/I92,1),"-")</f>
        <v>-</v>
      </c>
      <c r="K92" s="257"/>
      <c r="L92" s="233"/>
      <c r="M92" s="233"/>
      <c r="N92" s="233"/>
      <c r="O92" s="255" t="str">
        <f t="shared" si="4"/>
        <v>-</v>
      </c>
      <c r="P92" s="256" t="str">
        <f t="shared" si="5"/>
        <v>-</v>
      </c>
      <c r="Q92" s="87"/>
      <c r="R92" s="87"/>
    </row>
    <row r="93" spans="3:18" x14ac:dyDescent="0.25">
      <c r="C93" s="233"/>
      <c r="D93" s="249"/>
      <c r="E93" s="238"/>
      <c r="F93" s="250" t="str">
        <f t="shared" si="3"/>
        <v>-</v>
      </c>
      <c r="G93" s="242"/>
      <c r="H93" s="251"/>
      <c r="I93" s="233"/>
      <c r="J93" s="252" t="str">
        <f>IFERROR(MIN('MP Calculations'!$E$29/I93,1),"-")</f>
        <v>-</v>
      </c>
      <c r="K93" s="257"/>
      <c r="L93" s="233"/>
      <c r="M93" s="233"/>
      <c r="N93" s="233"/>
      <c r="O93" s="255" t="str">
        <f t="shared" si="4"/>
        <v>-</v>
      </c>
      <c r="P93" s="256" t="str">
        <f t="shared" si="5"/>
        <v>-</v>
      </c>
      <c r="Q93" s="87"/>
      <c r="R93" s="87"/>
    </row>
    <row r="94" spans="3:18" x14ac:dyDescent="0.25">
      <c r="C94" s="233"/>
      <c r="D94" s="249"/>
      <c r="E94" s="238"/>
      <c r="F94" s="250" t="str">
        <f t="shared" si="3"/>
        <v>-</v>
      </c>
      <c r="G94" s="242"/>
      <c r="H94" s="251"/>
      <c r="I94" s="233"/>
      <c r="J94" s="252" t="str">
        <f>IFERROR(MIN('MP Calculations'!$E$29/I94,1),"-")</f>
        <v>-</v>
      </c>
      <c r="K94" s="257"/>
      <c r="L94" s="233"/>
      <c r="M94" s="233"/>
      <c r="N94" s="233"/>
      <c r="O94" s="255" t="str">
        <f t="shared" si="4"/>
        <v>-</v>
      </c>
      <c r="P94" s="256" t="str">
        <f t="shared" si="5"/>
        <v>-</v>
      </c>
      <c r="Q94" s="87"/>
      <c r="R94" s="87"/>
    </row>
    <row r="95" spans="3:18" x14ac:dyDescent="0.25">
      <c r="C95" s="233"/>
      <c r="D95" s="249"/>
      <c r="E95" s="238"/>
      <c r="F95" s="250" t="str">
        <f t="shared" si="3"/>
        <v>-</v>
      </c>
      <c r="G95" s="242"/>
      <c r="H95" s="251"/>
      <c r="I95" s="233"/>
      <c r="J95" s="252" t="str">
        <f>IFERROR(MIN('MP Calculations'!$E$29/I95,1),"-")</f>
        <v>-</v>
      </c>
      <c r="K95" s="257"/>
      <c r="L95" s="233"/>
      <c r="M95" s="233"/>
      <c r="N95" s="233"/>
      <c r="O95" s="255" t="str">
        <f t="shared" si="4"/>
        <v>-</v>
      </c>
      <c r="P95" s="256" t="str">
        <f t="shared" si="5"/>
        <v>-</v>
      </c>
      <c r="Q95" s="87"/>
      <c r="R95" s="87"/>
    </row>
    <row r="96" spans="3:18" x14ac:dyDescent="0.25">
      <c r="C96" s="233"/>
      <c r="D96" s="249"/>
      <c r="E96" s="238"/>
      <c r="F96" s="250" t="str">
        <f t="shared" si="3"/>
        <v>-</v>
      </c>
      <c r="G96" s="242"/>
      <c r="H96" s="251"/>
      <c r="I96" s="233"/>
      <c r="J96" s="252" t="str">
        <f>IFERROR(MIN('MP Calculations'!$E$29/I96,1),"-")</f>
        <v>-</v>
      </c>
      <c r="K96" s="257"/>
      <c r="L96" s="233"/>
      <c r="M96" s="233"/>
      <c r="N96" s="233"/>
      <c r="O96" s="255" t="str">
        <f t="shared" si="4"/>
        <v>-</v>
      </c>
      <c r="P96" s="256" t="str">
        <f t="shared" si="5"/>
        <v>-</v>
      </c>
      <c r="Q96" s="87"/>
      <c r="R96" s="87"/>
    </row>
    <row r="97" spans="3:18" x14ac:dyDescent="0.25">
      <c r="C97" s="233"/>
      <c r="D97" s="249"/>
      <c r="E97" s="238"/>
      <c r="F97" s="250" t="str">
        <f t="shared" si="3"/>
        <v>-</v>
      </c>
      <c r="G97" s="242"/>
      <c r="H97" s="251"/>
      <c r="I97" s="233"/>
      <c r="J97" s="252" t="str">
        <f>IFERROR(MIN('MP Calculations'!$E$29/I97,1),"-")</f>
        <v>-</v>
      </c>
      <c r="K97" s="257"/>
      <c r="L97" s="233"/>
      <c r="M97" s="233"/>
      <c r="N97" s="233"/>
      <c r="O97" s="255" t="str">
        <f t="shared" si="4"/>
        <v>-</v>
      </c>
      <c r="P97" s="256" t="str">
        <f t="shared" si="5"/>
        <v>-</v>
      </c>
      <c r="Q97" s="87"/>
      <c r="R97" s="87"/>
    </row>
    <row r="98" spans="3:18" x14ac:dyDescent="0.25">
      <c r="C98" s="233"/>
      <c r="D98" s="249"/>
      <c r="E98" s="238"/>
      <c r="F98" s="250" t="str">
        <f t="shared" si="3"/>
        <v>-</v>
      </c>
      <c r="G98" s="242"/>
      <c r="H98" s="251"/>
      <c r="I98" s="233"/>
      <c r="J98" s="252" t="str">
        <f>IFERROR(MIN('MP Calculations'!$E$29/I98,1),"-")</f>
        <v>-</v>
      </c>
      <c r="K98" s="257"/>
      <c r="L98" s="233"/>
      <c r="M98" s="233"/>
      <c r="N98" s="233"/>
      <c r="O98" s="255" t="str">
        <f t="shared" si="4"/>
        <v>-</v>
      </c>
      <c r="P98" s="256" t="str">
        <f t="shared" si="5"/>
        <v>-</v>
      </c>
      <c r="Q98" s="87"/>
      <c r="R98" s="87"/>
    </row>
    <row r="99" spans="3:18" x14ac:dyDescent="0.25">
      <c r="C99" s="233"/>
      <c r="D99" s="249"/>
      <c r="E99" s="238"/>
      <c r="F99" s="250" t="str">
        <f t="shared" si="3"/>
        <v>-</v>
      </c>
      <c r="G99" s="242"/>
      <c r="H99" s="251"/>
      <c r="I99" s="233"/>
      <c r="J99" s="252" t="str">
        <f>IFERROR(MIN('MP Calculations'!$E$29/I99,1),"-")</f>
        <v>-</v>
      </c>
      <c r="K99" s="257"/>
      <c r="L99" s="233"/>
      <c r="M99" s="233"/>
      <c r="N99" s="233"/>
      <c r="O99" s="255" t="str">
        <f t="shared" si="4"/>
        <v>-</v>
      </c>
      <c r="P99" s="256" t="str">
        <f t="shared" si="5"/>
        <v>-</v>
      </c>
      <c r="Q99" s="87"/>
      <c r="R99" s="87"/>
    </row>
    <row r="100" spans="3:18" x14ac:dyDescent="0.25">
      <c r="C100" s="233"/>
      <c r="D100" s="249"/>
      <c r="E100" s="238"/>
      <c r="F100" s="250" t="str">
        <f t="shared" si="3"/>
        <v>-</v>
      </c>
      <c r="G100" s="242"/>
      <c r="H100" s="251"/>
      <c r="I100" s="233"/>
      <c r="J100" s="252" t="str">
        <f>IFERROR(MIN('MP Calculations'!$E$29/I100,1),"-")</f>
        <v>-</v>
      </c>
      <c r="K100" s="257"/>
      <c r="L100" s="233"/>
      <c r="M100" s="233"/>
      <c r="N100" s="233"/>
      <c r="O100" s="255" t="str">
        <f t="shared" si="4"/>
        <v>-</v>
      </c>
      <c r="P100" s="256" t="str">
        <f t="shared" si="5"/>
        <v>-</v>
      </c>
      <c r="Q100" s="87"/>
      <c r="R100" s="87"/>
    </row>
    <row r="101" spans="3:18" x14ac:dyDescent="0.25">
      <c r="C101" s="233"/>
      <c r="D101" s="249"/>
      <c r="E101" s="238"/>
      <c r="F101" s="250" t="str">
        <f t="shared" si="3"/>
        <v>-</v>
      </c>
      <c r="G101" s="242"/>
      <c r="H101" s="251"/>
      <c r="I101" s="233"/>
      <c r="J101" s="252" t="str">
        <f>IFERROR(MIN('MP Calculations'!$E$29/I101,1),"-")</f>
        <v>-</v>
      </c>
      <c r="K101" s="257"/>
      <c r="L101" s="233"/>
      <c r="M101" s="233"/>
      <c r="N101" s="233"/>
      <c r="O101" s="255" t="str">
        <f t="shared" si="4"/>
        <v>-</v>
      </c>
      <c r="P101" s="256" t="str">
        <f t="shared" si="5"/>
        <v>-</v>
      </c>
      <c r="Q101" s="87"/>
      <c r="R101" s="87"/>
    </row>
    <row r="102" spans="3:18" x14ac:dyDescent="0.25">
      <c r="C102" s="233"/>
      <c r="D102" s="249"/>
      <c r="E102" s="238"/>
      <c r="F102" s="250" t="str">
        <f t="shared" si="3"/>
        <v>-</v>
      </c>
      <c r="G102" s="242"/>
      <c r="H102" s="251"/>
      <c r="I102" s="233"/>
      <c r="J102" s="252" t="str">
        <f>IFERROR(MIN('MP Calculations'!$E$29/I102,1),"-")</f>
        <v>-</v>
      </c>
      <c r="K102" s="257"/>
      <c r="L102" s="233"/>
      <c r="M102" s="233"/>
      <c r="N102" s="233"/>
      <c r="O102" s="255" t="str">
        <f t="shared" si="4"/>
        <v>-</v>
      </c>
      <c r="P102" s="256" t="str">
        <f t="shared" si="5"/>
        <v>-</v>
      </c>
      <c r="Q102" s="87"/>
      <c r="R102" s="87"/>
    </row>
    <row r="103" spans="3:18" x14ac:dyDescent="0.25">
      <c r="C103" s="233"/>
      <c r="D103" s="249"/>
      <c r="E103" s="238"/>
      <c r="F103" s="250" t="str">
        <f t="shared" si="3"/>
        <v>-</v>
      </c>
      <c r="G103" s="242"/>
      <c r="H103" s="251"/>
      <c r="I103" s="233"/>
      <c r="J103" s="252" t="str">
        <f>IFERROR(MIN('MP Calculations'!$E$29/I103,1),"-")</f>
        <v>-</v>
      </c>
      <c r="K103" s="257"/>
      <c r="L103" s="233"/>
      <c r="M103" s="233"/>
      <c r="N103" s="233"/>
      <c r="O103" s="255" t="str">
        <f t="shared" si="4"/>
        <v>-</v>
      </c>
      <c r="P103" s="256" t="str">
        <f t="shared" si="5"/>
        <v>-</v>
      </c>
      <c r="Q103" s="87"/>
      <c r="R103" s="87"/>
    </row>
    <row r="104" spans="3:18" x14ac:dyDescent="0.25">
      <c r="C104" s="233"/>
      <c r="D104" s="249"/>
      <c r="E104" s="238"/>
      <c r="F104" s="250" t="str">
        <f t="shared" si="3"/>
        <v>-</v>
      </c>
      <c r="G104" s="242"/>
      <c r="H104" s="251"/>
      <c r="I104" s="233"/>
      <c r="J104" s="252" t="str">
        <f>IFERROR(MIN('MP Calculations'!$E$29/I104,1),"-")</f>
        <v>-</v>
      </c>
      <c r="K104" s="257"/>
      <c r="L104" s="233"/>
      <c r="M104" s="233"/>
      <c r="N104" s="233"/>
      <c r="O104" s="255" t="str">
        <f t="shared" si="4"/>
        <v>-</v>
      </c>
      <c r="P104" s="256" t="str">
        <f t="shared" si="5"/>
        <v>-</v>
      </c>
      <c r="Q104" s="87"/>
      <c r="R104" s="87"/>
    </row>
    <row r="105" spans="3:18" x14ac:dyDescent="0.25">
      <c r="C105" s="233"/>
      <c r="D105" s="249"/>
      <c r="E105" s="238"/>
      <c r="F105" s="250" t="str">
        <f t="shared" si="3"/>
        <v>-</v>
      </c>
      <c r="G105" s="242"/>
      <c r="H105" s="251"/>
      <c r="I105" s="233"/>
      <c r="J105" s="252" t="str">
        <f>IFERROR(MIN('MP Calculations'!$E$29/I105,1),"-")</f>
        <v>-</v>
      </c>
      <c r="K105" s="257"/>
      <c r="L105" s="233"/>
      <c r="M105" s="233"/>
      <c r="N105" s="233"/>
      <c r="O105" s="255" t="str">
        <f t="shared" si="4"/>
        <v>-</v>
      </c>
      <c r="P105" s="256" t="str">
        <f t="shared" si="5"/>
        <v>-</v>
      </c>
      <c r="Q105" s="87"/>
      <c r="R105" s="87"/>
    </row>
    <row r="106" spans="3:18" x14ac:dyDescent="0.25">
      <c r="C106" s="233"/>
      <c r="D106" s="249"/>
      <c r="E106" s="238"/>
      <c r="F106" s="250" t="str">
        <f t="shared" si="3"/>
        <v>-</v>
      </c>
      <c r="G106" s="242"/>
      <c r="H106" s="251"/>
      <c r="I106" s="233"/>
      <c r="J106" s="252" t="str">
        <f>IFERROR(MIN('MP Calculations'!$E$29/I106,1),"-")</f>
        <v>-</v>
      </c>
      <c r="K106" s="257"/>
      <c r="L106" s="233"/>
      <c r="M106" s="233"/>
      <c r="N106" s="233"/>
      <c r="O106" s="255" t="str">
        <f t="shared" si="4"/>
        <v>-</v>
      </c>
      <c r="P106" s="256" t="str">
        <f t="shared" si="5"/>
        <v>-</v>
      </c>
      <c r="Q106" s="87"/>
      <c r="R106" s="87"/>
    </row>
    <row r="107" spans="3:18" x14ac:dyDescent="0.25">
      <c r="C107" s="233"/>
      <c r="D107" s="249"/>
      <c r="E107" s="238"/>
      <c r="F107" s="250" t="str">
        <f t="shared" si="3"/>
        <v>-</v>
      </c>
      <c r="G107" s="242"/>
      <c r="H107" s="251"/>
      <c r="I107" s="233"/>
      <c r="J107" s="252" t="str">
        <f>IFERROR(MIN('MP Calculations'!$E$29/I107,1),"-")</f>
        <v>-</v>
      </c>
      <c r="K107" s="257"/>
      <c r="L107" s="233"/>
      <c r="M107" s="233"/>
      <c r="N107" s="233"/>
      <c r="O107" s="255" t="str">
        <f t="shared" si="4"/>
        <v>-</v>
      </c>
      <c r="P107" s="256" t="str">
        <f t="shared" si="5"/>
        <v>-</v>
      </c>
      <c r="Q107" s="87"/>
      <c r="R107" s="87"/>
    </row>
    <row r="108" spans="3:18" x14ac:dyDescent="0.25">
      <c r="C108" s="233"/>
      <c r="D108" s="249"/>
      <c r="E108" s="238"/>
      <c r="F108" s="250" t="str">
        <f t="shared" si="3"/>
        <v>-</v>
      </c>
      <c r="G108" s="242"/>
      <c r="H108" s="251"/>
      <c r="I108" s="233"/>
      <c r="J108" s="252" t="str">
        <f>IFERROR(MIN('MP Calculations'!$E$29/I108,1),"-")</f>
        <v>-</v>
      </c>
      <c r="K108" s="257"/>
      <c r="L108" s="233"/>
      <c r="M108" s="233"/>
      <c r="N108" s="233"/>
      <c r="O108" s="255" t="str">
        <f t="shared" si="4"/>
        <v>-</v>
      </c>
      <c r="P108" s="256" t="str">
        <f t="shared" si="5"/>
        <v>-</v>
      </c>
      <c r="Q108" s="87"/>
      <c r="R108" s="87"/>
    </row>
    <row r="109" spans="3:18" x14ac:dyDescent="0.25">
      <c r="C109" s="233"/>
      <c r="D109" s="249"/>
      <c r="E109" s="238"/>
      <c r="F109" s="250" t="str">
        <f t="shared" si="3"/>
        <v>-</v>
      </c>
      <c r="G109" s="242"/>
      <c r="H109" s="251"/>
      <c r="I109" s="233"/>
      <c r="J109" s="252" t="str">
        <f>IFERROR(MIN('MP Calculations'!$E$29/I109,1),"-")</f>
        <v>-</v>
      </c>
      <c r="K109" s="257"/>
      <c r="L109" s="233"/>
      <c r="M109" s="233"/>
      <c r="N109" s="233"/>
      <c r="O109" s="255" t="str">
        <f t="shared" si="4"/>
        <v>-</v>
      </c>
      <c r="P109" s="256" t="str">
        <f t="shared" si="5"/>
        <v>-</v>
      </c>
      <c r="Q109" s="87"/>
      <c r="R109" s="87"/>
    </row>
    <row r="110" spans="3:18" x14ac:dyDescent="0.25">
      <c r="C110" s="233"/>
      <c r="D110" s="249"/>
      <c r="E110" s="238"/>
      <c r="F110" s="250" t="str">
        <f t="shared" si="3"/>
        <v>-</v>
      </c>
      <c r="G110" s="242"/>
      <c r="H110" s="251"/>
      <c r="I110" s="233"/>
      <c r="J110" s="252" t="str">
        <f>IFERROR(MIN('MP Calculations'!$E$29/I110,1),"-")</f>
        <v>-</v>
      </c>
      <c r="K110" s="257"/>
      <c r="L110" s="233"/>
      <c r="M110" s="233"/>
      <c r="N110" s="233"/>
      <c r="O110" s="255" t="str">
        <f t="shared" si="4"/>
        <v>-</v>
      </c>
      <c r="P110" s="256" t="str">
        <f t="shared" si="5"/>
        <v>-</v>
      </c>
      <c r="Q110" s="87"/>
      <c r="R110" s="87"/>
    </row>
    <row r="111" spans="3:18" x14ac:dyDescent="0.25">
      <c r="C111" s="233"/>
      <c r="D111" s="249"/>
      <c r="E111" s="238"/>
      <c r="F111" s="250" t="str">
        <f t="shared" si="3"/>
        <v>-</v>
      </c>
      <c r="G111" s="242"/>
      <c r="H111" s="251"/>
      <c r="I111" s="233"/>
      <c r="J111" s="252" t="str">
        <f>IFERROR(MIN('MP Calculations'!$E$29/I111,1),"-")</f>
        <v>-</v>
      </c>
      <c r="K111" s="257"/>
      <c r="L111" s="233"/>
      <c r="M111" s="233"/>
      <c r="N111" s="233"/>
      <c r="O111" s="255" t="str">
        <f t="shared" si="4"/>
        <v>-</v>
      </c>
      <c r="P111" s="256" t="str">
        <f t="shared" si="5"/>
        <v>-</v>
      </c>
      <c r="Q111" s="87"/>
      <c r="R111" s="87"/>
    </row>
    <row r="112" spans="3:18" x14ac:dyDescent="0.25">
      <c r="C112" s="233"/>
      <c r="D112" s="249"/>
      <c r="E112" s="238"/>
      <c r="F112" s="250" t="str">
        <f t="shared" si="3"/>
        <v>-</v>
      </c>
      <c r="G112" s="242"/>
      <c r="H112" s="251"/>
      <c r="I112" s="233"/>
      <c r="J112" s="252" t="str">
        <f>IFERROR(MIN('MP Calculations'!$E$29/I112,1),"-")</f>
        <v>-</v>
      </c>
      <c r="K112" s="257"/>
      <c r="L112" s="233"/>
      <c r="M112" s="233"/>
      <c r="N112" s="233"/>
      <c r="O112" s="255" t="str">
        <f t="shared" si="4"/>
        <v>-</v>
      </c>
      <c r="P112" s="256" t="str">
        <f t="shared" si="5"/>
        <v>-</v>
      </c>
      <c r="Q112" s="87"/>
      <c r="R112" s="87"/>
    </row>
    <row r="113" spans="3:18" x14ac:dyDescent="0.25">
      <c r="C113" s="233"/>
      <c r="D113" s="249"/>
      <c r="E113" s="238"/>
      <c r="F113" s="250" t="str">
        <f t="shared" si="3"/>
        <v>-</v>
      </c>
      <c r="G113" s="242"/>
      <c r="H113" s="251"/>
      <c r="I113" s="233"/>
      <c r="J113" s="252" t="str">
        <f>IFERROR(MIN('MP Calculations'!$E$29/I113,1),"-")</f>
        <v>-</v>
      </c>
      <c r="K113" s="257"/>
      <c r="L113" s="233"/>
      <c r="M113" s="233"/>
      <c r="N113" s="233"/>
      <c r="O113" s="255" t="str">
        <f t="shared" si="4"/>
        <v>-</v>
      </c>
      <c r="P113" s="256" t="str">
        <f t="shared" si="5"/>
        <v>-</v>
      </c>
      <c r="Q113" s="87"/>
      <c r="R113" s="87"/>
    </row>
    <row r="114" spans="3:18" x14ac:dyDescent="0.25">
      <c r="C114" s="233"/>
      <c r="D114" s="249"/>
      <c r="E114" s="238"/>
      <c r="F114" s="250" t="str">
        <f t="shared" si="3"/>
        <v>-</v>
      </c>
      <c r="G114" s="242"/>
      <c r="H114" s="251"/>
      <c r="I114" s="233"/>
      <c r="J114" s="252" t="str">
        <f>IFERROR(MIN('MP Calculations'!$E$29/I114,1),"-")</f>
        <v>-</v>
      </c>
      <c r="K114" s="257"/>
      <c r="L114" s="233"/>
      <c r="M114" s="233"/>
      <c r="N114" s="233"/>
      <c r="O114" s="255" t="str">
        <f t="shared" si="4"/>
        <v>-</v>
      </c>
      <c r="P114" s="256" t="str">
        <f t="shared" si="5"/>
        <v>-</v>
      </c>
      <c r="Q114" s="87"/>
      <c r="R114" s="87"/>
    </row>
    <row r="115" spans="3:18" x14ac:dyDescent="0.25">
      <c r="C115" s="233"/>
      <c r="D115" s="249"/>
      <c r="E115" s="238"/>
      <c r="F115" s="250" t="str">
        <f t="shared" si="3"/>
        <v>-</v>
      </c>
      <c r="G115" s="242"/>
      <c r="H115" s="251"/>
      <c r="I115" s="233"/>
      <c r="J115" s="252" t="str">
        <f>IFERROR(MIN('MP Calculations'!$E$29/I115,1),"-")</f>
        <v>-</v>
      </c>
      <c r="K115" s="257"/>
      <c r="L115" s="233"/>
      <c r="M115" s="233"/>
      <c r="N115" s="233"/>
      <c r="O115" s="255" t="str">
        <f t="shared" si="4"/>
        <v>-</v>
      </c>
      <c r="P115" s="256" t="str">
        <f t="shared" si="5"/>
        <v>-</v>
      </c>
      <c r="Q115" s="87"/>
      <c r="R115" s="87"/>
    </row>
    <row r="116" spans="3:18" x14ac:dyDescent="0.25">
      <c r="C116" s="233"/>
      <c r="D116" s="249"/>
      <c r="E116" s="238"/>
      <c r="F116" s="250" t="str">
        <f t="shared" si="3"/>
        <v>-</v>
      </c>
      <c r="G116" s="242"/>
      <c r="H116" s="251"/>
      <c r="I116" s="233"/>
      <c r="J116" s="252" t="str">
        <f>IFERROR(MIN('MP Calculations'!$E$29/I116,1),"-")</f>
        <v>-</v>
      </c>
      <c r="K116" s="257"/>
      <c r="L116" s="233"/>
      <c r="M116" s="233"/>
      <c r="N116" s="233"/>
      <c r="O116" s="255" t="str">
        <f t="shared" si="4"/>
        <v>-</v>
      </c>
      <c r="P116" s="256" t="str">
        <f t="shared" si="5"/>
        <v>-</v>
      </c>
      <c r="Q116" s="87"/>
      <c r="R116" s="87"/>
    </row>
    <row r="117" spans="3:18" x14ac:dyDescent="0.25">
      <c r="C117" s="233"/>
      <c r="D117" s="249"/>
      <c r="E117" s="238"/>
      <c r="F117" s="250" t="str">
        <f t="shared" si="3"/>
        <v>-</v>
      </c>
      <c r="G117" s="242"/>
      <c r="H117" s="251"/>
      <c r="I117" s="233"/>
      <c r="J117" s="252" t="str">
        <f>IFERROR(MIN('MP Calculations'!$E$29/I117,1),"-")</f>
        <v>-</v>
      </c>
      <c r="K117" s="257"/>
      <c r="L117" s="233"/>
      <c r="M117" s="233"/>
      <c r="N117" s="233"/>
      <c r="O117" s="255" t="str">
        <f t="shared" si="4"/>
        <v>-</v>
      </c>
      <c r="P117" s="256" t="str">
        <f t="shared" si="5"/>
        <v>-</v>
      </c>
      <c r="Q117" s="87"/>
      <c r="R117" s="87"/>
    </row>
    <row r="118" spans="3:18" x14ac:dyDescent="0.25">
      <c r="C118" s="233"/>
      <c r="D118" s="249"/>
      <c r="E118" s="238"/>
      <c r="F118" s="250" t="str">
        <f t="shared" si="3"/>
        <v>-</v>
      </c>
      <c r="G118" s="242"/>
      <c r="H118" s="251"/>
      <c r="I118" s="233"/>
      <c r="J118" s="252" t="str">
        <f>IFERROR(MIN('MP Calculations'!$E$29/I118,1),"-")</f>
        <v>-</v>
      </c>
      <c r="K118" s="257"/>
      <c r="L118" s="233"/>
      <c r="M118" s="233"/>
      <c r="N118" s="233"/>
      <c r="O118" s="255" t="str">
        <f t="shared" si="4"/>
        <v>-</v>
      </c>
      <c r="P118" s="256" t="str">
        <f t="shared" si="5"/>
        <v>-</v>
      </c>
      <c r="Q118" s="87"/>
      <c r="R118" s="87"/>
    </row>
    <row r="119" spans="3:18" x14ac:dyDescent="0.25">
      <c r="C119" s="233"/>
      <c r="D119" s="249"/>
      <c r="E119" s="238"/>
      <c r="F119" s="250" t="str">
        <f t="shared" si="3"/>
        <v>-</v>
      </c>
      <c r="G119" s="242"/>
      <c r="H119" s="251"/>
      <c r="I119" s="233"/>
      <c r="J119" s="252" t="str">
        <f>IFERROR(MIN('MP Calculations'!$E$29/I119,1),"-")</f>
        <v>-</v>
      </c>
      <c r="K119" s="257"/>
      <c r="L119" s="233"/>
      <c r="M119" s="233"/>
      <c r="N119" s="233"/>
      <c r="O119" s="255" t="str">
        <f t="shared" si="4"/>
        <v>-</v>
      </c>
      <c r="P119" s="256" t="str">
        <f t="shared" si="5"/>
        <v>-</v>
      </c>
      <c r="Q119" s="87"/>
      <c r="R119" s="87"/>
    </row>
    <row r="120" spans="3:18" x14ac:dyDescent="0.25">
      <c r="C120" s="233"/>
      <c r="D120" s="249"/>
      <c r="E120" s="238"/>
      <c r="F120" s="250" t="str">
        <f t="shared" ref="F120:F183" si="6">IF(E120="","-",IF(OR(E120&lt;$E$15,E120&gt;$E$16),"ERROR - date outside of range","Date check - OK"))</f>
        <v>-</v>
      </c>
      <c r="G120" s="242"/>
      <c r="H120" s="251"/>
      <c r="I120" s="233"/>
      <c r="J120" s="252" t="str">
        <f>IFERROR(MIN('MP Calculations'!$E$29/I120,1),"-")</f>
        <v>-</v>
      </c>
      <c r="K120" s="257"/>
      <c r="L120" s="233"/>
      <c r="M120" s="233"/>
      <c r="N120" s="233"/>
      <c r="O120" s="255" t="str">
        <f t="shared" si="4"/>
        <v>-</v>
      </c>
      <c r="P120" s="256" t="str">
        <f t="shared" ref="P120:P183" si="7">IF(O120="-","-",IF(OR(E120&lt;$E$15,E120&gt;$E$16),0,O120*J120))</f>
        <v>-</v>
      </c>
      <c r="Q120" s="87"/>
      <c r="R120" s="87"/>
    </row>
    <row r="121" spans="3:18" x14ac:dyDescent="0.25">
      <c r="C121" s="233"/>
      <c r="D121" s="249"/>
      <c r="E121" s="238"/>
      <c r="F121" s="250" t="str">
        <f t="shared" si="6"/>
        <v>-</v>
      </c>
      <c r="G121" s="242"/>
      <c r="H121" s="251"/>
      <c r="I121" s="233"/>
      <c r="J121" s="252" t="str">
        <f>IFERROR(MIN('MP Calculations'!$E$29/I121,1),"-")</f>
        <v>-</v>
      </c>
      <c r="K121" s="257"/>
      <c r="L121" s="233"/>
      <c r="M121" s="233"/>
      <c r="N121" s="233"/>
      <c r="O121" s="255" t="str">
        <f t="shared" si="4"/>
        <v>-</v>
      </c>
      <c r="P121" s="256" t="str">
        <f t="shared" si="7"/>
        <v>-</v>
      </c>
      <c r="Q121" s="87"/>
      <c r="R121" s="87"/>
    </row>
    <row r="122" spans="3:18" x14ac:dyDescent="0.25">
      <c r="C122" s="233"/>
      <c r="D122" s="249"/>
      <c r="E122" s="238"/>
      <c r="F122" s="250" t="str">
        <f t="shared" si="6"/>
        <v>-</v>
      </c>
      <c r="G122" s="242"/>
      <c r="H122" s="251"/>
      <c r="I122" s="233"/>
      <c r="J122" s="252" t="str">
        <f>IFERROR(MIN('MP Calculations'!$E$29/I122,1),"-")</f>
        <v>-</v>
      </c>
      <c r="K122" s="257"/>
      <c r="L122" s="233"/>
      <c r="M122" s="233"/>
      <c r="N122" s="233"/>
      <c r="O122" s="255" t="str">
        <f t="shared" si="4"/>
        <v>-</v>
      </c>
      <c r="P122" s="256" t="str">
        <f t="shared" si="7"/>
        <v>-</v>
      </c>
      <c r="Q122" s="87"/>
      <c r="R122" s="87"/>
    </row>
    <row r="123" spans="3:18" x14ac:dyDescent="0.25">
      <c r="C123" s="233"/>
      <c r="D123" s="249"/>
      <c r="E123" s="238"/>
      <c r="F123" s="250" t="str">
        <f t="shared" si="6"/>
        <v>-</v>
      </c>
      <c r="G123" s="242"/>
      <c r="H123" s="251"/>
      <c r="I123" s="233"/>
      <c r="J123" s="252" t="str">
        <f>IFERROR(MIN('MP Calculations'!$E$29/I123,1),"-")</f>
        <v>-</v>
      </c>
      <c r="K123" s="257"/>
      <c r="L123" s="233"/>
      <c r="M123" s="233"/>
      <c r="N123" s="233"/>
      <c r="O123" s="255" t="str">
        <f t="shared" si="4"/>
        <v>-</v>
      </c>
      <c r="P123" s="256" t="str">
        <f t="shared" si="7"/>
        <v>-</v>
      </c>
      <c r="Q123" s="87"/>
      <c r="R123" s="87"/>
    </row>
    <row r="124" spans="3:18" x14ac:dyDescent="0.25">
      <c r="C124" s="233"/>
      <c r="D124" s="249"/>
      <c r="E124" s="238"/>
      <c r="F124" s="250" t="str">
        <f t="shared" si="6"/>
        <v>-</v>
      </c>
      <c r="G124" s="242"/>
      <c r="H124" s="251"/>
      <c r="I124" s="233"/>
      <c r="J124" s="252" t="str">
        <f>IFERROR(MIN('MP Calculations'!$E$29/I124,1),"-")</f>
        <v>-</v>
      </c>
      <c r="K124" s="257"/>
      <c r="L124" s="233"/>
      <c r="M124" s="233"/>
      <c r="N124" s="233"/>
      <c r="O124" s="255" t="str">
        <f t="shared" si="4"/>
        <v>-</v>
      </c>
      <c r="P124" s="256" t="str">
        <f t="shared" si="7"/>
        <v>-</v>
      </c>
      <c r="Q124" s="87"/>
      <c r="R124" s="87"/>
    </row>
    <row r="125" spans="3:18" x14ac:dyDescent="0.25">
      <c r="C125" s="233"/>
      <c r="D125" s="249"/>
      <c r="E125" s="238"/>
      <c r="F125" s="250" t="str">
        <f t="shared" si="6"/>
        <v>-</v>
      </c>
      <c r="G125" s="242"/>
      <c r="H125" s="251"/>
      <c r="I125" s="233"/>
      <c r="J125" s="252" t="str">
        <f>IFERROR(MIN('MP Calculations'!$E$29/I125,1),"-")</f>
        <v>-</v>
      </c>
      <c r="K125" s="257"/>
      <c r="L125" s="233"/>
      <c r="M125" s="233"/>
      <c r="N125" s="233"/>
      <c r="O125" s="255" t="str">
        <f t="shared" si="4"/>
        <v>-</v>
      </c>
      <c r="P125" s="256" t="str">
        <f t="shared" si="7"/>
        <v>-</v>
      </c>
      <c r="Q125" s="87"/>
      <c r="R125" s="87"/>
    </row>
    <row r="126" spans="3:18" x14ac:dyDescent="0.25">
      <c r="C126" s="233"/>
      <c r="D126" s="249"/>
      <c r="E126" s="238"/>
      <c r="F126" s="250" t="str">
        <f t="shared" si="6"/>
        <v>-</v>
      </c>
      <c r="G126" s="242"/>
      <c r="H126" s="251"/>
      <c r="I126" s="233"/>
      <c r="J126" s="252" t="str">
        <f>IFERROR(MIN('MP Calculations'!$E$29/I126,1),"-")</f>
        <v>-</v>
      </c>
      <c r="K126" s="257"/>
      <c r="L126" s="233"/>
      <c r="M126" s="233"/>
      <c r="N126" s="233"/>
      <c r="O126" s="255" t="str">
        <f t="shared" si="4"/>
        <v>-</v>
      </c>
      <c r="P126" s="256" t="str">
        <f t="shared" si="7"/>
        <v>-</v>
      </c>
      <c r="Q126" s="87"/>
      <c r="R126" s="87"/>
    </row>
    <row r="127" spans="3:18" x14ac:dyDescent="0.25">
      <c r="C127" s="233"/>
      <c r="D127" s="249"/>
      <c r="E127" s="238"/>
      <c r="F127" s="250" t="str">
        <f t="shared" si="6"/>
        <v>-</v>
      </c>
      <c r="G127" s="242"/>
      <c r="H127" s="251"/>
      <c r="I127" s="233"/>
      <c r="J127" s="252" t="str">
        <f>IFERROR(MIN('MP Calculations'!$E$29/I127,1),"-")</f>
        <v>-</v>
      </c>
      <c r="K127" s="257"/>
      <c r="L127" s="233"/>
      <c r="M127" s="233"/>
      <c r="N127" s="233"/>
      <c r="O127" s="255" t="str">
        <f t="shared" si="4"/>
        <v>-</v>
      </c>
      <c r="P127" s="256" t="str">
        <f t="shared" si="7"/>
        <v>-</v>
      </c>
      <c r="Q127" s="87"/>
      <c r="R127" s="87"/>
    </row>
    <row r="128" spans="3:18" x14ac:dyDescent="0.25">
      <c r="C128" s="233"/>
      <c r="D128" s="249"/>
      <c r="E128" s="238"/>
      <c r="F128" s="250" t="str">
        <f t="shared" si="6"/>
        <v>-</v>
      </c>
      <c r="G128" s="242"/>
      <c r="H128" s="251"/>
      <c r="I128" s="233"/>
      <c r="J128" s="252" t="str">
        <f>IFERROR(MIN('MP Calculations'!$E$29/I128,1),"-")</f>
        <v>-</v>
      </c>
      <c r="K128" s="257"/>
      <c r="L128" s="233"/>
      <c r="M128" s="233"/>
      <c r="N128" s="233"/>
      <c r="O128" s="255" t="str">
        <f t="shared" si="4"/>
        <v>-</v>
      </c>
      <c r="P128" s="256" t="str">
        <f t="shared" si="7"/>
        <v>-</v>
      </c>
      <c r="Q128" s="87"/>
      <c r="R128" s="87"/>
    </row>
    <row r="129" spans="3:18" x14ac:dyDescent="0.25">
      <c r="C129" s="233"/>
      <c r="D129" s="249"/>
      <c r="E129" s="238"/>
      <c r="F129" s="250" t="str">
        <f t="shared" si="6"/>
        <v>-</v>
      </c>
      <c r="G129" s="242"/>
      <c r="H129" s="251"/>
      <c r="I129" s="233"/>
      <c r="J129" s="252" t="str">
        <f>IFERROR(MIN('MP Calculations'!$E$29/I129,1),"-")</f>
        <v>-</v>
      </c>
      <c r="K129" s="257"/>
      <c r="L129" s="233"/>
      <c r="M129" s="233"/>
      <c r="N129" s="233"/>
      <c r="O129" s="255" t="str">
        <f t="shared" si="4"/>
        <v>-</v>
      </c>
      <c r="P129" s="256" t="str">
        <f t="shared" si="7"/>
        <v>-</v>
      </c>
      <c r="Q129" s="87"/>
      <c r="R129" s="87"/>
    </row>
    <row r="130" spans="3:18" x14ac:dyDescent="0.25">
      <c r="C130" s="233"/>
      <c r="D130" s="249"/>
      <c r="E130" s="238"/>
      <c r="F130" s="250" t="str">
        <f t="shared" si="6"/>
        <v>-</v>
      </c>
      <c r="G130" s="242"/>
      <c r="H130" s="251"/>
      <c r="I130" s="233"/>
      <c r="J130" s="252" t="str">
        <f>IFERROR(MIN('MP Calculations'!$E$29/I130,1),"-")</f>
        <v>-</v>
      </c>
      <c r="K130" s="257"/>
      <c r="L130" s="233"/>
      <c r="M130" s="233"/>
      <c r="N130" s="233"/>
      <c r="O130" s="255" t="str">
        <f t="shared" si="4"/>
        <v>-</v>
      </c>
      <c r="P130" s="256" t="str">
        <f t="shared" si="7"/>
        <v>-</v>
      </c>
      <c r="Q130" s="87"/>
      <c r="R130" s="87"/>
    </row>
    <row r="131" spans="3:18" x14ac:dyDescent="0.25">
      <c r="C131" s="233"/>
      <c r="D131" s="249"/>
      <c r="E131" s="238"/>
      <c r="F131" s="250" t="str">
        <f t="shared" si="6"/>
        <v>-</v>
      </c>
      <c r="G131" s="242"/>
      <c r="H131" s="251"/>
      <c r="I131" s="233"/>
      <c r="J131" s="252" t="str">
        <f>IFERROR(MIN('MP Calculations'!$E$29/I131,1),"-")</f>
        <v>-</v>
      </c>
      <c r="K131" s="257"/>
      <c r="L131" s="233"/>
      <c r="M131" s="233"/>
      <c r="N131" s="233"/>
      <c r="O131" s="255" t="str">
        <f t="shared" si="4"/>
        <v>-</v>
      </c>
      <c r="P131" s="256" t="str">
        <f t="shared" si="7"/>
        <v>-</v>
      </c>
      <c r="Q131" s="87"/>
      <c r="R131" s="87"/>
    </row>
    <row r="132" spans="3:18" x14ac:dyDescent="0.25">
      <c r="C132" s="233"/>
      <c r="D132" s="249"/>
      <c r="E132" s="238"/>
      <c r="F132" s="250" t="str">
        <f t="shared" si="6"/>
        <v>-</v>
      </c>
      <c r="G132" s="242"/>
      <c r="H132" s="251"/>
      <c r="I132" s="233"/>
      <c r="J132" s="252" t="str">
        <f>IFERROR(MIN('MP Calculations'!$E$29/I132,1),"-")</f>
        <v>-</v>
      </c>
      <c r="K132" s="257"/>
      <c r="L132" s="233"/>
      <c r="M132" s="233"/>
      <c r="N132" s="233"/>
      <c r="O132" s="255" t="str">
        <f t="shared" si="4"/>
        <v>-</v>
      </c>
      <c r="P132" s="256" t="str">
        <f t="shared" si="7"/>
        <v>-</v>
      </c>
      <c r="Q132" s="87"/>
      <c r="R132" s="87"/>
    </row>
    <row r="133" spans="3:18" x14ac:dyDescent="0.25">
      <c r="C133" s="233"/>
      <c r="D133" s="249"/>
      <c r="E133" s="238"/>
      <c r="F133" s="250" t="str">
        <f t="shared" si="6"/>
        <v>-</v>
      </c>
      <c r="G133" s="242"/>
      <c r="H133" s="251"/>
      <c r="I133" s="233"/>
      <c r="J133" s="252" t="str">
        <f>IFERROR(MIN('MP Calculations'!$E$29/I133,1),"-")</f>
        <v>-</v>
      </c>
      <c r="K133" s="257"/>
      <c r="L133" s="233"/>
      <c r="M133" s="233"/>
      <c r="N133" s="233"/>
      <c r="O133" s="255" t="str">
        <f t="shared" si="4"/>
        <v>-</v>
      </c>
      <c r="P133" s="256" t="str">
        <f t="shared" si="7"/>
        <v>-</v>
      </c>
      <c r="Q133" s="87"/>
      <c r="R133" s="87"/>
    </row>
    <row r="134" spans="3:18" x14ac:dyDescent="0.25">
      <c r="C134" s="233"/>
      <c r="D134" s="249"/>
      <c r="E134" s="238"/>
      <c r="F134" s="250" t="str">
        <f t="shared" si="6"/>
        <v>-</v>
      </c>
      <c r="G134" s="242"/>
      <c r="H134" s="251"/>
      <c r="I134" s="233"/>
      <c r="J134" s="252" t="str">
        <f>IFERROR(MIN('MP Calculations'!$E$29/I134,1),"-")</f>
        <v>-</v>
      </c>
      <c r="K134" s="257"/>
      <c r="L134" s="233"/>
      <c r="M134" s="233"/>
      <c r="N134" s="233"/>
      <c r="O134" s="255" t="str">
        <f t="shared" si="4"/>
        <v>-</v>
      </c>
      <c r="P134" s="256" t="str">
        <f t="shared" si="7"/>
        <v>-</v>
      </c>
      <c r="Q134" s="87"/>
      <c r="R134" s="87"/>
    </row>
    <row r="135" spans="3:18" x14ac:dyDescent="0.25">
      <c r="C135" s="233"/>
      <c r="D135" s="249"/>
      <c r="E135" s="238"/>
      <c r="F135" s="250" t="str">
        <f t="shared" si="6"/>
        <v>-</v>
      </c>
      <c r="G135" s="242"/>
      <c r="H135" s="251"/>
      <c r="I135" s="233"/>
      <c r="J135" s="252" t="str">
        <f>IFERROR(MIN('MP Calculations'!$E$29/I135,1),"-")</f>
        <v>-</v>
      </c>
      <c r="K135" s="257"/>
      <c r="L135" s="233"/>
      <c r="M135" s="233"/>
      <c r="N135" s="233"/>
      <c r="O135" s="255" t="str">
        <f t="shared" si="4"/>
        <v>-</v>
      </c>
      <c r="P135" s="256" t="str">
        <f t="shared" si="7"/>
        <v>-</v>
      </c>
      <c r="Q135" s="87"/>
      <c r="R135" s="87"/>
    </row>
    <row r="136" spans="3:18" x14ac:dyDescent="0.25">
      <c r="C136" s="233"/>
      <c r="D136" s="249"/>
      <c r="E136" s="238"/>
      <c r="F136" s="250" t="str">
        <f t="shared" si="6"/>
        <v>-</v>
      </c>
      <c r="G136" s="242"/>
      <c r="H136" s="251"/>
      <c r="I136" s="233"/>
      <c r="J136" s="252" t="str">
        <f>IFERROR(MIN('MP Calculations'!$E$29/I136,1),"-")</f>
        <v>-</v>
      </c>
      <c r="K136" s="257"/>
      <c r="L136" s="233"/>
      <c r="M136" s="233"/>
      <c r="N136" s="233"/>
      <c r="O136" s="255" t="str">
        <f t="shared" si="4"/>
        <v>-</v>
      </c>
      <c r="P136" s="256" t="str">
        <f t="shared" si="7"/>
        <v>-</v>
      </c>
      <c r="Q136" s="87"/>
      <c r="R136" s="87"/>
    </row>
    <row r="137" spans="3:18" x14ac:dyDescent="0.25">
      <c r="C137" s="233"/>
      <c r="D137" s="249"/>
      <c r="E137" s="238"/>
      <c r="F137" s="250" t="str">
        <f t="shared" si="6"/>
        <v>-</v>
      </c>
      <c r="G137" s="242"/>
      <c r="H137" s="251"/>
      <c r="I137" s="233"/>
      <c r="J137" s="252" t="str">
        <f>IFERROR(MIN('MP Calculations'!$E$29/I137,1),"-")</f>
        <v>-</v>
      </c>
      <c r="K137" s="257"/>
      <c r="L137" s="233"/>
      <c r="M137" s="233"/>
      <c r="N137" s="233"/>
      <c r="O137" s="255" t="str">
        <f t="shared" si="4"/>
        <v>-</v>
      </c>
      <c r="P137" s="256" t="str">
        <f t="shared" si="7"/>
        <v>-</v>
      </c>
      <c r="Q137" s="87"/>
      <c r="R137" s="87"/>
    </row>
    <row r="138" spans="3:18" x14ac:dyDescent="0.25">
      <c r="C138" s="233"/>
      <c r="D138" s="249"/>
      <c r="E138" s="238"/>
      <c r="F138" s="250" t="str">
        <f t="shared" si="6"/>
        <v>-</v>
      </c>
      <c r="G138" s="242"/>
      <c r="H138" s="251"/>
      <c r="I138" s="233"/>
      <c r="J138" s="252" t="str">
        <f>IFERROR(MIN('MP Calculations'!$E$29/I138,1),"-")</f>
        <v>-</v>
      </c>
      <c r="K138" s="257"/>
      <c r="L138" s="233"/>
      <c r="M138" s="233"/>
      <c r="N138" s="233"/>
      <c r="O138" s="255" t="str">
        <f t="shared" si="4"/>
        <v>-</v>
      </c>
      <c r="P138" s="256" t="str">
        <f t="shared" si="7"/>
        <v>-</v>
      </c>
      <c r="Q138" s="87"/>
      <c r="R138" s="87"/>
    </row>
    <row r="139" spans="3:18" x14ac:dyDescent="0.25">
      <c r="C139" s="233"/>
      <c r="D139" s="249"/>
      <c r="E139" s="238"/>
      <c r="F139" s="250" t="str">
        <f t="shared" si="6"/>
        <v>-</v>
      </c>
      <c r="G139" s="242"/>
      <c r="H139" s="251"/>
      <c r="I139" s="233"/>
      <c r="J139" s="252" t="str">
        <f>IFERROR(MIN('MP Calculations'!$E$29/I139,1),"-")</f>
        <v>-</v>
      </c>
      <c r="K139" s="257"/>
      <c r="L139" s="233"/>
      <c r="M139" s="233"/>
      <c r="N139" s="233"/>
      <c r="O139" s="255" t="str">
        <f t="shared" si="4"/>
        <v>-</v>
      </c>
      <c r="P139" s="256" t="str">
        <f t="shared" si="7"/>
        <v>-</v>
      </c>
      <c r="Q139" s="87"/>
      <c r="R139" s="87"/>
    </row>
    <row r="140" spans="3:18" x14ac:dyDescent="0.25">
      <c r="C140" s="233"/>
      <c r="D140" s="249"/>
      <c r="E140" s="238"/>
      <c r="F140" s="250" t="str">
        <f t="shared" si="6"/>
        <v>-</v>
      </c>
      <c r="G140" s="242"/>
      <c r="H140" s="251"/>
      <c r="I140" s="233"/>
      <c r="J140" s="252" t="str">
        <f>IFERROR(MIN('MP Calculations'!$E$29/I140,1),"-")</f>
        <v>-</v>
      </c>
      <c r="K140" s="257"/>
      <c r="L140" s="233"/>
      <c r="M140" s="233"/>
      <c r="N140" s="233"/>
      <c r="O140" s="255" t="str">
        <f t="shared" si="4"/>
        <v>-</v>
      </c>
      <c r="P140" s="256" t="str">
        <f t="shared" si="7"/>
        <v>-</v>
      </c>
      <c r="Q140" s="87"/>
      <c r="R140" s="87"/>
    </row>
    <row r="141" spans="3:18" x14ac:dyDescent="0.25">
      <c r="C141" s="233"/>
      <c r="D141" s="249"/>
      <c r="E141" s="238"/>
      <c r="F141" s="250" t="str">
        <f t="shared" si="6"/>
        <v>-</v>
      </c>
      <c r="G141" s="242"/>
      <c r="H141" s="251"/>
      <c r="I141" s="233"/>
      <c r="J141" s="252" t="str">
        <f>IFERROR(MIN('MP Calculations'!$E$29/I141,1),"-")</f>
        <v>-</v>
      </c>
      <c r="K141" s="257"/>
      <c r="L141" s="233"/>
      <c r="M141" s="233"/>
      <c r="N141" s="233"/>
      <c r="O141" s="255" t="str">
        <f t="shared" si="4"/>
        <v>-</v>
      </c>
      <c r="P141" s="256" t="str">
        <f t="shared" si="7"/>
        <v>-</v>
      </c>
      <c r="Q141" s="87"/>
      <c r="R141" s="87"/>
    </row>
    <row r="142" spans="3:18" x14ac:dyDescent="0.25">
      <c r="C142" s="233"/>
      <c r="D142" s="249"/>
      <c r="E142" s="238"/>
      <c r="F142" s="250" t="str">
        <f t="shared" si="6"/>
        <v>-</v>
      </c>
      <c r="G142" s="242"/>
      <c r="H142" s="251"/>
      <c r="I142" s="233"/>
      <c r="J142" s="252" t="str">
        <f>IFERROR(MIN('MP Calculations'!$E$29/I142,1),"-")</f>
        <v>-</v>
      </c>
      <c r="K142" s="257"/>
      <c r="L142" s="233"/>
      <c r="M142" s="233"/>
      <c r="N142" s="233"/>
      <c r="O142" s="255" t="str">
        <f t="shared" si="4"/>
        <v>-</v>
      </c>
      <c r="P142" s="256" t="str">
        <f t="shared" si="7"/>
        <v>-</v>
      </c>
      <c r="Q142" s="87"/>
      <c r="R142" s="87"/>
    </row>
    <row r="143" spans="3:18" x14ac:dyDescent="0.25">
      <c r="C143" s="233"/>
      <c r="D143" s="249"/>
      <c r="E143" s="238"/>
      <c r="F143" s="250" t="str">
        <f t="shared" si="6"/>
        <v>-</v>
      </c>
      <c r="G143" s="242"/>
      <c r="H143" s="251"/>
      <c r="I143" s="233"/>
      <c r="J143" s="252" t="str">
        <f>IFERROR(MIN('MP Calculations'!$E$29/I143,1),"-")</f>
        <v>-</v>
      </c>
      <c r="K143" s="257"/>
      <c r="L143" s="233"/>
      <c r="M143" s="233"/>
      <c r="N143" s="233"/>
      <c r="O143" s="255" t="str">
        <f t="shared" si="4"/>
        <v>-</v>
      </c>
      <c r="P143" s="256" t="str">
        <f t="shared" si="7"/>
        <v>-</v>
      </c>
      <c r="Q143" s="87"/>
      <c r="R143" s="87"/>
    </row>
    <row r="144" spans="3:18" x14ac:dyDescent="0.25">
      <c r="C144" s="233"/>
      <c r="D144" s="249"/>
      <c r="E144" s="238"/>
      <c r="F144" s="250" t="str">
        <f t="shared" si="6"/>
        <v>-</v>
      </c>
      <c r="G144" s="242"/>
      <c r="H144" s="251"/>
      <c r="I144" s="233"/>
      <c r="J144" s="252" t="str">
        <f>IFERROR(MIN('MP Calculations'!$E$29/I144,1),"-")</f>
        <v>-</v>
      </c>
      <c r="K144" s="257"/>
      <c r="L144" s="233"/>
      <c r="M144" s="233"/>
      <c r="N144" s="233"/>
      <c r="O144" s="255" t="str">
        <f t="shared" si="4"/>
        <v>-</v>
      </c>
      <c r="P144" s="256" t="str">
        <f t="shared" si="7"/>
        <v>-</v>
      </c>
      <c r="Q144" s="87"/>
      <c r="R144" s="87"/>
    </row>
    <row r="145" spans="3:18" x14ac:dyDescent="0.25">
      <c r="C145" s="233"/>
      <c r="D145" s="249"/>
      <c r="E145" s="238"/>
      <c r="F145" s="250" t="str">
        <f t="shared" si="6"/>
        <v>-</v>
      </c>
      <c r="G145" s="242"/>
      <c r="H145" s="251"/>
      <c r="I145" s="233"/>
      <c r="J145" s="252" t="str">
        <f>IFERROR(MIN('MP Calculations'!$E$29/I145,1),"-")</f>
        <v>-</v>
      </c>
      <c r="K145" s="257"/>
      <c r="L145" s="233"/>
      <c r="M145" s="233"/>
      <c r="N145" s="233"/>
      <c r="O145" s="255" t="str">
        <f t="shared" si="4"/>
        <v>-</v>
      </c>
      <c r="P145" s="256" t="str">
        <f t="shared" si="7"/>
        <v>-</v>
      </c>
      <c r="Q145" s="87"/>
      <c r="R145" s="87"/>
    </row>
    <row r="146" spans="3:18" x14ac:dyDescent="0.25">
      <c r="C146" s="233"/>
      <c r="D146" s="249"/>
      <c r="E146" s="238"/>
      <c r="F146" s="250" t="str">
        <f t="shared" si="6"/>
        <v>-</v>
      </c>
      <c r="G146" s="242"/>
      <c r="H146" s="251"/>
      <c r="I146" s="233"/>
      <c r="J146" s="252" t="str">
        <f>IFERROR(MIN('MP Calculations'!$E$29/I146,1),"-")</f>
        <v>-</v>
      </c>
      <c r="K146" s="257"/>
      <c r="L146" s="233"/>
      <c r="M146" s="233"/>
      <c r="N146" s="233"/>
      <c r="O146" s="255" t="str">
        <f t="shared" si="4"/>
        <v>-</v>
      </c>
      <c r="P146" s="256" t="str">
        <f t="shared" si="7"/>
        <v>-</v>
      </c>
      <c r="Q146" s="87"/>
      <c r="R146" s="87"/>
    </row>
    <row r="147" spans="3:18" x14ac:dyDescent="0.25">
      <c r="C147" s="233"/>
      <c r="D147" s="249"/>
      <c r="E147" s="238"/>
      <c r="F147" s="250" t="str">
        <f t="shared" si="6"/>
        <v>-</v>
      </c>
      <c r="G147" s="242"/>
      <c r="H147" s="251"/>
      <c r="I147" s="233"/>
      <c r="J147" s="252" t="str">
        <f>IFERROR(MIN('MP Calculations'!$E$29/I147,1),"-")</f>
        <v>-</v>
      </c>
      <c r="K147" s="257"/>
      <c r="L147" s="233"/>
      <c r="M147" s="233"/>
      <c r="N147" s="233"/>
      <c r="O147" s="255" t="str">
        <f t="shared" si="4"/>
        <v>-</v>
      </c>
      <c r="P147" s="256" t="str">
        <f t="shared" si="7"/>
        <v>-</v>
      </c>
      <c r="Q147" s="87"/>
      <c r="R147" s="87"/>
    </row>
    <row r="148" spans="3:18" x14ac:dyDescent="0.25">
      <c r="C148" s="233"/>
      <c r="D148" s="249"/>
      <c r="E148" s="238"/>
      <c r="F148" s="250" t="str">
        <f t="shared" si="6"/>
        <v>-</v>
      </c>
      <c r="G148" s="242"/>
      <c r="H148" s="251"/>
      <c r="I148" s="233"/>
      <c r="J148" s="252" t="str">
        <f>IFERROR(MIN('MP Calculations'!$E$29/I148,1),"-")</f>
        <v>-</v>
      </c>
      <c r="K148" s="257"/>
      <c r="L148" s="233"/>
      <c r="M148" s="233"/>
      <c r="N148" s="233"/>
      <c r="O148" s="255" t="str">
        <f t="shared" si="4"/>
        <v>-</v>
      </c>
      <c r="P148" s="256" t="str">
        <f t="shared" si="7"/>
        <v>-</v>
      </c>
      <c r="Q148" s="87"/>
      <c r="R148" s="87"/>
    </row>
    <row r="149" spans="3:18" x14ac:dyDescent="0.25">
      <c r="C149" s="233"/>
      <c r="D149" s="249"/>
      <c r="E149" s="238"/>
      <c r="F149" s="250" t="str">
        <f t="shared" si="6"/>
        <v>-</v>
      </c>
      <c r="G149" s="242"/>
      <c r="H149" s="251"/>
      <c r="I149" s="233"/>
      <c r="J149" s="252" t="str">
        <f>IFERROR(MIN('MP Calculations'!$E$29/I149,1),"-")</f>
        <v>-</v>
      </c>
      <c r="K149" s="257"/>
      <c r="L149" s="233"/>
      <c r="M149" s="233"/>
      <c r="N149" s="233"/>
      <c r="O149" s="255" t="str">
        <f t="shared" si="4"/>
        <v>-</v>
      </c>
      <c r="P149" s="256" t="str">
        <f t="shared" si="7"/>
        <v>-</v>
      </c>
      <c r="Q149" s="87"/>
      <c r="R149" s="87"/>
    </row>
    <row r="150" spans="3:18" x14ac:dyDescent="0.25">
      <c r="C150" s="233"/>
      <c r="D150" s="249"/>
      <c r="E150" s="238"/>
      <c r="F150" s="250" t="str">
        <f t="shared" si="6"/>
        <v>-</v>
      </c>
      <c r="G150" s="242"/>
      <c r="H150" s="251"/>
      <c r="I150" s="233"/>
      <c r="J150" s="252" t="str">
        <f>IFERROR(MIN('MP Calculations'!$E$29/I150,1),"-")</f>
        <v>-</v>
      </c>
      <c r="K150" s="257"/>
      <c r="L150" s="233"/>
      <c r="M150" s="233"/>
      <c r="N150" s="233"/>
      <c r="O150" s="255" t="str">
        <f t="shared" si="4"/>
        <v>-</v>
      </c>
      <c r="P150" s="256" t="str">
        <f t="shared" si="7"/>
        <v>-</v>
      </c>
      <c r="Q150" s="87"/>
      <c r="R150" s="87"/>
    </row>
    <row r="151" spans="3:18" x14ac:dyDescent="0.25">
      <c r="C151" s="233"/>
      <c r="D151" s="249"/>
      <c r="E151" s="238"/>
      <c r="F151" s="250" t="str">
        <f t="shared" si="6"/>
        <v>-</v>
      </c>
      <c r="G151" s="242"/>
      <c r="H151" s="251"/>
      <c r="I151" s="233"/>
      <c r="J151" s="252" t="str">
        <f>IFERROR(MIN('MP Calculations'!$E$29/I151,1),"-")</f>
        <v>-</v>
      </c>
      <c r="K151" s="257"/>
      <c r="L151" s="233"/>
      <c r="M151" s="233"/>
      <c r="N151" s="233"/>
      <c r="O151" s="255" t="str">
        <f t="shared" ref="O151:O214" si="8">IF(N151="","-",L151*N151)</f>
        <v>-</v>
      </c>
      <c r="P151" s="256" t="str">
        <f t="shared" si="7"/>
        <v>-</v>
      </c>
      <c r="Q151" s="87"/>
      <c r="R151" s="87"/>
    </row>
    <row r="152" spans="3:18" x14ac:dyDescent="0.25">
      <c r="C152" s="233"/>
      <c r="D152" s="249"/>
      <c r="E152" s="238"/>
      <c r="F152" s="250" t="str">
        <f t="shared" si="6"/>
        <v>-</v>
      </c>
      <c r="G152" s="242"/>
      <c r="H152" s="251"/>
      <c r="I152" s="233"/>
      <c r="J152" s="252" t="str">
        <f>IFERROR(MIN('MP Calculations'!$E$29/I152,1),"-")</f>
        <v>-</v>
      </c>
      <c r="K152" s="257"/>
      <c r="L152" s="233"/>
      <c r="M152" s="233"/>
      <c r="N152" s="233"/>
      <c r="O152" s="255" t="str">
        <f t="shared" si="8"/>
        <v>-</v>
      </c>
      <c r="P152" s="256" t="str">
        <f t="shared" si="7"/>
        <v>-</v>
      </c>
      <c r="Q152" s="87"/>
      <c r="R152" s="87"/>
    </row>
    <row r="153" spans="3:18" x14ac:dyDescent="0.25">
      <c r="C153" s="233"/>
      <c r="D153" s="249"/>
      <c r="E153" s="238"/>
      <c r="F153" s="250" t="str">
        <f t="shared" si="6"/>
        <v>-</v>
      </c>
      <c r="G153" s="242"/>
      <c r="H153" s="251"/>
      <c r="I153" s="233"/>
      <c r="J153" s="252" t="str">
        <f>IFERROR(MIN('MP Calculations'!$E$29/I153,1),"-")</f>
        <v>-</v>
      </c>
      <c r="K153" s="257"/>
      <c r="L153" s="233"/>
      <c r="M153" s="233"/>
      <c r="N153" s="233"/>
      <c r="O153" s="255" t="str">
        <f t="shared" si="8"/>
        <v>-</v>
      </c>
      <c r="P153" s="256" t="str">
        <f t="shared" si="7"/>
        <v>-</v>
      </c>
      <c r="Q153" s="87"/>
      <c r="R153" s="87"/>
    </row>
    <row r="154" spans="3:18" x14ac:dyDescent="0.25">
      <c r="C154" s="233"/>
      <c r="D154" s="249"/>
      <c r="E154" s="238"/>
      <c r="F154" s="250" t="str">
        <f t="shared" si="6"/>
        <v>-</v>
      </c>
      <c r="G154" s="242"/>
      <c r="H154" s="251"/>
      <c r="I154" s="233"/>
      <c r="J154" s="252" t="str">
        <f>IFERROR(MIN('MP Calculations'!$E$29/I154,1),"-")</f>
        <v>-</v>
      </c>
      <c r="K154" s="257"/>
      <c r="L154" s="233"/>
      <c r="M154" s="233"/>
      <c r="N154" s="233"/>
      <c r="O154" s="255" t="str">
        <f t="shared" si="8"/>
        <v>-</v>
      </c>
      <c r="P154" s="256" t="str">
        <f t="shared" si="7"/>
        <v>-</v>
      </c>
      <c r="Q154" s="87"/>
      <c r="R154" s="87"/>
    </row>
    <row r="155" spans="3:18" x14ac:dyDescent="0.25">
      <c r="C155" s="233"/>
      <c r="D155" s="249"/>
      <c r="E155" s="238"/>
      <c r="F155" s="250" t="str">
        <f t="shared" si="6"/>
        <v>-</v>
      </c>
      <c r="G155" s="242"/>
      <c r="H155" s="251"/>
      <c r="I155" s="233"/>
      <c r="J155" s="252" t="str">
        <f>IFERROR(MIN('MP Calculations'!$E$29/I155,1),"-")</f>
        <v>-</v>
      </c>
      <c r="K155" s="257"/>
      <c r="L155" s="233"/>
      <c r="M155" s="233"/>
      <c r="N155" s="233"/>
      <c r="O155" s="255" t="str">
        <f t="shared" si="8"/>
        <v>-</v>
      </c>
      <c r="P155" s="256" t="str">
        <f t="shared" si="7"/>
        <v>-</v>
      </c>
      <c r="Q155" s="87"/>
      <c r="R155" s="87"/>
    </row>
    <row r="156" spans="3:18" x14ac:dyDescent="0.25">
      <c r="C156" s="233"/>
      <c r="D156" s="249"/>
      <c r="E156" s="238"/>
      <c r="F156" s="250" t="str">
        <f t="shared" si="6"/>
        <v>-</v>
      </c>
      <c r="G156" s="242"/>
      <c r="H156" s="251"/>
      <c r="I156" s="233"/>
      <c r="J156" s="252" t="str">
        <f>IFERROR(MIN('MP Calculations'!$E$29/I156,1),"-")</f>
        <v>-</v>
      </c>
      <c r="K156" s="257"/>
      <c r="L156" s="233"/>
      <c r="M156" s="233"/>
      <c r="N156" s="233"/>
      <c r="O156" s="255" t="str">
        <f t="shared" si="8"/>
        <v>-</v>
      </c>
      <c r="P156" s="256" t="str">
        <f t="shared" si="7"/>
        <v>-</v>
      </c>
      <c r="Q156" s="87"/>
      <c r="R156" s="87"/>
    </row>
    <row r="157" spans="3:18" x14ac:dyDescent="0.25">
      <c r="C157" s="233"/>
      <c r="D157" s="249"/>
      <c r="E157" s="238"/>
      <c r="F157" s="250" t="str">
        <f t="shared" si="6"/>
        <v>-</v>
      </c>
      <c r="G157" s="242"/>
      <c r="H157" s="251"/>
      <c r="I157" s="233"/>
      <c r="J157" s="252" t="str">
        <f>IFERROR(MIN('MP Calculations'!$E$29/I157,1),"-")</f>
        <v>-</v>
      </c>
      <c r="K157" s="257"/>
      <c r="L157" s="233"/>
      <c r="M157" s="233"/>
      <c r="N157" s="233"/>
      <c r="O157" s="255" t="str">
        <f t="shared" si="8"/>
        <v>-</v>
      </c>
      <c r="P157" s="256" t="str">
        <f t="shared" si="7"/>
        <v>-</v>
      </c>
      <c r="Q157" s="87"/>
      <c r="R157" s="87"/>
    </row>
    <row r="158" spans="3:18" x14ac:dyDescent="0.25">
      <c r="C158" s="233"/>
      <c r="D158" s="249"/>
      <c r="E158" s="238"/>
      <c r="F158" s="250" t="str">
        <f t="shared" si="6"/>
        <v>-</v>
      </c>
      <c r="G158" s="242"/>
      <c r="H158" s="251"/>
      <c r="I158" s="233"/>
      <c r="J158" s="252" t="str">
        <f>IFERROR(MIN('MP Calculations'!$E$29/I158,1),"-")</f>
        <v>-</v>
      </c>
      <c r="K158" s="257"/>
      <c r="L158" s="233"/>
      <c r="M158" s="233"/>
      <c r="N158" s="233"/>
      <c r="O158" s="255" t="str">
        <f t="shared" si="8"/>
        <v>-</v>
      </c>
      <c r="P158" s="256" t="str">
        <f t="shared" si="7"/>
        <v>-</v>
      </c>
      <c r="Q158" s="87"/>
      <c r="R158" s="87"/>
    </row>
    <row r="159" spans="3:18" x14ac:dyDescent="0.25">
      <c r="C159" s="233"/>
      <c r="D159" s="249"/>
      <c r="E159" s="238"/>
      <c r="F159" s="250" t="str">
        <f t="shared" si="6"/>
        <v>-</v>
      </c>
      <c r="G159" s="242"/>
      <c r="H159" s="251"/>
      <c r="I159" s="233"/>
      <c r="J159" s="252" t="str">
        <f>IFERROR(MIN('MP Calculations'!$E$29/I159,1),"-")</f>
        <v>-</v>
      </c>
      <c r="K159" s="257"/>
      <c r="L159" s="233"/>
      <c r="M159" s="233"/>
      <c r="N159" s="233"/>
      <c r="O159" s="255" t="str">
        <f t="shared" si="8"/>
        <v>-</v>
      </c>
      <c r="P159" s="256" t="str">
        <f t="shared" si="7"/>
        <v>-</v>
      </c>
      <c r="Q159" s="87"/>
      <c r="R159" s="87"/>
    </row>
    <row r="160" spans="3:18" x14ac:dyDescent="0.25">
      <c r="C160" s="233"/>
      <c r="D160" s="249"/>
      <c r="E160" s="238"/>
      <c r="F160" s="250" t="str">
        <f t="shared" si="6"/>
        <v>-</v>
      </c>
      <c r="G160" s="242"/>
      <c r="H160" s="251"/>
      <c r="I160" s="233"/>
      <c r="J160" s="252" t="str">
        <f>IFERROR(MIN('MP Calculations'!$E$29/I160,1),"-")</f>
        <v>-</v>
      </c>
      <c r="K160" s="257"/>
      <c r="L160" s="233"/>
      <c r="M160" s="233"/>
      <c r="N160" s="233"/>
      <c r="O160" s="255" t="str">
        <f t="shared" si="8"/>
        <v>-</v>
      </c>
      <c r="P160" s="256" t="str">
        <f t="shared" si="7"/>
        <v>-</v>
      </c>
      <c r="Q160" s="87"/>
      <c r="R160" s="87"/>
    </row>
    <row r="161" spans="3:18" x14ac:dyDescent="0.25">
      <c r="C161" s="233"/>
      <c r="D161" s="249"/>
      <c r="E161" s="238"/>
      <c r="F161" s="250" t="str">
        <f t="shared" si="6"/>
        <v>-</v>
      </c>
      <c r="G161" s="242"/>
      <c r="H161" s="251"/>
      <c r="I161" s="233"/>
      <c r="J161" s="252" t="str">
        <f>IFERROR(MIN('MP Calculations'!$E$29/I161,1),"-")</f>
        <v>-</v>
      </c>
      <c r="K161" s="257"/>
      <c r="L161" s="233"/>
      <c r="M161" s="233"/>
      <c r="N161" s="233"/>
      <c r="O161" s="255" t="str">
        <f t="shared" si="8"/>
        <v>-</v>
      </c>
      <c r="P161" s="256" t="str">
        <f t="shared" si="7"/>
        <v>-</v>
      </c>
      <c r="Q161" s="87"/>
      <c r="R161" s="87"/>
    </row>
    <row r="162" spans="3:18" x14ac:dyDescent="0.25">
      <c r="C162" s="233"/>
      <c r="D162" s="249"/>
      <c r="E162" s="238"/>
      <c r="F162" s="250" t="str">
        <f t="shared" si="6"/>
        <v>-</v>
      </c>
      <c r="G162" s="242"/>
      <c r="H162" s="251"/>
      <c r="I162" s="233"/>
      <c r="J162" s="252" t="str">
        <f>IFERROR(MIN('MP Calculations'!$E$29/I162,1),"-")</f>
        <v>-</v>
      </c>
      <c r="K162" s="257"/>
      <c r="L162" s="233"/>
      <c r="M162" s="233"/>
      <c r="N162" s="233"/>
      <c r="O162" s="255" t="str">
        <f t="shared" si="8"/>
        <v>-</v>
      </c>
      <c r="P162" s="256" t="str">
        <f t="shared" si="7"/>
        <v>-</v>
      </c>
      <c r="Q162" s="87"/>
      <c r="R162" s="87"/>
    </row>
    <row r="163" spans="3:18" x14ac:dyDescent="0.25">
      <c r="C163" s="233"/>
      <c r="D163" s="249"/>
      <c r="E163" s="238"/>
      <c r="F163" s="250" t="str">
        <f t="shared" si="6"/>
        <v>-</v>
      </c>
      <c r="G163" s="242"/>
      <c r="H163" s="251"/>
      <c r="I163" s="233"/>
      <c r="J163" s="252" t="str">
        <f>IFERROR(MIN('MP Calculations'!$E$29/I163,1),"-")</f>
        <v>-</v>
      </c>
      <c r="K163" s="257"/>
      <c r="L163" s="233"/>
      <c r="M163" s="233"/>
      <c r="N163" s="233"/>
      <c r="O163" s="255" t="str">
        <f t="shared" si="8"/>
        <v>-</v>
      </c>
      <c r="P163" s="256" t="str">
        <f t="shared" si="7"/>
        <v>-</v>
      </c>
      <c r="Q163" s="87"/>
      <c r="R163" s="87"/>
    </row>
    <row r="164" spans="3:18" x14ac:dyDescent="0.25">
      <c r="C164" s="233"/>
      <c r="D164" s="249"/>
      <c r="E164" s="238"/>
      <c r="F164" s="250" t="str">
        <f t="shared" si="6"/>
        <v>-</v>
      </c>
      <c r="G164" s="242"/>
      <c r="H164" s="251"/>
      <c r="I164" s="233"/>
      <c r="J164" s="252" t="str">
        <f>IFERROR(MIN('MP Calculations'!$E$29/I164,1),"-")</f>
        <v>-</v>
      </c>
      <c r="K164" s="257"/>
      <c r="L164" s="233"/>
      <c r="M164" s="233"/>
      <c r="N164" s="233"/>
      <c r="O164" s="255" t="str">
        <f t="shared" si="8"/>
        <v>-</v>
      </c>
      <c r="P164" s="256" t="str">
        <f t="shared" si="7"/>
        <v>-</v>
      </c>
      <c r="Q164" s="87"/>
      <c r="R164" s="87"/>
    </row>
    <row r="165" spans="3:18" x14ac:dyDescent="0.25">
      <c r="C165" s="233"/>
      <c r="D165" s="249"/>
      <c r="E165" s="238"/>
      <c r="F165" s="250" t="str">
        <f t="shared" si="6"/>
        <v>-</v>
      </c>
      <c r="G165" s="242"/>
      <c r="H165" s="251"/>
      <c r="I165" s="233"/>
      <c r="J165" s="252" t="str">
        <f>IFERROR(MIN('MP Calculations'!$E$29/I165,1),"-")</f>
        <v>-</v>
      </c>
      <c r="K165" s="257"/>
      <c r="L165" s="233"/>
      <c r="M165" s="233"/>
      <c r="N165" s="233"/>
      <c r="O165" s="255" t="str">
        <f t="shared" si="8"/>
        <v>-</v>
      </c>
      <c r="P165" s="256" t="str">
        <f t="shared" si="7"/>
        <v>-</v>
      </c>
      <c r="Q165" s="87"/>
      <c r="R165" s="87"/>
    </row>
    <row r="166" spans="3:18" x14ac:dyDescent="0.25">
      <c r="C166" s="233"/>
      <c r="D166" s="249"/>
      <c r="E166" s="238"/>
      <c r="F166" s="250" t="str">
        <f t="shared" si="6"/>
        <v>-</v>
      </c>
      <c r="G166" s="242"/>
      <c r="H166" s="251"/>
      <c r="I166" s="233"/>
      <c r="J166" s="252" t="str">
        <f>IFERROR(MIN('MP Calculations'!$E$29/I166,1),"-")</f>
        <v>-</v>
      </c>
      <c r="K166" s="257"/>
      <c r="L166" s="233"/>
      <c r="M166" s="233"/>
      <c r="N166" s="233"/>
      <c r="O166" s="255" t="str">
        <f t="shared" si="8"/>
        <v>-</v>
      </c>
      <c r="P166" s="256" t="str">
        <f t="shared" si="7"/>
        <v>-</v>
      </c>
      <c r="Q166" s="87"/>
      <c r="R166" s="87"/>
    </row>
    <row r="167" spans="3:18" x14ac:dyDescent="0.25">
      <c r="C167" s="233"/>
      <c r="D167" s="249"/>
      <c r="E167" s="238"/>
      <c r="F167" s="250" t="str">
        <f t="shared" si="6"/>
        <v>-</v>
      </c>
      <c r="G167" s="242"/>
      <c r="H167" s="251"/>
      <c r="I167" s="233"/>
      <c r="J167" s="252" t="str">
        <f>IFERROR(MIN('MP Calculations'!$E$29/I167,1),"-")</f>
        <v>-</v>
      </c>
      <c r="K167" s="257"/>
      <c r="L167" s="233"/>
      <c r="M167" s="233"/>
      <c r="N167" s="233"/>
      <c r="O167" s="255" t="str">
        <f t="shared" si="8"/>
        <v>-</v>
      </c>
      <c r="P167" s="256" t="str">
        <f t="shared" si="7"/>
        <v>-</v>
      </c>
      <c r="Q167" s="87"/>
      <c r="R167" s="87"/>
    </row>
    <row r="168" spans="3:18" x14ac:dyDescent="0.25">
      <c r="C168" s="233"/>
      <c r="D168" s="249"/>
      <c r="E168" s="238"/>
      <c r="F168" s="250" t="str">
        <f t="shared" si="6"/>
        <v>-</v>
      </c>
      <c r="G168" s="242"/>
      <c r="H168" s="251"/>
      <c r="I168" s="233"/>
      <c r="J168" s="252" t="str">
        <f>IFERROR(MIN('MP Calculations'!$E$29/I168,1),"-")</f>
        <v>-</v>
      </c>
      <c r="K168" s="257"/>
      <c r="L168" s="233"/>
      <c r="M168" s="233"/>
      <c r="N168" s="233"/>
      <c r="O168" s="255" t="str">
        <f t="shared" si="8"/>
        <v>-</v>
      </c>
      <c r="P168" s="256" t="str">
        <f t="shared" si="7"/>
        <v>-</v>
      </c>
      <c r="Q168" s="87"/>
      <c r="R168" s="87"/>
    </row>
    <row r="169" spans="3:18" x14ac:dyDescent="0.25">
      <c r="C169" s="233"/>
      <c r="D169" s="249"/>
      <c r="E169" s="238"/>
      <c r="F169" s="250" t="str">
        <f t="shared" si="6"/>
        <v>-</v>
      </c>
      <c r="G169" s="242"/>
      <c r="H169" s="251"/>
      <c r="I169" s="233"/>
      <c r="J169" s="252" t="str">
        <f>IFERROR(MIN('MP Calculations'!$E$29/I169,1),"-")</f>
        <v>-</v>
      </c>
      <c r="K169" s="257"/>
      <c r="L169" s="233"/>
      <c r="M169" s="233"/>
      <c r="N169" s="233"/>
      <c r="O169" s="255" t="str">
        <f t="shared" si="8"/>
        <v>-</v>
      </c>
      <c r="P169" s="256" t="str">
        <f t="shared" si="7"/>
        <v>-</v>
      </c>
      <c r="Q169" s="87"/>
      <c r="R169" s="87"/>
    </row>
    <row r="170" spans="3:18" x14ac:dyDescent="0.25">
      <c r="C170" s="233"/>
      <c r="D170" s="249"/>
      <c r="E170" s="238"/>
      <c r="F170" s="250" t="str">
        <f t="shared" si="6"/>
        <v>-</v>
      </c>
      <c r="G170" s="242"/>
      <c r="H170" s="251"/>
      <c r="I170" s="233"/>
      <c r="J170" s="252" t="str">
        <f>IFERROR(MIN('MP Calculations'!$E$29/I170,1),"-")</f>
        <v>-</v>
      </c>
      <c r="K170" s="257"/>
      <c r="L170" s="233"/>
      <c r="M170" s="233"/>
      <c r="N170" s="233"/>
      <c r="O170" s="255" t="str">
        <f t="shared" si="8"/>
        <v>-</v>
      </c>
      <c r="P170" s="256" t="str">
        <f t="shared" si="7"/>
        <v>-</v>
      </c>
      <c r="Q170" s="87"/>
      <c r="R170" s="87"/>
    </row>
    <row r="171" spans="3:18" x14ac:dyDescent="0.25">
      <c r="C171" s="233"/>
      <c r="D171" s="249"/>
      <c r="E171" s="238"/>
      <c r="F171" s="250" t="str">
        <f t="shared" si="6"/>
        <v>-</v>
      </c>
      <c r="G171" s="242"/>
      <c r="H171" s="251"/>
      <c r="I171" s="233"/>
      <c r="J171" s="252" t="str">
        <f>IFERROR(MIN('MP Calculations'!$E$29/I171,1),"-")</f>
        <v>-</v>
      </c>
      <c r="K171" s="257"/>
      <c r="L171" s="233"/>
      <c r="M171" s="233"/>
      <c r="N171" s="233"/>
      <c r="O171" s="255" t="str">
        <f t="shared" si="8"/>
        <v>-</v>
      </c>
      <c r="P171" s="256" t="str">
        <f t="shared" si="7"/>
        <v>-</v>
      </c>
      <c r="Q171" s="87"/>
      <c r="R171" s="87"/>
    </row>
    <row r="172" spans="3:18" x14ac:dyDescent="0.25">
      <c r="C172" s="233"/>
      <c r="D172" s="249"/>
      <c r="E172" s="238"/>
      <c r="F172" s="250" t="str">
        <f t="shared" si="6"/>
        <v>-</v>
      </c>
      <c r="G172" s="242"/>
      <c r="H172" s="251"/>
      <c r="I172" s="233"/>
      <c r="J172" s="252" t="str">
        <f>IFERROR(MIN('MP Calculations'!$E$29/I172,1),"-")</f>
        <v>-</v>
      </c>
      <c r="K172" s="257"/>
      <c r="L172" s="233"/>
      <c r="M172" s="233"/>
      <c r="N172" s="233"/>
      <c r="O172" s="255" t="str">
        <f t="shared" si="8"/>
        <v>-</v>
      </c>
      <c r="P172" s="256" t="str">
        <f t="shared" si="7"/>
        <v>-</v>
      </c>
      <c r="Q172" s="87"/>
      <c r="R172" s="87"/>
    </row>
    <row r="173" spans="3:18" x14ac:dyDescent="0.25">
      <c r="C173" s="233"/>
      <c r="D173" s="249"/>
      <c r="E173" s="238"/>
      <c r="F173" s="250" t="str">
        <f t="shared" si="6"/>
        <v>-</v>
      </c>
      <c r="G173" s="242"/>
      <c r="H173" s="251"/>
      <c r="I173" s="233"/>
      <c r="J173" s="252" t="str">
        <f>IFERROR(MIN('MP Calculations'!$E$29/I173,1),"-")</f>
        <v>-</v>
      </c>
      <c r="K173" s="257"/>
      <c r="L173" s="233"/>
      <c r="M173" s="233"/>
      <c r="N173" s="233"/>
      <c r="O173" s="255" t="str">
        <f t="shared" si="8"/>
        <v>-</v>
      </c>
      <c r="P173" s="256" t="str">
        <f t="shared" si="7"/>
        <v>-</v>
      </c>
      <c r="Q173" s="87"/>
      <c r="R173" s="87"/>
    </row>
    <row r="174" spans="3:18" x14ac:dyDescent="0.25">
      <c r="C174" s="233"/>
      <c r="D174" s="249"/>
      <c r="E174" s="238"/>
      <c r="F174" s="250" t="str">
        <f t="shared" si="6"/>
        <v>-</v>
      </c>
      <c r="G174" s="242"/>
      <c r="H174" s="251"/>
      <c r="I174" s="233"/>
      <c r="J174" s="252" t="str">
        <f>IFERROR(MIN('MP Calculations'!$E$29/I174,1),"-")</f>
        <v>-</v>
      </c>
      <c r="K174" s="257"/>
      <c r="L174" s="233"/>
      <c r="M174" s="233"/>
      <c r="N174" s="233"/>
      <c r="O174" s="255" t="str">
        <f t="shared" si="8"/>
        <v>-</v>
      </c>
      <c r="P174" s="256" t="str">
        <f t="shared" si="7"/>
        <v>-</v>
      </c>
      <c r="Q174" s="87"/>
      <c r="R174" s="87"/>
    </row>
    <row r="175" spans="3:18" x14ac:dyDescent="0.25">
      <c r="C175" s="233"/>
      <c r="D175" s="249"/>
      <c r="E175" s="238"/>
      <c r="F175" s="250" t="str">
        <f t="shared" si="6"/>
        <v>-</v>
      </c>
      <c r="G175" s="242"/>
      <c r="H175" s="251"/>
      <c r="I175" s="233"/>
      <c r="J175" s="252" t="str">
        <f>IFERROR(MIN('MP Calculations'!$E$29/I175,1),"-")</f>
        <v>-</v>
      </c>
      <c r="K175" s="257"/>
      <c r="L175" s="233"/>
      <c r="M175" s="233"/>
      <c r="N175" s="233"/>
      <c r="O175" s="255" t="str">
        <f t="shared" si="8"/>
        <v>-</v>
      </c>
      <c r="P175" s="256" t="str">
        <f t="shared" si="7"/>
        <v>-</v>
      </c>
      <c r="Q175" s="87"/>
      <c r="R175" s="87"/>
    </row>
    <row r="176" spans="3:18" x14ac:dyDescent="0.25">
      <c r="C176" s="233"/>
      <c r="D176" s="249"/>
      <c r="E176" s="238"/>
      <c r="F176" s="250" t="str">
        <f t="shared" si="6"/>
        <v>-</v>
      </c>
      <c r="G176" s="242"/>
      <c r="H176" s="251"/>
      <c r="I176" s="233"/>
      <c r="J176" s="252" t="str">
        <f>IFERROR(MIN('MP Calculations'!$E$29/I176,1),"-")</f>
        <v>-</v>
      </c>
      <c r="K176" s="257"/>
      <c r="L176" s="233"/>
      <c r="M176" s="233"/>
      <c r="N176" s="233"/>
      <c r="O176" s="255" t="str">
        <f t="shared" si="8"/>
        <v>-</v>
      </c>
      <c r="P176" s="256" t="str">
        <f t="shared" si="7"/>
        <v>-</v>
      </c>
      <c r="Q176" s="87"/>
      <c r="R176" s="87"/>
    </row>
    <row r="177" spans="3:18" x14ac:dyDescent="0.25">
      <c r="C177" s="233"/>
      <c r="D177" s="249"/>
      <c r="E177" s="238"/>
      <c r="F177" s="250" t="str">
        <f t="shared" si="6"/>
        <v>-</v>
      </c>
      <c r="G177" s="242"/>
      <c r="H177" s="251"/>
      <c r="I177" s="233"/>
      <c r="J177" s="252" t="str">
        <f>IFERROR(MIN('MP Calculations'!$E$29/I177,1),"-")</f>
        <v>-</v>
      </c>
      <c r="K177" s="257"/>
      <c r="L177" s="233"/>
      <c r="M177" s="233"/>
      <c r="N177" s="233"/>
      <c r="O177" s="255" t="str">
        <f t="shared" si="8"/>
        <v>-</v>
      </c>
      <c r="P177" s="256" t="str">
        <f t="shared" si="7"/>
        <v>-</v>
      </c>
      <c r="Q177" s="87"/>
      <c r="R177" s="87"/>
    </row>
    <row r="178" spans="3:18" x14ac:dyDescent="0.25">
      <c r="C178" s="233"/>
      <c r="D178" s="249"/>
      <c r="E178" s="238"/>
      <c r="F178" s="250" t="str">
        <f t="shared" si="6"/>
        <v>-</v>
      </c>
      <c r="G178" s="242"/>
      <c r="H178" s="251"/>
      <c r="I178" s="233"/>
      <c r="J178" s="252" t="str">
        <f>IFERROR(MIN('MP Calculations'!$E$29/I178,1),"-")</f>
        <v>-</v>
      </c>
      <c r="K178" s="257"/>
      <c r="L178" s="233"/>
      <c r="M178" s="233"/>
      <c r="N178" s="233"/>
      <c r="O178" s="255" t="str">
        <f t="shared" si="8"/>
        <v>-</v>
      </c>
      <c r="P178" s="256" t="str">
        <f t="shared" si="7"/>
        <v>-</v>
      </c>
      <c r="Q178" s="87"/>
      <c r="R178" s="87"/>
    </row>
    <row r="179" spans="3:18" x14ac:dyDescent="0.25">
      <c r="C179" s="233"/>
      <c r="D179" s="249"/>
      <c r="E179" s="238"/>
      <c r="F179" s="250" t="str">
        <f t="shared" si="6"/>
        <v>-</v>
      </c>
      <c r="G179" s="242"/>
      <c r="H179" s="251"/>
      <c r="I179" s="233"/>
      <c r="J179" s="252" t="str">
        <f>IFERROR(MIN('MP Calculations'!$E$29/I179,1),"-")</f>
        <v>-</v>
      </c>
      <c r="K179" s="257"/>
      <c r="L179" s="233"/>
      <c r="M179" s="233"/>
      <c r="N179" s="233"/>
      <c r="O179" s="255" t="str">
        <f t="shared" si="8"/>
        <v>-</v>
      </c>
      <c r="P179" s="256" t="str">
        <f t="shared" si="7"/>
        <v>-</v>
      </c>
      <c r="Q179" s="87"/>
      <c r="R179" s="87"/>
    </row>
    <row r="180" spans="3:18" x14ac:dyDescent="0.25">
      <c r="C180" s="233"/>
      <c r="D180" s="249"/>
      <c r="E180" s="238"/>
      <c r="F180" s="250" t="str">
        <f t="shared" si="6"/>
        <v>-</v>
      </c>
      <c r="G180" s="242"/>
      <c r="H180" s="251"/>
      <c r="I180" s="233"/>
      <c r="J180" s="252" t="str">
        <f>IFERROR(MIN('MP Calculations'!$E$29/I180,1),"-")</f>
        <v>-</v>
      </c>
      <c r="K180" s="257"/>
      <c r="L180" s="233"/>
      <c r="M180" s="233"/>
      <c r="N180" s="233"/>
      <c r="O180" s="255" t="str">
        <f t="shared" si="8"/>
        <v>-</v>
      </c>
      <c r="P180" s="256" t="str">
        <f t="shared" si="7"/>
        <v>-</v>
      </c>
      <c r="Q180" s="87"/>
      <c r="R180" s="87"/>
    </row>
    <row r="181" spans="3:18" x14ac:dyDescent="0.25">
      <c r="C181" s="233"/>
      <c r="D181" s="249"/>
      <c r="E181" s="238"/>
      <c r="F181" s="250" t="str">
        <f t="shared" si="6"/>
        <v>-</v>
      </c>
      <c r="G181" s="242"/>
      <c r="H181" s="251"/>
      <c r="I181" s="233"/>
      <c r="J181" s="252" t="str">
        <f>IFERROR(MIN('MP Calculations'!$E$29/I181,1),"-")</f>
        <v>-</v>
      </c>
      <c r="K181" s="257"/>
      <c r="L181" s="233"/>
      <c r="M181" s="233"/>
      <c r="N181" s="233"/>
      <c r="O181" s="255" t="str">
        <f t="shared" si="8"/>
        <v>-</v>
      </c>
      <c r="P181" s="256" t="str">
        <f t="shared" si="7"/>
        <v>-</v>
      </c>
      <c r="Q181" s="87"/>
      <c r="R181" s="87"/>
    </row>
    <row r="182" spans="3:18" x14ac:dyDescent="0.25">
      <c r="C182" s="233"/>
      <c r="D182" s="249"/>
      <c r="E182" s="238"/>
      <c r="F182" s="250" t="str">
        <f t="shared" si="6"/>
        <v>-</v>
      </c>
      <c r="G182" s="242"/>
      <c r="H182" s="251"/>
      <c r="I182" s="233"/>
      <c r="J182" s="252" t="str">
        <f>IFERROR(MIN('MP Calculations'!$E$29/I182,1),"-")</f>
        <v>-</v>
      </c>
      <c r="K182" s="257"/>
      <c r="L182" s="233"/>
      <c r="M182" s="233"/>
      <c r="N182" s="233"/>
      <c r="O182" s="255" t="str">
        <f t="shared" si="8"/>
        <v>-</v>
      </c>
      <c r="P182" s="256" t="str">
        <f t="shared" si="7"/>
        <v>-</v>
      </c>
      <c r="Q182" s="87"/>
      <c r="R182" s="87"/>
    </row>
    <row r="183" spans="3:18" x14ac:dyDescent="0.25">
      <c r="C183" s="233"/>
      <c r="D183" s="249"/>
      <c r="E183" s="238"/>
      <c r="F183" s="250" t="str">
        <f t="shared" si="6"/>
        <v>-</v>
      </c>
      <c r="G183" s="242"/>
      <c r="H183" s="251"/>
      <c r="I183" s="233"/>
      <c r="J183" s="252" t="str">
        <f>IFERROR(MIN('MP Calculations'!$E$29/I183,1),"-")</f>
        <v>-</v>
      </c>
      <c r="K183" s="257"/>
      <c r="L183" s="233"/>
      <c r="M183" s="233"/>
      <c r="N183" s="233"/>
      <c r="O183" s="255" t="str">
        <f t="shared" si="8"/>
        <v>-</v>
      </c>
      <c r="P183" s="256" t="str">
        <f t="shared" si="7"/>
        <v>-</v>
      </c>
      <c r="Q183" s="87"/>
      <c r="R183" s="87"/>
    </row>
    <row r="184" spans="3:18" x14ac:dyDescent="0.25">
      <c r="C184" s="233"/>
      <c r="D184" s="249"/>
      <c r="E184" s="238"/>
      <c r="F184" s="250" t="str">
        <f t="shared" ref="F184:F217" si="9">IF(E184="","-",IF(OR(E184&lt;$E$15,E184&gt;$E$16),"ERROR - date outside of range","Date check - OK"))</f>
        <v>-</v>
      </c>
      <c r="G184" s="242"/>
      <c r="H184" s="251"/>
      <c r="I184" s="233"/>
      <c r="J184" s="252" t="str">
        <f>IFERROR(MIN('MP Calculations'!$E$29/I184,1),"-")</f>
        <v>-</v>
      </c>
      <c r="K184" s="257"/>
      <c r="L184" s="233"/>
      <c r="M184" s="233"/>
      <c r="N184" s="233"/>
      <c r="O184" s="255" t="str">
        <f t="shared" si="8"/>
        <v>-</v>
      </c>
      <c r="P184" s="256" t="str">
        <f t="shared" ref="P184:P217" si="10">IF(O184="-","-",IF(OR(E184&lt;$E$15,E184&gt;$E$16),0,O184*J184))</f>
        <v>-</v>
      </c>
      <c r="Q184" s="87"/>
      <c r="R184" s="87"/>
    </row>
    <row r="185" spans="3:18" x14ac:dyDescent="0.25">
      <c r="C185" s="233"/>
      <c r="D185" s="249"/>
      <c r="E185" s="238"/>
      <c r="F185" s="250" t="str">
        <f t="shared" si="9"/>
        <v>-</v>
      </c>
      <c r="G185" s="242"/>
      <c r="H185" s="251"/>
      <c r="I185" s="233"/>
      <c r="J185" s="252" t="str">
        <f>IFERROR(MIN('MP Calculations'!$E$29/I185,1),"-")</f>
        <v>-</v>
      </c>
      <c r="K185" s="257"/>
      <c r="L185" s="233"/>
      <c r="M185" s="233"/>
      <c r="N185" s="233"/>
      <c r="O185" s="255" t="str">
        <f t="shared" si="8"/>
        <v>-</v>
      </c>
      <c r="P185" s="256" t="str">
        <f t="shared" si="10"/>
        <v>-</v>
      </c>
      <c r="Q185" s="87"/>
      <c r="R185" s="87"/>
    </row>
    <row r="186" spans="3:18" x14ac:dyDescent="0.25">
      <c r="C186" s="233"/>
      <c r="D186" s="249"/>
      <c r="E186" s="238"/>
      <c r="F186" s="250" t="str">
        <f t="shared" si="9"/>
        <v>-</v>
      </c>
      <c r="G186" s="242"/>
      <c r="H186" s="251"/>
      <c r="I186" s="233"/>
      <c r="J186" s="252" t="str">
        <f>IFERROR(MIN('MP Calculations'!$E$29/I186,1),"-")</f>
        <v>-</v>
      </c>
      <c r="K186" s="257"/>
      <c r="L186" s="233"/>
      <c r="M186" s="233"/>
      <c r="N186" s="233"/>
      <c r="O186" s="255" t="str">
        <f t="shared" si="8"/>
        <v>-</v>
      </c>
      <c r="P186" s="256" t="str">
        <f t="shared" si="10"/>
        <v>-</v>
      </c>
      <c r="Q186" s="87"/>
      <c r="R186" s="87"/>
    </row>
    <row r="187" spans="3:18" x14ac:dyDescent="0.25">
      <c r="C187" s="233"/>
      <c r="D187" s="249"/>
      <c r="E187" s="238"/>
      <c r="F187" s="250" t="str">
        <f t="shared" si="9"/>
        <v>-</v>
      </c>
      <c r="G187" s="242"/>
      <c r="H187" s="251"/>
      <c r="I187" s="233"/>
      <c r="J187" s="252" t="str">
        <f>IFERROR(MIN('MP Calculations'!$E$29/I187,1),"-")</f>
        <v>-</v>
      </c>
      <c r="K187" s="257"/>
      <c r="L187" s="233"/>
      <c r="M187" s="233"/>
      <c r="N187" s="233"/>
      <c r="O187" s="255" t="str">
        <f t="shared" si="8"/>
        <v>-</v>
      </c>
      <c r="P187" s="256" t="str">
        <f t="shared" si="10"/>
        <v>-</v>
      </c>
      <c r="Q187" s="87"/>
      <c r="R187" s="87"/>
    </row>
    <row r="188" spans="3:18" x14ac:dyDescent="0.25">
      <c r="C188" s="233"/>
      <c r="D188" s="249"/>
      <c r="E188" s="238"/>
      <c r="F188" s="250" t="str">
        <f t="shared" si="9"/>
        <v>-</v>
      </c>
      <c r="G188" s="242"/>
      <c r="H188" s="251"/>
      <c r="I188" s="233"/>
      <c r="J188" s="252" t="str">
        <f>IFERROR(MIN('MP Calculations'!$E$29/I188,1),"-")</f>
        <v>-</v>
      </c>
      <c r="K188" s="257"/>
      <c r="L188" s="233"/>
      <c r="M188" s="233"/>
      <c r="N188" s="233"/>
      <c r="O188" s="255" t="str">
        <f t="shared" si="8"/>
        <v>-</v>
      </c>
      <c r="P188" s="256" t="str">
        <f t="shared" si="10"/>
        <v>-</v>
      </c>
      <c r="Q188" s="87"/>
      <c r="R188" s="87"/>
    </row>
    <row r="189" spans="3:18" x14ac:dyDescent="0.25">
      <c r="C189" s="233"/>
      <c r="D189" s="249"/>
      <c r="E189" s="238"/>
      <c r="F189" s="250" t="str">
        <f t="shared" si="9"/>
        <v>-</v>
      </c>
      <c r="G189" s="242"/>
      <c r="H189" s="251"/>
      <c r="I189" s="233"/>
      <c r="J189" s="252" t="str">
        <f>IFERROR(MIN('MP Calculations'!$E$29/I189,1),"-")</f>
        <v>-</v>
      </c>
      <c r="K189" s="257"/>
      <c r="L189" s="233"/>
      <c r="M189" s="233"/>
      <c r="N189" s="233"/>
      <c r="O189" s="255" t="str">
        <f t="shared" si="8"/>
        <v>-</v>
      </c>
      <c r="P189" s="256" t="str">
        <f t="shared" si="10"/>
        <v>-</v>
      </c>
      <c r="Q189" s="87"/>
      <c r="R189" s="87"/>
    </row>
    <row r="190" spans="3:18" x14ac:dyDescent="0.25">
      <c r="C190" s="233"/>
      <c r="D190" s="249"/>
      <c r="E190" s="238"/>
      <c r="F190" s="250" t="str">
        <f t="shared" si="9"/>
        <v>-</v>
      </c>
      <c r="G190" s="242"/>
      <c r="H190" s="251"/>
      <c r="I190" s="233"/>
      <c r="J190" s="252" t="str">
        <f>IFERROR(MIN('MP Calculations'!$E$29/I190,1),"-")</f>
        <v>-</v>
      </c>
      <c r="K190" s="257"/>
      <c r="L190" s="233"/>
      <c r="M190" s="233"/>
      <c r="N190" s="233"/>
      <c r="O190" s="255" t="str">
        <f t="shared" si="8"/>
        <v>-</v>
      </c>
      <c r="P190" s="256" t="str">
        <f t="shared" si="10"/>
        <v>-</v>
      </c>
      <c r="Q190" s="87"/>
      <c r="R190" s="87"/>
    </row>
    <row r="191" spans="3:18" x14ac:dyDescent="0.25">
      <c r="C191" s="233"/>
      <c r="D191" s="249"/>
      <c r="E191" s="238"/>
      <c r="F191" s="250" t="str">
        <f t="shared" si="9"/>
        <v>-</v>
      </c>
      <c r="G191" s="242"/>
      <c r="H191" s="251"/>
      <c r="I191" s="233"/>
      <c r="J191" s="252" t="str">
        <f>IFERROR(MIN('MP Calculations'!$E$29/I191,1),"-")</f>
        <v>-</v>
      </c>
      <c r="K191" s="257"/>
      <c r="L191" s="233"/>
      <c r="M191" s="233"/>
      <c r="N191" s="233"/>
      <c r="O191" s="255" t="str">
        <f t="shared" si="8"/>
        <v>-</v>
      </c>
      <c r="P191" s="256" t="str">
        <f t="shared" si="10"/>
        <v>-</v>
      </c>
      <c r="Q191" s="87"/>
      <c r="R191" s="87"/>
    </row>
    <row r="192" spans="3:18" x14ac:dyDescent="0.25">
      <c r="C192" s="233"/>
      <c r="D192" s="249"/>
      <c r="E192" s="238"/>
      <c r="F192" s="250" t="str">
        <f t="shared" si="9"/>
        <v>-</v>
      </c>
      <c r="G192" s="242"/>
      <c r="H192" s="251"/>
      <c r="I192" s="233"/>
      <c r="J192" s="252" t="str">
        <f>IFERROR(MIN('MP Calculations'!$E$29/I192,1),"-")</f>
        <v>-</v>
      </c>
      <c r="K192" s="257"/>
      <c r="L192" s="233"/>
      <c r="M192" s="233"/>
      <c r="N192" s="233"/>
      <c r="O192" s="255" t="str">
        <f t="shared" si="8"/>
        <v>-</v>
      </c>
      <c r="P192" s="256" t="str">
        <f t="shared" si="10"/>
        <v>-</v>
      </c>
      <c r="Q192" s="87"/>
      <c r="R192" s="87"/>
    </row>
    <row r="193" spans="3:18" x14ac:dyDescent="0.25">
      <c r="C193" s="233"/>
      <c r="D193" s="249"/>
      <c r="E193" s="238"/>
      <c r="F193" s="250" t="str">
        <f t="shared" si="9"/>
        <v>-</v>
      </c>
      <c r="G193" s="242"/>
      <c r="H193" s="251"/>
      <c r="I193" s="233"/>
      <c r="J193" s="252" t="str">
        <f>IFERROR(MIN('MP Calculations'!$E$29/I193,1),"-")</f>
        <v>-</v>
      </c>
      <c r="K193" s="257"/>
      <c r="L193" s="233"/>
      <c r="M193" s="233"/>
      <c r="N193" s="233"/>
      <c r="O193" s="255" t="str">
        <f t="shared" si="8"/>
        <v>-</v>
      </c>
      <c r="P193" s="256" t="str">
        <f t="shared" si="10"/>
        <v>-</v>
      </c>
      <c r="Q193" s="87"/>
      <c r="R193" s="87"/>
    </row>
    <row r="194" spans="3:18" x14ac:dyDescent="0.25">
      <c r="C194" s="233"/>
      <c r="D194" s="249"/>
      <c r="E194" s="238"/>
      <c r="F194" s="250" t="str">
        <f t="shared" si="9"/>
        <v>-</v>
      </c>
      <c r="G194" s="242"/>
      <c r="H194" s="251"/>
      <c r="I194" s="233"/>
      <c r="J194" s="252" t="str">
        <f>IFERROR(MIN('MP Calculations'!$E$29/I194,1),"-")</f>
        <v>-</v>
      </c>
      <c r="K194" s="257"/>
      <c r="L194" s="233"/>
      <c r="M194" s="233"/>
      <c r="N194" s="233"/>
      <c r="O194" s="255" t="str">
        <f t="shared" si="8"/>
        <v>-</v>
      </c>
      <c r="P194" s="256" t="str">
        <f t="shared" si="10"/>
        <v>-</v>
      </c>
      <c r="Q194" s="87"/>
      <c r="R194" s="87"/>
    </row>
    <row r="195" spans="3:18" x14ac:dyDescent="0.25">
      <c r="C195" s="233"/>
      <c r="D195" s="249"/>
      <c r="E195" s="238"/>
      <c r="F195" s="250" t="str">
        <f t="shared" si="9"/>
        <v>-</v>
      </c>
      <c r="G195" s="242"/>
      <c r="H195" s="251"/>
      <c r="I195" s="233"/>
      <c r="J195" s="252" t="str">
        <f>IFERROR(MIN('MP Calculations'!$E$29/I195,1),"-")</f>
        <v>-</v>
      </c>
      <c r="K195" s="257"/>
      <c r="L195" s="233"/>
      <c r="M195" s="233"/>
      <c r="N195" s="233"/>
      <c r="O195" s="255" t="str">
        <f t="shared" si="8"/>
        <v>-</v>
      </c>
      <c r="P195" s="256" t="str">
        <f t="shared" si="10"/>
        <v>-</v>
      </c>
      <c r="Q195" s="87"/>
      <c r="R195" s="87"/>
    </row>
    <row r="196" spans="3:18" x14ac:dyDescent="0.25">
      <c r="C196" s="233"/>
      <c r="D196" s="249"/>
      <c r="E196" s="238"/>
      <c r="F196" s="250" t="str">
        <f t="shared" si="9"/>
        <v>-</v>
      </c>
      <c r="G196" s="242"/>
      <c r="H196" s="251"/>
      <c r="I196" s="233"/>
      <c r="J196" s="252" t="str">
        <f>IFERROR(MIN('MP Calculations'!$E$29/I196,1),"-")</f>
        <v>-</v>
      </c>
      <c r="K196" s="257"/>
      <c r="L196" s="233"/>
      <c r="M196" s="233"/>
      <c r="N196" s="233"/>
      <c r="O196" s="255" t="str">
        <f t="shared" si="8"/>
        <v>-</v>
      </c>
      <c r="P196" s="256" t="str">
        <f t="shared" si="10"/>
        <v>-</v>
      </c>
      <c r="Q196" s="87"/>
      <c r="R196" s="87"/>
    </row>
    <row r="197" spans="3:18" x14ac:dyDescent="0.25">
      <c r="C197" s="233"/>
      <c r="D197" s="249"/>
      <c r="E197" s="238"/>
      <c r="F197" s="250" t="str">
        <f t="shared" si="9"/>
        <v>-</v>
      </c>
      <c r="G197" s="242"/>
      <c r="H197" s="251"/>
      <c r="I197" s="233"/>
      <c r="J197" s="252" t="str">
        <f>IFERROR(MIN('MP Calculations'!$E$29/I197,1),"-")</f>
        <v>-</v>
      </c>
      <c r="K197" s="257"/>
      <c r="L197" s="233"/>
      <c r="M197" s="233"/>
      <c r="N197" s="233"/>
      <c r="O197" s="255" t="str">
        <f t="shared" si="8"/>
        <v>-</v>
      </c>
      <c r="P197" s="256" t="str">
        <f t="shared" si="10"/>
        <v>-</v>
      </c>
      <c r="Q197" s="87"/>
      <c r="R197" s="87"/>
    </row>
    <row r="198" spans="3:18" x14ac:dyDescent="0.25">
      <c r="C198" s="233"/>
      <c r="D198" s="249"/>
      <c r="E198" s="238"/>
      <c r="F198" s="250" t="str">
        <f t="shared" si="9"/>
        <v>-</v>
      </c>
      <c r="G198" s="242"/>
      <c r="H198" s="251"/>
      <c r="I198" s="233"/>
      <c r="J198" s="252" t="str">
        <f>IFERROR(MIN('MP Calculations'!$E$29/I198,1),"-")</f>
        <v>-</v>
      </c>
      <c r="K198" s="257"/>
      <c r="L198" s="233"/>
      <c r="M198" s="233"/>
      <c r="N198" s="233"/>
      <c r="O198" s="255" t="str">
        <f t="shared" si="8"/>
        <v>-</v>
      </c>
      <c r="P198" s="256" t="str">
        <f t="shared" si="10"/>
        <v>-</v>
      </c>
      <c r="Q198" s="87"/>
      <c r="R198" s="87"/>
    </row>
    <row r="199" spans="3:18" x14ac:dyDescent="0.25">
      <c r="C199" s="233"/>
      <c r="D199" s="249"/>
      <c r="E199" s="238"/>
      <c r="F199" s="250" t="str">
        <f t="shared" si="9"/>
        <v>-</v>
      </c>
      <c r="G199" s="242"/>
      <c r="H199" s="251"/>
      <c r="I199" s="233"/>
      <c r="J199" s="252" t="str">
        <f>IFERROR(MIN('MP Calculations'!$E$29/I199,1),"-")</f>
        <v>-</v>
      </c>
      <c r="K199" s="257"/>
      <c r="L199" s="233"/>
      <c r="M199" s="233"/>
      <c r="N199" s="233"/>
      <c r="O199" s="255" t="str">
        <f t="shared" si="8"/>
        <v>-</v>
      </c>
      <c r="P199" s="256" t="str">
        <f t="shared" si="10"/>
        <v>-</v>
      </c>
      <c r="Q199" s="87"/>
      <c r="R199" s="87"/>
    </row>
    <row r="200" spans="3:18" x14ac:dyDescent="0.25">
      <c r="C200" s="233"/>
      <c r="D200" s="249"/>
      <c r="E200" s="238"/>
      <c r="F200" s="250" t="str">
        <f t="shared" si="9"/>
        <v>-</v>
      </c>
      <c r="G200" s="242"/>
      <c r="H200" s="251"/>
      <c r="I200" s="233"/>
      <c r="J200" s="252" t="str">
        <f>IFERROR(MIN('MP Calculations'!$E$29/I200,1),"-")</f>
        <v>-</v>
      </c>
      <c r="K200" s="257"/>
      <c r="L200" s="233"/>
      <c r="M200" s="233"/>
      <c r="N200" s="233"/>
      <c r="O200" s="255" t="str">
        <f t="shared" si="8"/>
        <v>-</v>
      </c>
      <c r="P200" s="256" t="str">
        <f t="shared" si="10"/>
        <v>-</v>
      </c>
      <c r="Q200" s="87"/>
      <c r="R200" s="87"/>
    </row>
    <row r="201" spans="3:18" x14ac:dyDescent="0.25">
      <c r="C201" s="233"/>
      <c r="D201" s="249"/>
      <c r="E201" s="238"/>
      <c r="F201" s="250" t="str">
        <f t="shared" si="9"/>
        <v>-</v>
      </c>
      <c r="G201" s="242"/>
      <c r="H201" s="251"/>
      <c r="I201" s="233"/>
      <c r="J201" s="252" t="str">
        <f>IFERROR(MIN('MP Calculations'!$E$29/I201,1),"-")</f>
        <v>-</v>
      </c>
      <c r="K201" s="257"/>
      <c r="L201" s="233"/>
      <c r="M201" s="233"/>
      <c r="N201" s="233"/>
      <c r="O201" s="255" t="str">
        <f t="shared" si="8"/>
        <v>-</v>
      </c>
      <c r="P201" s="256" t="str">
        <f t="shared" si="10"/>
        <v>-</v>
      </c>
      <c r="Q201" s="87"/>
      <c r="R201" s="87"/>
    </row>
    <row r="202" spans="3:18" x14ac:dyDescent="0.25">
      <c r="C202" s="233"/>
      <c r="D202" s="249"/>
      <c r="E202" s="238"/>
      <c r="F202" s="250" t="str">
        <f t="shared" si="9"/>
        <v>-</v>
      </c>
      <c r="G202" s="242"/>
      <c r="H202" s="251"/>
      <c r="I202" s="233"/>
      <c r="J202" s="252" t="str">
        <f>IFERROR(MIN('MP Calculations'!$E$29/I202,1),"-")</f>
        <v>-</v>
      </c>
      <c r="K202" s="257"/>
      <c r="L202" s="233"/>
      <c r="M202" s="233"/>
      <c r="N202" s="233"/>
      <c r="O202" s="255" t="str">
        <f t="shared" si="8"/>
        <v>-</v>
      </c>
      <c r="P202" s="256" t="str">
        <f t="shared" si="10"/>
        <v>-</v>
      </c>
      <c r="Q202" s="87"/>
      <c r="R202" s="87"/>
    </row>
    <row r="203" spans="3:18" x14ac:dyDescent="0.25">
      <c r="C203" s="233"/>
      <c r="D203" s="249"/>
      <c r="E203" s="238"/>
      <c r="F203" s="250" t="str">
        <f t="shared" si="9"/>
        <v>-</v>
      </c>
      <c r="G203" s="242"/>
      <c r="H203" s="251"/>
      <c r="I203" s="233"/>
      <c r="J203" s="252" t="str">
        <f>IFERROR(MIN('MP Calculations'!$E$29/I203,1),"-")</f>
        <v>-</v>
      </c>
      <c r="K203" s="257"/>
      <c r="L203" s="233"/>
      <c r="M203" s="233"/>
      <c r="N203" s="233"/>
      <c r="O203" s="255" t="str">
        <f t="shared" si="8"/>
        <v>-</v>
      </c>
      <c r="P203" s="256" t="str">
        <f t="shared" si="10"/>
        <v>-</v>
      </c>
      <c r="Q203" s="87"/>
      <c r="R203" s="87"/>
    </row>
    <row r="204" spans="3:18" x14ac:dyDescent="0.25">
      <c r="C204" s="233"/>
      <c r="D204" s="249"/>
      <c r="E204" s="238"/>
      <c r="F204" s="250" t="str">
        <f t="shared" si="9"/>
        <v>-</v>
      </c>
      <c r="G204" s="242"/>
      <c r="H204" s="251"/>
      <c r="I204" s="233"/>
      <c r="J204" s="252" t="str">
        <f>IFERROR(MIN('MP Calculations'!$E$29/I204,1),"-")</f>
        <v>-</v>
      </c>
      <c r="K204" s="257"/>
      <c r="L204" s="233"/>
      <c r="M204" s="233"/>
      <c r="N204" s="233"/>
      <c r="O204" s="255" t="str">
        <f t="shared" si="8"/>
        <v>-</v>
      </c>
      <c r="P204" s="256" t="str">
        <f t="shared" si="10"/>
        <v>-</v>
      </c>
      <c r="Q204" s="87"/>
      <c r="R204" s="87"/>
    </row>
    <row r="205" spans="3:18" x14ac:dyDescent="0.25">
      <c r="C205" s="233"/>
      <c r="D205" s="249"/>
      <c r="E205" s="238"/>
      <c r="F205" s="250" t="str">
        <f t="shared" si="9"/>
        <v>-</v>
      </c>
      <c r="G205" s="242"/>
      <c r="H205" s="251"/>
      <c r="I205" s="233"/>
      <c r="J205" s="252" t="str">
        <f>IFERROR(MIN('MP Calculations'!$E$29/I205,1),"-")</f>
        <v>-</v>
      </c>
      <c r="K205" s="257"/>
      <c r="L205" s="233"/>
      <c r="M205" s="233"/>
      <c r="N205" s="233"/>
      <c r="O205" s="255" t="str">
        <f t="shared" si="8"/>
        <v>-</v>
      </c>
      <c r="P205" s="256" t="str">
        <f t="shared" si="10"/>
        <v>-</v>
      </c>
      <c r="Q205" s="87"/>
      <c r="R205" s="87"/>
    </row>
    <row r="206" spans="3:18" x14ac:dyDescent="0.25">
      <c r="C206" s="233"/>
      <c r="D206" s="249"/>
      <c r="E206" s="238"/>
      <c r="F206" s="250" t="str">
        <f t="shared" si="9"/>
        <v>-</v>
      </c>
      <c r="G206" s="242"/>
      <c r="H206" s="251"/>
      <c r="I206" s="233"/>
      <c r="J206" s="252" t="str">
        <f>IFERROR(MIN('MP Calculations'!$E$29/I206,1),"-")</f>
        <v>-</v>
      </c>
      <c r="K206" s="257"/>
      <c r="L206" s="233"/>
      <c r="M206" s="233"/>
      <c r="N206" s="233"/>
      <c r="O206" s="255" t="str">
        <f t="shared" si="8"/>
        <v>-</v>
      </c>
      <c r="P206" s="256" t="str">
        <f t="shared" si="10"/>
        <v>-</v>
      </c>
      <c r="Q206" s="87"/>
      <c r="R206" s="87"/>
    </row>
    <row r="207" spans="3:18" x14ac:dyDescent="0.25">
      <c r="C207" s="233"/>
      <c r="D207" s="249"/>
      <c r="E207" s="238"/>
      <c r="F207" s="250" t="str">
        <f t="shared" si="9"/>
        <v>-</v>
      </c>
      <c r="G207" s="242"/>
      <c r="H207" s="251"/>
      <c r="I207" s="233"/>
      <c r="J207" s="252" t="str">
        <f>IFERROR(MIN('MP Calculations'!$E$29/I207,1),"-")</f>
        <v>-</v>
      </c>
      <c r="K207" s="257"/>
      <c r="L207" s="233"/>
      <c r="M207" s="233"/>
      <c r="N207" s="233"/>
      <c r="O207" s="255" t="str">
        <f t="shared" si="8"/>
        <v>-</v>
      </c>
      <c r="P207" s="256" t="str">
        <f t="shared" si="10"/>
        <v>-</v>
      </c>
      <c r="Q207" s="87"/>
      <c r="R207" s="87"/>
    </row>
    <row r="208" spans="3:18" x14ac:dyDescent="0.25">
      <c r="C208" s="233"/>
      <c r="D208" s="249"/>
      <c r="E208" s="238"/>
      <c r="F208" s="250" t="str">
        <f t="shared" si="9"/>
        <v>-</v>
      </c>
      <c r="G208" s="242"/>
      <c r="H208" s="251"/>
      <c r="I208" s="233"/>
      <c r="J208" s="252" t="str">
        <f>IFERROR(MIN('MP Calculations'!$E$29/I208,1),"-")</f>
        <v>-</v>
      </c>
      <c r="K208" s="257"/>
      <c r="L208" s="233"/>
      <c r="M208" s="233"/>
      <c r="N208" s="233"/>
      <c r="O208" s="255" t="str">
        <f t="shared" si="8"/>
        <v>-</v>
      </c>
      <c r="P208" s="256" t="str">
        <f t="shared" si="10"/>
        <v>-</v>
      </c>
      <c r="Q208" s="87"/>
      <c r="R208" s="87"/>
    </row>
    <row r="209" spans="3:18" x14ac:dyDescent="0.25">
      <c r="C209" s="233"/>
      <c r="D209" s="249"/>
      <c r="E209" s="238"/>
      <c r="F209" s="250" t="str">
        <f t="shared" si="9"/>
        <v>-</v>
      </c>
      <c r="G209" s="242"/>
      <c r="H209" s="251"/>
      <c r="I209" s="233"/>
      <c r="J209" s="252" t="str">
        <f>IFERROR(MIN('MP Calculations'!$E$29/I209,1),"-")</f>
        <v>-</v>
      </c>
      <c r="K209" s="257"/>
      <c r="L209" s="233"/>
      <c r="M209" s="233"/>
      <c r="N209" s="233"/>
      <c r="O209" s="255" t="str">
        <f t="shared" si="8"/>
        <v>-</v>
      </c>
      <c r="P209" s="256" t="str">
        <f t="shared" si="10"/>
        <v>-</v>
      </c>
      <c r="Q209" s="87"/>
      <c r="R209" s="87"/>
    </row>
    <row r="210" spans="3:18" x14ac:dyDescent="0.25">
      <c r="C210" s="233"/>
      <c r="D210" s="249"/>
      <c r="E210" s="238"/>
      <c r="F210" s="250" t="str">
        <f t="shared" si="9"/>
        <v>-</v>
      </c>
      <c r="G210" s="242"/>
      <c r="H210" s="251"/>
      <c r="I210" s="233"/>
      <c r="J210" s="252" t="str">
        <f>IFERROR(MIN('MP Calculations'!$E$29/I210,1),"-")</f>
        <v>-</v>
      </c>
      <c r="K210" s="257"/>
      <c r="L210" s="233"/>
      <c r="M210" s="233"/>
      <c r="N210" s="233"/>
      <c r="O210" s="255" t="str">
        <f t="shared" si="8"/>
        <v>-</v>
      </c>
      <c r="P210" s="256" t="str">
        <f t="shared" si="10"/>
        <v>-</v>
      </c>
      <c r="Q210" s="87"/>
      <c r="R210" s="87"/>
    </row>
    <row r="211" spans="3:18" x14ac:dyDescent="0.25">
      <c r="C211" s="233"/>
      <c r="D211" s="249"/>
      <c r="E211" s="238"/>
      <c r="F211" s="250" t="str">
        <f t="shared" si="9"/>
        <v>-</v>
      </c>
      <c r="G211" s="242"/>
      <c r="H211" s="251"/>
      <c r="I211" s="233"/>
      <c r="J211" s="252" t="str">
        <f>IFERROR(MIN('MP Calculations'!$E$29/I211,1),"-")</f>
        <v>-</v>
      </c>
      <c r="K211" s="257"/>
      <c r="L211" s="233"/>
      <c r="M211" s="233"/>
      <c r="N211" s="233"/>
      <c r="O211" s="255" t="str">
        <f t="shared" si="8"/>
        <v>-</v>
      </c>
      <c r="P211" s="256" t="str">
        <f t="shared" si="10"/>
        <v>-</v>
      </c>
      <c r="Q211" s="87"/>
      <c r="R211" s="87"/>
    </row>
    <row r="212" spans="3:18" x14ac:dyDescent="0.25">
      <c r="C212" s="233"/>
      <c r="D212" s="249"/>
      <c r="E212" s="238"/>
      <c r="F212" s="250" t="str">
        <f t="shared" si="9"/>
        <v>-</v>
      </c>
      <c r="G212" s="242"/>
      <c r="H212" s="251"/>
      <c r="I212" s="233"/>
      <c r="J212" s="252" t="str">
        <f>IFERROR(MIN('MP Calculations'!$E$29/I212,1),"-")</f>
        <v>-</v>
      </c>
      <c r="K212" s="257"/>
      <c r="L212" s="233"/>
      <c r="M212" s="233"/>
      <c r="N212" s="233"/>
      <c r="O212" s="255" t="str">
        <f t="shared" si="8"/>
        <v>-</v>
      </c>
      <c r="P212" s="256" t="str">
        <f t="shared" si="10"/>
        <v>-</v>
      </c>
      <c r="Q212" s="87"/>
      <c r="R212" s="87"/>
    </row>
    <row r="213" spans="3:18" x14ac:dyDescent="0.25">
      <c r="C213" s="233"/>
      <c r="D213" s="249"/>
      <c r="E213" s="238"/>
      <c r="F213" s="250" t="str">
        <f t="shared" si="9"/>
        <v>-</v>
      </c>
      <c r="G213" s="242"/>
      <c r="H213" s="251"/>
      <c r="I213" s="233"/>
      <c r="J213" s="252" t="str">
        <f>IFERROR(MIN('MP Calculations'!$E$29/I213,1),"-")</f>
        <v>-</v>
      </c>
      <c r="K213" s="257"/>
      <c r="L213" s="233"/>
      <c r="M213" s="233"/>
      <c r="N213" s="233"/>
      <c r="O213" s="255" t="str">
        <f t="shared" si="8"/>
        <v>-</v>
      </c>
      <c r="P213" s="256" t="str">
        <f t="shared" si="10"/>
        <v>-</v>
      </c>
      <c r="Q213" s="87"/>
      <c r="R213" s="87"/>
    </row>
    <row r="214" spans="3:18" x14ac:dyDescent="0.25">
      <c r="C214" s="233"/>
      <c r="D214" s="249"/>
      <c r="E214" s="238"/>
      <c r="F214" s="250" t="str">
        <f t="shared" si="9"/>
        <v>-</v>
      </c>
      <c r="G214" s="242"/>
      <c r="H214" s="251"/>
      <c r="I214" s="233"/>
      <c r="J214" s="252" t="str">
        <f>IFERROR(MIN('MP Calculations'!$E$29/I214,1),"-")</f>
        <v>-</v>
      </c>
      <c r="K214" s="257"/>
      <c r="L214" s="233"/>
      <c r="M214" s="233"/>
      <c r="N214" s="233"/>
      <c r="O214" s="255" t="str">
        <f t="shared" si="8"/>
        <v>-</v>
      </c>
      <c r="P214" s="256" t="str">
        <f t="shared" si="10"/>
        <v>-</v>
      </c>
      <c r="Q214" s="87"/>
      <c r="R214" s="87"/>
    </row>
    <row r="215" spans="3:18" x14ac:dyDescent="0.25">
      <c r="C215" s="233"/>
      <c r="D215" s="249"/>
      <c r="E215" s="238"/>
      <c r="F215" s="250" t="str">
        <f t="shared" si="9"/>
        <v>-</v>
      </c>
      <c r="G215" s="242"/>
      <c r="H215" s="251"/>
      <c r="I215" s="233"/>
      <c r="J215" s="252" t="str">
        <f>IFERROR(MIN('MP Calculations'!$E$29/I215,1),"-")</f>
        <v>-</v>
      </c>
      <c r="K215" s="257"/>
      <c r="L215" s="233"/>
      <c r="M215" s="233"/>
      <c r="N215" s="233"/>
      <c r="O215" s="255" t="str">
        <f t="shared" ref="O215:O218" si="11">IF(N215="","-",L215*N215)</f>
        <v>-</v>
      </c>
      <c r="P215" s="256" t="str">
        <f t="shared" si="10"/>
        <v>-</v>
      </c>
      <c r="Q215" s="87"/>
      <c r="R215" s="87"/>
    </row>
    <row r="216" spans="3:18" x14ac:dyDescent="0.25">
      <c r="C216" s="233"/>
      <c r="D216" s="249"/>
      <c r="E216" s="238"/>
      <c r="F216" s="250" t="str">
        <f t="shared" si="9"/>
        <v>-</v>
      </c>
      <c r="G216" s="242"/>
      <c r="H216" s="251"/>
      <c r="I216" s="233"/>
      <c r="J216" s="252" t="str">
        <f>IFERROR(MIN('MP Calculations'!$E$29/I216,1),"-")</f>
        <v>-</v>
      </c>
      <c r="K216" s="257"/>
      <c r="L216" s="233"/>
      <c r="M216" s="233"/>
      <c r="N216" s="233"/>
      <c r="O216" s="255" t="str">
        <f t="shared" si="11"/>
        <v>-</v>
      </c>
      <c r="P216" s="256" t="str">
        <f t="shared" si="10"/>
        <v>-</v>
      </c>
      <c r="Q216" s="87"/>
      <c r="R216" s="87"/>
    </row>
    <row r="217" spans="3:18" x14ac:dyDescent="0.25">
      <c r="C217" s="233"/>
      <c r="D217" s="249"/>
      <c r="E217" s="238"/>
      <c r="F217" s="250" t="str">
        <f t="shared" si="9"/>
        <v>-</v>
      </c>
      <c r="G217" s="242"/>
      <c r="H217" s="251"/>
      <c r="I217" s="233"/>
      <c r="J217" s="252" t="str">
        <f>IFERROR(MIN('MP Calculations'!$E$29/I217,1),"-")</f>
        <v>-</v>
      </c>
      <c r="K217" s="257"/>
      <c r="L217" s="233"/>
      <c r="M217" s="233"/>
      <c r="N217" s="233"/>
      <c r="O217" s="255" t="str">
        <f t="shared" si="11"/>
        <v>-</v>
      </c>
      <c r="P217" s="256" t="str">
        <f t="shared" si="10"/>
        <v>-</v>
      </c>
      <c r="Q217" s="87"/>
      <c r="R217" s="87"/>
    </row>
    <row r="218" spans="3:18" ht="57.5" x14ac:dyDescent="0.25">
      <c r="C218" s="234"/>
      <c r="D218" s="258" t="str">
        <f ca="1">"Add rows above this point as required and copy formula down.  It is important to add rows above this point as this will ensure the formula on the '"&amp;MID(CELL("filename",'MP Calculations'!$A$1),FIND("]",CELL("filename",'MP Calculations'!$A$1))+1,255)&amp;"' worksheet will incorporate the information included in the additional rows. "</f>
        <v xml:space="preserve">Add rows above this point as required and copy formula down.  It is important to add rows above this point as this will ensure the formula on the 'MP Calculations' worksheet will incorporate the information included in the additional rows. </v>
      </c>
      <c r="E218" s="239"/>
      <c r="F218" s="259" t="str">
        <f t="shared" si="3"/>
        <v>-</v>
      </c>
      <c r="G218" s="242"/>
      <c r="H218" s="260"/>
      <c r="I218" s="261"/>
      <c r="J218" s="262" t="str">
        <f>IFERROR(MIN('MP Calculations'!$E$29/I218,1),"-")</f>
        <v>-</v>
      </c>
      <c r="K218" s="263"/>
      <c r="L218" s="264"/>
      <c r="M218" s="264"/>
      <c r="N218" s="264"/>
      <c r="O218" s="265" t="str">
        <f t="shared" si="11"/>
        <v>-</v>
      </c>
      <c r="P218" s="266" t="str">
        <f t="shared" si="5"/>
        <v>-</v>
      </c>
      <c r="Q218" s="87"/>
      <c r="R218" s="87"/>
    </row>
    <row r="219" spans="3:18" x14ac:dyDescent="0.25">
      <c r="J219" s="87"/>
      <c r="K219" s="87"/>
      <c r="L219" s="87"/>
      <c r="M219" s="87"/>
      <c r="O219" s="50" t="s">
        <v>19</v>
      </c>
      <c r="P219" s="163">
        <f>SUM(P22:P218)</f>
        <v>6670000</v>
      </c>
      <c r="Q219" s="87"/>
      <c r="R219" s="87"/>
    </row>
  </sheetData>
  <conditionalFormatting sqref="F22:F218">
    <cfRule type="containsText" dxfId="7" priority="4" operator="containsText" text="ERROR">
      <formula>NOT(ISERROR(SEARCH("ERROR",F22)))</formula>
    </cfRule>
  </conditionalFormatting>
  <conditionalFormatting sqref="J22:J218">
    <cfRule type="cellIs" dxfId="6" priority="1" operator="equal">
      <formula>1</formula>
    </cfRule>
  </conditionalFormatting>
  <hyperlinks>
    <hyperlink ref="E7" location="'Asset exclusions'!A1" display="'Asset exclusions'!A1" xr:uid="{00000000-0004-0000-0500-000000000000}"/>
  </hyperlink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7" tint="0.79998168889431442"/>
  </sheetPr>
  <dimension ref="C1:R219"/>
  <sheetViews>
    <sheetView showGridLines="0" zoomScaleNormal="100" workbookViewId="0">
      <pane ySplit="21" topLeftCell="A22" activePane="bottomLeft" state="frozen"/>
      <selection activeCell="A22" sqref="A22"/>
      <selection pane="bottomLeft" activeCell="A22" sqref="A22"/>
    </sheetView>
  </sheetViews>
  <sheetFormatPr defaultRowHeight="11.5" x14ac:dyDescent="0.25"/>
  <cols>
    <col min="1" max="2" width="2.69921875" customWidth="1"/>
    <col min="3" max="3" width="15.69921875" customWidth="1"/>
    <col min="4" max="4" width="49.69921875" customWidth="1"/>
    <col min="5" max="5" width="15.69921875" customWidth="1"/>
    <col min="6" max="6" width="25.8984375" bestFit="1" customWidth="1"/>
    <col min="7" max="7" width="2.69921875" customWidth="1"/>
    <col min="8" max="10" width="15.69921875" customWidth="1"/>
    <col min="11" max="11" width="2.69921875" customWidth="1"/>
    <col min="12" max="13" width="15.69921875" customWidth="1"/>
    <col min="14" max="14" width="18" customWidth="1"/>
    <col min="15" max="16" width="15.69921875" customWidth="1"/>
    <col min="18" max="18" width="9.09765625" customWidth="1"/>
  </cols>
  <sheetData>
    <row r="1" spans="3:18" x14ac:dyDescent="0.25">
      <c r="E1" s="38"/>
    </row>
    <row r="2" spans="3:18" x14ac:dyDescent="0.25">
      <c r="E2" s="38"/>
    </row>
    <row r="3" spans="3:18" ht="20" x14ac:dyDescent="0.4">
      <c r="C3" s="64" t="s">
        <v>205</v>
      </c>
    </row>
    <row r="5" spans="3:18" x14ac:dyDescent="0.25">
      <c r="D5" s="38"/>
    </row>
    <row r="6" spans="3:18" ht="12" customHeight="1" x14ac:dyDescent="0.25">
      <c r="C6" s="131"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c r="D6" s="87"/>
      <c r="E6" s="87"/>
      <c r="F6" s="87"/>
      <c r="G6" s="87"/>
      <c r="H6" s="87"/>
      <c r="I6" s="87"/>
      <c r="J6" s="87"/>
      <c r="K6" s="87"/>
      <c r="L6" s="87"/>
      <c r="M6" s="87"/>
      <c r="N6" s="87"/>
      <c r="O6" s="87"/>
      <c r="P6" s="87"/>
      <c r="Q6" s="87"/>
      <c r="R6" s="87"/>
    </row>
    <row r="7" spans="3:18" x14ac:dyDescent="0.25">
      <c r="C7" s="187" t="str">
        <f ca="1">"Hyperlink to the '"&amp;MID(CELL("filename",'Asset exclusions'!A1),FIND("]",CELL("filename",'Asset exclusions'!A1))+1,255)&amp;"' worksheet:"</f>
        <v>Hyperlink to the 'Asset exclusions' worksheet:</v>
      </c>
      <c r="E7" s="188" t="s">
        <v>190</v>
      </c>
      <c r="F7" s="87"/>
      <c r="G7" s="87"/>
      <c r="H7" s="87"/>
      <c r="I7" s="87"/>
      <c r="J7" s="87"/>
      <c r="K7" s="87"/>
      <c r="L7" s="87"/>
      <c r="M7" s="87"/>
      <c r="N7" s="87"/>
      <c r="O7" s="87"/>
      <c r="P7" s="87"/>
      <c r="Q7" s="87"/>
      <c r="R7" s="87"/>
    </row>
    <row r="8" spans="3:18" x14ac:dyDescent="0.25">
      <c r="C8" s="187"/>
      <c r="E8" s="188"/>
      <c r="F8" s="87"/>
      <c r="G8" s="87"/>
      <c r="H8" s="87"/>
      <c r="I8" s="87"/>
      <c r="J8" s="87"/>
      <c r="K8" s="87"/>
      <c r="L8" s="87"/>
      <c r="M8" s="87"/>
      <c r="N8" s="87"/>
      <c r="O8" s="87"/>
      <c r="P8" s="87"/>
      <c r="Q8" s="87"/>
      <c r="R8" s="87"/>
    </row>
    <row r="9" spans="3:18" x14ac:dyDescent="0.25">
      <c r="C9" s="187" t="s">
        <v>245</v>
      </c>
      <c r="E9" s="188"/>
      <c r="F9" s="87"/>
      <c r="G9" s="87"/>
      <c r="H9" s="87"/>
      <c r="I9" s="87"/>
      <c r="J9" s="87"/>
      <c r="K9" s="87"/>
      <c r="L9" s="87"/>
      <c r="M9" s="87"/>
      <c r="N9" s="87"/>
      <c r="O9" s="87"/>
      <c r="P9" s="87"/>
      <c r="Q9" s="87"/>
      <c r="R9" s="87"/>
    </row>
    <row r="10" spans="3:18" x14ac:dyDescent="0.25">
      <c r="C10" s="187" t="s">
        <v>248</v>
      </c>
      <c r="E10" s="188"/>
      <c r="F10" s="87"/>
      <c r="G10" s="87"/>
      <c r="H10" s="87"/>
      <c r="I10" s="87"/>
      <c r="J10" s="87"/>
      <c r="K10" s="87"/>
      <c r="L10" s="87"/>
      <c r="M10" s="87"/>
      <c r="N10" s="87"/>
      <c r="O10" s="87"/>
      <c r="P10" s="87"/>
      <c r="Q10" s="87"/>
      <c r="R10" s="87"/>
    </row>
    <row r="11" spans="3:18" x14ac:dyDescent="0.25">
      <c r="C11" s="187" t="s">
        <v>247</v>
      </c>
      <c r="E11" s="188"/>
      <c r="F11" s="87"/>
      <c r="G11" s="87"/>
      <c r="H11" s="87"/>
      <c r="I11" s="87"/>
      <c r="J11" s="87"/>
      <c r="K11" s="87"/>
      <c r="L11" s="87"/>
      <c r="M11" s="87"/>
      <c r="N11" s="87"/>
      <c r="O11" s="87"/>
      <c r="P11" s="87"/>
      <c r="Q11" s="87"/>
      <c r="R11" s="87"/>
    </row>
    <row r="12" spans="3:18" x14ac:dyDescent="0.25">
      <c r="C12" s="187" t="s">
        <v>246</v>
      </c>
      <c r="E12" s="188"/>
      <c r="F12" s="87"/>
      <c r="G12" s="87"/>
      <c r="H12" s="87"/>
      <c r="I12" s="87"/>
      <c r="J12" s="87"/>
      <c r="K12" s="87"/>
      <c r="L12" s="87"/>
      <c r="M12" s="87"/>
      <c r="N12" s="87"/>
      <c r="O12" s="87"/>
      <c r="P12" s="87"/>
      <c r="Q12" s="87"/>
      <c r="R12" s="87"/>
    </row>
    <row r="13" spans="3:18" x14ac:dyDescent="0.25">
      <c r="C13" s="87"/>
      <c r="D13" s="87"/>
      <c r="E13" s="87"/>
      <c r="F13" s="87"/>
      <c r="G13" s="87"/>
      <c r="H13" s="87"/>
      <c r="I13" s="87"/>
      <c r="J13" s="87"/>
      <c r="K13" s="87"/>
      <c r="L13" s="87"/>
      <c r="M13" s="87"/>
      <c r="N13" s="87"/>
      <c r="O13" s="87"/>
      <c r="P13" s="87"/>
      <c r="Q13" s="87"/>
      <c r="R13" s="87"/>
    </row>
    <row r="14" spans="3:18" x14ac:dyDescent="0.25">
      <c r="C14" s="117" t="s">
        <v>55</v>
      </c>
      <c r="D14" s="87"/>
      <c r="E14" s="87"/>
      <c r="F14" s="87"/>
      <c r="G14" s="87"/>
      <c r="H14" s="87"/>
      <c r="I14" s="87"/>
      <c r="J14" s="87"/>
      <c r="K14" s="87"/>
      <c r="L14" s="87"/>
      <c r="M14" s="87"/>
      <c r="N14" s="87"/>
      <c r="O14" s="87"/>
      <c r="P14" s="87"/>
      <c r="Q14" s="87"/>
      <c r="R14" s="87"/>
    </row>
    <row r="15" spans="3:18" x14ac:dyDescent="0.25">
      <c r="C15" s="118" t="s">
        <v>59</v>
      </c>
      <c r="D15" s="87"/>
      <c r="E15" s="119">
        <f>'General inputs'!$H$24+1</f>
        <v>35065</v>
      </c>
      <c r="F15" s="87"/>
      <c r="G15" s="87"/>
      <c r="H15" s="87"/>
      <c r="I15" s="87"/>
      <c r="J15" s="87"/>
      <c r="K15" s="87"/>
      <c r="L15" s="87"/>
      <c r="M15" s="87"/>
      <c r="N15" s="87"/>
      <c r="O15" s="87"/>
      <c r="P15" s="87"/>
      <c r="Q15" s="87"/>
      <c r="R15" s="87"/>
    </row>
    <row r="16" spans="3:18" x14ac:dyDescent="0.25">
      <c r="C16" s="118" t="s">
        <v>60</v>
      </c>
      <c r="D16" s="87"/>
      <c r="E16" s="120">
        <f>'General inputs'!$H$18</f>
        <v>43281</v>
      </c>
      <c r="F16" s="87"/>
      <c r="G16" s="87"/>
      <c r="H16" s="87"/>
      <c r="I16" s="87"/>
      <c r="J16" s="87"/>
      <c r="K16" s="87"/>
      <c r="L16" s="87"/>
      <c r="M16" s="87"/>
      <c r="N16" s="87"/>
      <c r="O16" s="87"/>
      <c r="P16" s="87"/>
      <c r="Q16" s="87"/>
      <c r="R16" s="87"/>
    </row>
    <row r="17" spans="3:18" x14ac:dyDescent="0.25">
      <c r="C17" s="87"/>
      <c r="D17" s="87"/>
      <c r="E17" s="87"/>
      <c r="F17" s="87"/>
      <c r="G17" s="87"/>
      <c r="H17" s="87"/>
      <c r="I17" s="87"/>
      <c r="J17" s="87"/>
      <c r="K17" s="87"/>
      <c r="L17" s="87"/>
      <c r="M17" s="87"/>
      <c r="N17" s="87"/>
      <c r="O17" s="87"/>
      <c r="P17" s="87"/>
      <c r="Q17" s="87"/>
      <c r="R17" s="87"/>
    </row>
    <row r="18" spans="3:18" ht="15.5" x14ac:dyDescent="0.35">
      <c r="C18" s="207" t="s">
        <v>211</v>
      </c>
      <c r="E18" s="87"/>
      <c r="F18" s="87"/>
      <c r="G18" s="87"/>
      <c r="H18" s="87"/>
      <c r="I18" s="87"/>
      <c r="J18" s="87"/>
      <c r="K18" s="87"/>
      <c r="L18" s="87"/>
      <c r="M18" s="87"/>
      <c r="N18" s="87"/>
      <c r="O18" s="87"/>
      <c r="P18" s="87"/>
      <c r="Q18" s="87"/>
      <c r="R18" s="87"/>
    </row>
    <row r="19" spans="3:18" x14ac:dyDescent="0.25">
      <c r="C19" s="87"/>
      <c r="D19" s="87"/>
      <c r="E19" s="87"/>
      <c r="F19" s="87"/>
      <c r="G19" s="87"/>
      <c r="H19" s="87"/>
      <c r="I19" s="87"/>
      <c r="J19" s="87"/>
      <c r="K19" s="87"/>
      <c r="L19" s="87"/>
      <c r="M19" s="87"/>
      <c r="N19" s="87"/>
      <c r="O19" s="87"/>
      <c r="P19" s="87"/>
      <c r="Q19" s="87"/>
      <c r="R19" s="87"/>
    </row>
    <row r="20" spans="3:18" x14ac:dyDescent="0.25">
      <c r="C20" s="117" t="s">
        <v>16</v>
      </c>
      <c r="D20" s="87"/>
      <c r="E20" s="87"/>
      <c r="F20" s="87"/>
      <c r="G20" s="87"/>
      <c r="H20" s="117" t="s">
        <v>17</v>
      </c>
      <c r="I20" s="87"/>
      <c r="J20" s="87"/>
      <c r="K20" s="87"/>
      <c r="L20" s="117" t="s">
        <v>18</v>
      </c>
      <c r="M20" s="117"/>
      <c r="N20" s="87"/>
      <c r="O20" s="87"/>
      <c r="P20" s="87"/>
      <c r="Q20" s="87"/>
      <c r="R20" s="87"/>
    </row>
    <row r="21" spans="3:18" ht="46" x14ac:dyDescent="0.25">
      <c r="C21" s="35" t="s">
        <v>13</v>
      </c>
      <c r="D21" s="35" t="s">
        <v>12</v>
      </c>
      <c r="E21" s="35" t="s">
        <v>14</v>
      </c>
      <c r="F21" s="35" t="s">
        <v>26</v>
      </c>
      <c r="G21" s="87"/>
      <c r="H21" s="35" t="s">
        <v>31</v>
      </c>
      <c r="I21" s="35" t="s">
        <v>91</v>
      </c>
      <c r="J21" s="35" t="s">
        <v>89</v>
      </c>
      <c r="K21" s="87"/>
      <c r="L21" s="35" t="s">
        <v>90</v>
      </c>
      <c r="M21" s="35" t="s">
        <v>116</v>
      </c>
      <c r="N21" s="35" t="str">
        <f>"MEERA value per unit/measure of length (B) 
("&amp;'General inputs'!$H$42&amp;" as at 1 July "&amp;LEFT('General inputs'!$I$40,4)&amp;")"</f>
        <v>MEERA value per unit/measure of length (B) 
($ as at 1 July 2018)</v>
      </c>
      <c r="O21" s="35" t="str">
        <f>"Total MEERA value (A x B)
("&amp;'General inputs'!$H$42&amp;", $"&amp;'General inputs'!$I$40&amp;")"</f>
        <v>Total MEERA value (A x B)
($, $2018-19)</v>
      </c>
      <c r="P21" s="35" t="str">
        <f>"MEERA value to be recovered via DSP ("&amp;'General inputs'!$H$42&amp;", $"&amp;'General inputs'!$I$40&amp;")"</f>
        <v>MEERA value to be recovered via DSP ($, $2018-19)</v>
      </c>
      <c r="Q21" s="87"/>
      <c r="R21" s="87"/>
    </row>
    <row r="22" spans="3:18" ht="23" x14ac:dyDescent="0.25">
      <c r="C22" s="232">
        <v>123458</v>
      </c>
      <c r="D22" s="240" t="s">
        <v>275</v>
      </c>
      <c r="E22" s="235">
        <v>35065</v>
      </c>
      <c r="F22" s="267" t="str">
        <f>IF(E22="","-",IF(OR(E22&lt;$E$15,E22&gt;$E$16),"ERROR - date outside of range",IF(MONTH(E22)&gt;=7,YEAR(E22)&amp;"-"&amp;IF(YEAR(E22)=1999,"00",IF(AND(YEAR(E22)&gt;=2000,YEAR(E22)&lt;2009),"0","")&amp;RIGHT(YEAR(E22),2)+1),RIGHT(YEAR(E22),4)-1&amp;"-"&amp;RIGHT(YEAR(E22),2))))</f>
        <v>1995-96</v>
      </c>
      <c r="G22" s="242"/>
      <c r="H22" s="251" t="s">
        <v>279</v>
      </c>
      <c r="I22" s="232">
        <v>500000</v>
      </c>
      <c r="J22" s="244">
        <f>IFERROR(MIN('MP Calculations'!$E$29/I22,1),"-")</f>
        <v>2.6679999999999999E-2</v>
      </c>
      <c r="K22" s="257"/>
      <c r="L22" s="232">
        <v>15000</v>
      </c>
      <c r="M22" s="232" t="s">
        <v>285</v>
      </c>
      <c r="N22" s="232">
        <v>1000</v>
      </c>
      <c r="O22" s="247">
        <f>IF(N22="","-",L22*N22)</f>
        <v>15000000</v>
      </c>
      <c r="P22" s="248">
        <f>IF(O22="-","-",IF(OR(E22&lt;$E$15,E22&gt;$E$16),0,O22*J22))</f>
        <v>400200</v>
      </c>
      <c r="Q22" s="87"/>
      <c r="R22" s="87"/>
    </row>
    <row r="23" spans="3:18" ht="23" x14ac:dyDescent="0.25">
      <c r="C23" s="233">
        <v>123459</v>
      </c>
      <c r="D23" s="249" t="s">
        <v>276</v>
      </c>
      <c r="E23" s="236">
        <v>43281</v>
      </c>
      <c r="F23" s="268" t="str">
        <f t="shared" ref="F23:F86" si="0">IF(E23="","-",IF(OR(E23&lt;$E$15,E23&gt;$E$16),"ERROR - date outside of range",IF(MONTH(E23)&gt;=7,YEAR(E23)&amp;"-"&amp;IF(YEAR(E23)=1999,"00",IF(AND(YEAR(E23)&gt;=2000,YEAR(E23)&lt;2009),"0","")&amp;RIGHT(YEAR(E23),2)+1),RIGHT(YEAR(E23),4)-1&amp;"-"&amp;RIGHT(YEAR(E23),2))))</f>
        <v>2017-18</v>
      </c>
      <c r="G23" s="242"/>
      <c r="H23" s="251" t="s">
        <v>279</v>
      </c>
      <c r="I23" s="269">
        <v>350000</v>
      </c>
      <c r="J23" s="252">
        <f>IFERROR(MIN('MP Calculations'!$E$29/I23,1),"-")</f>
        <v>3.8114285714285712E-2</v>
      </c>
      <c r="K23" s="257"/>
      <c r="L23" s="254">
        <v>10000</v>
      </c>
      <c r="M23" s="233" t="s">
        <v>285</v>
      </c>
      <c r="N23" s="233">
        <v>1500</v>
      </c>
      <c r="O23" s="255">
        <f t="shared" ref="O23:O86" si="1">IF(N23="","-",L23*N23)</f>
        <v>15000000</v>
      </c>
      <c r="P23" s="256">
        <f t="shared" ref="P23:P86" si="2">IF(O23="-","-",IF(OR(E23&lt;$E$15,E23&gt;$E$16),0,O23*J23))</f>
        <v>571714.28571428568</v>
      </c>
      <c r="Q23" s="87"/>
      <c r="R23" s="121"/>
    </row>
    <row r="24" spans="3:18" x14ac:dyDescent="0.25">
      <c r="C24" s="233"/>
      <c r="D24" s="249"/>
      <c r="E24" s="236"/>
      <c r="F24" s="268" t="str">
        <f t="shared" si="0"/>
        <v>-</v>
      </c>
      <c r="G24" s="242"/>
      <c r="H24" s="251"/>
      <c r="I24" s="233"/>
      <c r="J24" s="252" t="str">
        <f>IFERROR(MIN('MP Calculations'!$E$29/I24,1),"-")</f>
        <v>-</v>
      </c>
      <c r="K24" s="257"/>
      <c r="L24" s="233"/>
      <c r="M24" s="233"/>
      <c r="N24" s="233"/>
      <c r="O24" s="255" t="str">
        <f t="shared" si="1"/>
        <v>-</v>
      </c>
      <c r="P24" s="256" t="str">
        <f t="shared" si="2"/>
        <v>-</v>
      </c>
      <c r="Q24" s="87"/>
      <c r="R24" s="87"/>
    </row>
    <row r="25" spans="3:18" x14ac:dyDescent="0.25">
      <c r="C25" s="233"/>
      <c r="D25" s="249"/>
      <c r="E25" s="236"/>
      <c r="F25" s="268" t="str">
        <f t="shared" si="0"/>
        <v>-</v>
      </c>
      <c r="G25" s="242"/>
      <c r="H25" s="251"/>
      <c r="I25" s="233"/>
      <c r="J25" s="252" t="str">
        <f>IFERROR(MIN('MP Calculations'!$E$29/I25,1),"-")</f>
        <v>-</v>
      </c>
      <c r="K25" s="257"/>
      <c r="L25" s="233"/>
      <c r="M25" s="233"/>
      <c r="N25" s="233"/>
      <c r="O25" s="255" t="str">
        <f t="shared" si="1"/>
        <v>-</v>
      </c>
      <c r="P25" s="256" t="str">
        <f t="shared" si="2"/>
        <v>-</v>
      </c>
      <c r="Q25" s="87"/>
      <c r="R25" s="87"/>
    </row>
    <row r="26" spans="3:18" x14ac:dyDescent="0.25">
      <c r="C26" s="233"/>
      <c r="D26" s="249"/>
      <c r="E26" s="236"/>
      <c r="F26" s="268" t="str">
        <f t="shared" si="0"/>
        <v>-</v>
      </c>
      <c r="G26" s="242"/>
      <c r="H26" s="251"/>
      <c r="I26" s="233"/>
      <c r="J26" s="252" t="str">
        <f>IFERROR(MIN('MP Calculations'!$E$29/I26,1),"-")</f>
        <v>-</v>
      </c>
      <c r="K26" s="257"/>
      <c r="L26" s="233"/>
      <c r="M26" s="233"/>
      <c r="N26" s="233"/>
      <c r="O26" s="255" t="str">
        <f t="shared" si="1"/>
        <v>-</v>
      </c>
      <c r="P26" s="256" t="str">
        <f t="shared" si="2"/>
        <v>-</v>
      </c>
      <c r="Q26" s="87"/>
      <c r="R26" s="87"/>
    </row>
    <row r="27" spans="3:18" x14ac:dyDescent="0.25">
      <c r="C27" s="233"/>
      <c r="D27" s="249"/>
      <c r="E27" s="236"/>
      <c r="F27" s="268" t="str">
        <f t="shared" si="0"/>
        <v>-</v>
      </c>
      <c r="G27" s="242"/>
      <c r="H27" s="251"/>
      <c r="I27" s="233"/>
      <c r="J27" s="252" t="str">
        <f>IFERROR(MIN('MP Calculations'!$E$29/I27,1),"-")</f>
        <v>-</v>
      </c>
      <c r="K27" s="257"/>
      <c r="L27" s="233"/>
      <c r="M27" s="233"/>
      <c r="N27" s="233"/>
      <c r="O27" s="255" t="str">
        <f t="shared" si="1"/>
        <v>-</v>
      </c>
      <c r="P27" s="256" t="str">
        <f t="shared" si="2"/>
        <v>-</v>
      </c>
      <c r="Q27" s="87"/>
      <c r="R27" s="87"/>
    </row>
    <row r="28" spans="3:18" x14ac:dyDescent="0.25">
      <c r="C28" s="233"/>
      <c r="D28" s="249"/>
      <c r="E28" s="236"/>
      <c r="F28" s="268" t="str">
        <f t="shared" si="0"/>
        <v>-</v>
      </c>
      <c r="G28" s="242"/>
      <c r="H28" s="251"/>
      <c r="I28" s="233"/>
      <c r="J28" s="252" t="str">
        <f>IFERROR(MIN('MP Calculations'!$E$29/I28,1),"-")</f>
        <v>-</v>
      </c>
      <c r="K28" s="257"/>
      <c r="L28" s="233"/>
      <c r="M28" s="233"/>
      <c r="N28" s="233"/>
      <c r="O28" s="255" t="str">
        <f t="shared" si="1"/>
        <v>-</v>
      </c>
      <c r="P28" s="256" t="str">
        <f t="shared" si="2"/>
        <v>-</v>
      </c>
      <c r="Q28" s="87"/>
      <c r="R28" s="87"/>
    </row>
    <row r="29" spans="3:18" x14ac:dyDescent="0.25">
      <c r="C29" s="233"/>
      <c r="D29" s="249"/>
      <c r="E29" s="236"/>
      <c r="F29" s="268" t="str">
        <f t="shared" si="0"/>
        <v>-</v>
      </c>
      <c r="G29" s="242"/>
      <c r="H29" s="251"/>
      <c r="I29" s="233"/>
      <c r="J29" s="252" t="str">
        <f>IFERROR(MIN('MP Calculations'!$E$29/I29,1),"-")</f>
        <v>-</v>
      </c>
      <c r="K29" s="257"/>
      <c r="L29" s="233"/>
      <c r="M29" s="233"/>
      <c r="N29" s="233"/>
      <c r="O29" s="255" t="str">
        <f t="shared" si="1"/>
        <v>-</v>
      </c>
      <c r="P29" s="256" t="str">
        <f t="shared" si="2"/>
        <v>-</v>
      </c>
      <c r="Q29" s="87"/>
      <c r="R29" s="87"/>
    </row>
    <row r="30" spans="3:18" x14ac:dyDescent="0.25">
      <c r="C30" s="233"/>
      <c r="D30" s="249"/>
      <c r="E30" s="236"/>
      <c r="F30" s="268" t="str">
        <f t="shared" si="0"/>
        <v>-</v>
      </c>
      <c r="G30" s="242"/>
      <c r="H30" s="251"/>
      <c r="I30" s="233"/>
      <c r="J30" s="252" t="str">
        <f>IFERROR(MIN('MP Calculations'!$E$29/I30,1),"-")</f>
        <v>-</v>
      </c>
      <c r="K30" s="257"/>
      <c r="L30" s="233"/>
      <c r="M30" s="233"/>
      <c r="N30" s="233"/>
      <c r="O30" s="255" t="str">
        <f t="shared" si="1"/>
        <v>-</v>
      </c>
      <c r="P30" s="256" t="str">
        <f t="shared" si="2"/>
        <v>-</v>
      </c>
      <c r="Q30" s="87"/>
      <c r="R30" s="87"/>
    </row>
    <row r="31" spans="3:18" x14ac:dyDescent="0.25">
      <c r="C31" s="233"/>
      <c r="D31" s="249"/>
      <c r="E31" s="236"/>
      <c r="F31" s="268" t="str">
        <f t="shared" si="0"/>
        <v>-</v>
      </c>
      <c r="G31" s="242"/>
      <c r="H31" s="251"/>
      <c r="I31" s="233"/>
      <c r="J31" s="252" t="str">
        <f>IFERROR(MIN('MP Calculations'!$E$29/I31,1),"-")</f>
        <v>-</v>
      </c>
      <c r="K31" s="257"/>
      <c r="L31" s="233"/>
      <c r="M31" s="233"/>
      <c r="N31" s="233"/>
      <c r="O31" s="255" t="str">
        <f t="shared" si="1"/>
        <v>-</v>
      </c>
      <c r="P31" s="256" t="str">
        <f t="shared" si="2"/>
        <v>-</v>
      </c>
      <c r="Q31" s="87"/>
      <c r="R31" s="87"/>
    </row>
    <row r="32" spans="3:18" x14ac:dyDescent="0.25">
      <c r="C32" s="233"/>
      <c r="D32" s="249"/>
      <c r="E32" s="236"/>
      <c r="F32" s="268" t="str">
        <f t="shared" si="0"/>
        <v>-</v>
      </c>
      <c r="G32" s="242"/>
      <c r="H32" s="251"/>
      <c r="I32" s="233"/>
      <c r="J32" s="252" t="str">
        <f>IFERROR(MIN('MP Calculations'!$E$29/I32,1),"-")</f>
        <v>-</v>
      </c>
      <c r="K32" s="257"/>
      <c r="L32" s="233"/>
      <c r="M32" s="233"/>
      <c r="N32" s="233"/>
      <c r="O32" s="255" t="str">
        <f t="shared" si="1"/>
        <v>-</v>
      </c>
      <c r="P32" s="256" t="str">
        <f t="shared" si="2"/>
        <v>-</v>
      </c>
      <c r="Q32" s="87"/>
      <c r="R32" s="87"/>
    </row>
    <row r="33" spans="3:18" x14ac:dyDescent="0.25">
      <c r="C33" s="233"/>
      <c r="D33" s="249"/>
      <c r="E33" s="236"/>
      <c r="F33" s="268" t="str">
        <f t="shared" si="0"/>
        <v>-</v>
      </c>
      <c r="G33" s="242"/>
      <c r="H33" s="251"/>
      <c r="I33" s="233"/>
      <c r="J33" s="252" t="str">
        <f>IFERROR(MIN('MP Calculations'!$E$29/I33,1),"-")</f>
        <v>-</v>
      </c>
      <c r="K33" s="257"/>
      <c r="L33" s="233"/>
      <c r="M33" s="233"/>
      <c r="N33" s="233"/>
      <c r="O33" s="255" t="str">
        <f t="shared" si="1"/>
        <v>-</v>
      </c>
      <c r="P33" s="256" t="str">
        <f t="shared" si="2"/>
        <v>-</v>
      </c>
      <c r="Q33" s="87"/>
      <c r="R33" s="87"/>
    </row>
    <row r="34" spans="3:18" x14ac:dyDescent="0.25">
      <c r="C34" s="233"/>
      <c r="D34" s="249"/>
      <c r="E34" s="236"/>
      <c r="F34" s="268" t="str">
        <f t="shared" si="0"/>
        <v>-</v>
      </c>
      <c r="G34" s="242"/>
      <c r="H34" s="251"/>
      <c r="I34" s="233"/>
      <c r="J34" s="252" t="str">
        <f>IFERROR(MIN('MP Calculations'!$E$29/I34,1),"-")</f>
        <v>-</v>
      </c>
      <c r="K34" s="257"/>
      <c r="L34" s="233"/>
      <c r="M34" s="233"/>
      <c r="N34" s="233"/>
      <c r="O34" s="255" t="str">
        <f t="shared" si="1"/>
        <v>-</v>
      </c>
      <c r="P34" s="256" t="str">
        <f t="shared" si="2"/>
        <v>-</v>
      </c>
      <c r="Q34" s="87"/>
      <c r="R34" s="87"/>
    </row>
    <row r="35" spans="3:18" x14ac:dyDescent="0.25">
      <c r="C35" s="233"/>
      <c r="D35" s="249"/>
      <c r="E35" s="236"/>
      <c r="F35" s="268" t="str">
        <f t="shared" si="0"/>
        <v>-</v>
      </c>
      <c r="G35" s="242"/>
      <c r="H35" s="251"/>
      <c r="I35" s="233"/>
      <c r="J35" s="252" t="str">
        <f>IFERROR(MIN('MP Calculations'!$E$29/I35,1),"-")</f>
        <v>-</v>
      </c>
      <c r="K35" s="257"/>
      <c r="L35" s="233"/>
      <c r="M35" s="233"/>
      <c r="N35" s="233"/>
      <c r="O35" s="255" t="str">
        <f t="shared" si="1"/>
        <v>-</v>
      </c>
      <c r="P35" s="256" t="str">
        <f t="shared" si="2"/>
        <v>-</v>
      </c>
      <c r="Q35" s="87"/>
      <c r="R35" s="87"/>
    </row>
    <row r="36" spans="3:18" x14ac:dyDescent="0.25">
      <c r="C36" s="233"/>
      <c r="D36" s="249"/>
      <c r="E36" s="236"/>
      <c r="F36" s="268" t="str">
        <f t="shared" si="0"/>
        <v>-</v>
      </c>
      <c r="G36" s="242"/>
      <c r="H36" s="251"/>
      <c r="I36" s="233"/>
      <c r="J36" s="252" t="str">
        <f>IFERROR(MIN('MP Calculations'!$E$29/I36,1),"-")</f>
        <v>-</v>
      </c>
      <c r="K36" s="257"/>
      <c r="L36" s="233"/>
      <c r="M36" s="233"/>
      <c r="N36" s="233"/>
      <c r="O36" s="255" t="str">
        <f t="shared" si="1"/>
        <v>-</v>
      </c>
      <c r="P36" s="256" t="str">
        <f t="shared" si="2"/>
        <v>-</v>
      </c>
      <c r="Q36" s="87"/>
      <c r="R36" s="87"/>
    </row>
    <row r="37" spans="3:18" x14ac:dyDescent="0.25">
      <c r="C37" s="233"/>
      <c r="D37" s="249"/>
      <c r="E37" s="236"/>
      <c r="F37" s="268" t="str">
        <f t="shared" si="0"/>
        <v>-</v>
      </c>
      <c r="G37" s="242"/>
      <c r="H37" s="251"/>
      <c r="I37" s="233"/>
      <c r="J37" s="252" t="str">
        <f>IFERROR(MIN('MP Calculations'!$E$29/I37,1),"-")</f>
        <v>-</v>
      </c>
      <c r="K37" s="257"/>
      <c r="L37" s="233"/>
      <c r="M37" s="233"/>
      <c r="N37" s="233"/>
      <c r="O37" s="255" t="str">
        <f t="shared" si="1"/>
        <v>-</v>
      </c>
      <c r="P37" s="256" t="str">
        <f t="shared" si="2"/>
        <v>-</v>
      </c>
      <c r="Q37" s="87"/>
      <c r="R37" s="87"/>
    </row>
    <row r="38" spans="3:18" x14ac:dyDescent="0.25">
      <c r="C38" s="233"/>
      <c r="D38" s="249"/>
      <c r="E38" s="236"/>
      <c r="F38" s="268" t="str">
        <f t="shared" si="0"/>
        <v>-</v>
      </c>
      <c r="G38" s="242"/>
      <c r="H38" s="251"/>
      <c r="I38" s="233"/>
      <c r="J38" s="252" t="str">
        <f>IFERROR(MIN('MP Calculations'!$E$29/I38,1),"-")</f>
        <v>-</v>
      </c>
      <c r="K38" s="257"/>
      <c r="L38" s="233"/>
      <c r="M38" s="233"/>
      <c r="N38" s="233"/>
      <c r="O38" s="255" t="str">
        <f t="shared" si="1"/>
        <v>-</v>
      </c>
      <c r="P38" s="256" t="str">
        <f t="shared" si="2"/>
        <v>-</v>
      </c>
      <c r="Q38" s="87"/>
      <c r="R38" s="87"/>
    </row>
    <row r="39" spans="3:18" x14ac:dyDescent="0.25">
      <c r="C39" s="233"/>
      <c r="D39" s="249"/>
      <c r="E39" s="236"/>
      <c r="F39" s="268" t="str">
        <f t="shared" si="0"/>
        <v>-</v>
      </c>
      <c r="G39" s="242"/>
      <c r="H39" s="251"/>
      <c r="I39" s="233"/>
      <c r="J39" s="252" t="str">
        <f>IFERROR(MIN('MP Calculations'!$E$29/I39,1),"-")</f>
        <v>-</v>
      </c>
      <c r="K39" s="257"/>
      <c r="L39" s="233"/>
      <c r="M39" s="233"/>
      <c r="N39" s="233"/>
      <c r="O39" s="255" t="str">
        <f t="shared" si="1"/>
        <v>-</v>
      </c>
      <c r="P39" s="256" t="str">
        <f t="shared" si="2"/>
        <v>-</v>
      </c>
      <c r="Q39" s="87"/>
      <c r="R39" s="87"/>
    </row>
    <row r="40" spans="3:18" x14ac:dyDescent="0.25">
      <c r="C40" s="233"/>
      <c r="D40" s="249"/>
      <c r="E40" s="236"/>
      <c r="F40" s="268" t="str">
        <f t="shared" si="0"/>
        <v>-</v>
      </c>
      <c r="G40" s="242"/>
      <c r="H40" s="251"/>
      <c r="I40" s="233"/>
      <c r="J40" s="252" t="str">
        <f>IFERROR(MIN('MP Calculations'!$E$29/I40,1),"-")</f>
        <v>-</v>
      </c>
      <c r="K40" s="257"/>
      <c r="L40" s="233"/>
      <c r="M40" s="233"/>
      <c r="N40" s="233"/>
      <c r="O40" s="255" t="str">
        <f t="shared" si="1"/>
        <v>-</v>
      </c>
      <c r="P40" s="256" t="str">
        <f t="shared" si="2"/>
        <v>-</v>
      </c>
      <c r="Q40" s="87"/>
      <c r="R40" s="87"/>
    </row>
    <row r="41" spans="3:18" x14ac:dyDescent="0.25">
      <c r="C41" s="233"/>
      <c r="D41" s="249"/>
      <c r="E41" s="236"/>
      <c r="F41" s="268" t="str">
        <f t="shared" si="0"/>
        <v>-</v>
      </c>
      <c r="G41" s="242"/>
      <c r="H41" s="251"/>
      <c r="I41" s="233"/>
      <c r="J41" s="252" t="str">
        <f>IFERROR(MIN('MP Calculations'!$E$29/I41,1),"-")</f>
        <v>-</v>
      </c>
      <c r="K41" s="257"/>
      <c r="L41" s="233"/>
      <c r="M41" s="233"/>
      <c r="N41" s="233"/>
      <c r="O41" s="255" t="str">
        <f t="shared" si="1"/>
        <v>-</v>
      </c>
      <c r="P41" s="256" t="str">
        <f t="shared" si="2"/>
        <v>-</v>
      </c>
      <c r="Q41" s="87"/>
      <c r="R41" s="87"/>
    </row>
    <row r="42" spans="3:18" x14ac:dyDescent="0.25">
      <c r="C42" s="233"/>
      <c r="D42" s="249"/>
      <c r="E42" s="236"/>
      <c r="F42" s="268" t="str">
        <f t="shared" si="0"/>
        <v>-</v>
      </c>
      <c r="G42" s="242"/>
      <c r="H42" s="251"/>
      <c r="I42" s="233"/>
      <c r="J42" s="252" t="str">
        <f>IFERROR(MIN('MP Calculations'!$E$29/I42,1),"-")</f>
        <v>-</v>
      </c>
      <c r="K42" s="257"/>
      <c r="L42" s="233"/>
      <c r="M42" s="233"/>
      <c r="N42" s="233"/>
      <c r="O42" s="255" t="str">
        <f t="shared" si="1"/>
        <v>-</v>
      </c>
      <c r="P42" s="256" t="str">
        <f t="shared" si="2"/>
        <v>-</v>
      </c>
      <c r="Q42" s="87"/>
      <c r="R42" s="87"/>
    </row>
    <row r="43" spans="3:18" x14ac:dyDescent="0.25">
      <c r="C43" s="233"/>
      <c r="D43" s="249"/>
      <c r="E43" s="236"/>
      <c r="F43" s="268" t="str">
        <f t="shared" si="0"/>
        <v>-</v>
      </c>
      <c r="G43" s="242"/>
      <c r="H43" s="251"/>
      <c r="I43" s="233"/>
      <c r="J43" s="252" t="str">
        <f>IFERROR(MIN('MP Calculations'!$E$29/I43,1),"-")</f>
        <v>-</v>
      </c>
      <c r="K43" s="257"/>
      <c r="L43" s="233"/>
      <c r="M43" s="233"/>
      <c r="N43" s="233"/>
      <c r="O43" s="255" t="str">
        <f t="shared" si="1"/>
        <v>-</v>
      </c>
      <c r="P43" s="256" t="str">
        <f t="shared" si="2"/>
        <v>-</v>
      </c>
      <c r="Q43" s="87"/>
      <c r="R43" s="87"/>
    </row>
    <row r="44" spans="3:18" x14ac:dyDescent="0.25">
      <c r="C44" s="233"/>
      <c r="D44" s="249"/>
      <c r="E44" s="236"/>
      <c r="F44" s="268" t="str">
        <f t="shared" si="0"/>
        <v>-</v>
      </c>
      <c r="G44" s="242"/>
      <c r="H44" s="251"/>
      <c r="I44" s="233"/>
      <c r="J44" s="252" t="str">
        <f>IFERROR(MIN('MP Calculations'!$E$29/I44,1),"-")</f>
        <v>-</v>
      </c>
      <c r="K44" s="257"/>
      <c r="L44" s="233"/>
      <c r="M44" s="233"/>
      <c r="N44" s="233"/>
      <c r="O44" s="255" t="str">
        <f t="shared" si="1"/>
        <v>-</v>
      </c>
      <c r="P44" s="256" t="str">
        <f t="shared" si="2"/>
        <v>-</v>
      </c>
      <c r="Q44" s="87"/>
      <c r="R44" s="87"/>
    </row>
    <row r="45" spans="3:18" x14ac:dyDescent="0.25">
      <c r="C45" s="233"/>
      <c r="D45" s="249"/>
      <c r="E45" s="236"/>
      <c r="F45" s="268" t="str">
        <f t="shared" si="0"/>
        <v>-</v>
      </c>
      <c r="G45" s="242"/>
      <c r="H45" s="251"/>
      <c r="I45" s="233"/>
      <c r="J45" s="252" t="str">
        <f>IFERROR(MIN('MP Calculations'!$E$29/I45,1),"-")</f>
        <v>-</v>
      </c>
      <c r="K45" s="257"/>
      <c r="L45" s="233"/>
      <c r="M45" s="233"/>
      <c r="N45" s="233"/>
      <c r="O45" s="255" t="str">
        <f t="shared" si="1"/>
        <v>-</v>
      </c>
      <c r="P45" s="256" t="str">
        <f t="shared" si="2"/>
        <v>-</v>
      </c>
      <c r="Q45" s="87"/>
      <c r="R45" s="87"/>
    </row>
    <row r="46" spans="3:18" x14ac:dyDescent="0.25">
      <c r="C46" s="233"/>
      <c r="D46" s="249"/>
      <c r="E46" s="236"/>
      <c r="F46" s="268" t="str">
        <f t="shared" si="0"/>
        <v>-</v>
      </c>
      <c r="G46" s="242"/>
      <c r="H46" s="251"/>
      <c r="I46" s="233"/>
      <c r="J46" s="252" t="str">
        <f>IFERROR(MIN('MP Calculations'!$E$29/I46,1),"-")</f>
        <v>-</v>
      </c>
      <c r="K46" s="257"/>
      <c r="L46" s="233"/>
      <c r="M46" s="233"/>
      <c r="N46" s="233"/>
      <c r="O46" s="255" t="str">
        <f t="shared" si="1"/>
        <v>-</v>
      </c>
      <c r="P46" s="256" t="str">
        <f t="shared" si="2"/>
        <v>-</v>
      </c>
      <c r="Q46" s="87"/>
      <c r="R46" s="87"/>
    </row>
    <row r="47" spans="3:18" x14ac:dyDescent="0.25">
      <c r="C47" s="233"/>
      <c r="D47" s="249"/>
      <c r="E47" s="236"/>
      <c r="F47" s="268" t="str">
        <f t="shared" si="0"/>
        <v>-</v>
      </c>
      <c r="G47" s="242"/>
      <c r="H47" s="251"/>
      <c r="I47" s="233"/>
      <c r="J47" s="252" t="str">
        <f>IFERROR(MIN('MP Calculations'!$E$29/I47,1),"-")</f>
        <v>-</v>
      </c>
      <c r="K47" s="257"/>
      <c r="L47" s="233"/>
      <c r="M47" s="233"/>
      <c r="N47" s="233"/>
      <c r="O47" s="255" t="str">
        <f t="shared" si="1"/>
        <v>-</v>
      </c>
      <c r="P47" s="256" t="str">
        <f t="shared" si="2"/>
        <v>-</v>
      </c>
      <c r="Q47" s="87"/>
      <c r="R47" s="87"/>
    </row>
    <row r="48" spans="3:18" x14ac:dyDescent="0.25">
      <c r="C48" s="233"/>
      <c r="D48" s="249"/>
      <c r="E48" s="236"/>
      <c r="F48" s="268" t="str">
        <f t="shared" si="0"/>
        <v>-</v>
      </c>
      <c r="G48" s="242"/>
      <c r="H48" s="251"/>
      <c r="I48" s="233"/>
      <c r="J48" s="252" t="str">
        <f>IFERROR(MIN('MP Calculations'!$E$29/I48,1),"-")</f>
        <v>-</v>
      </c>
      <c r="K48" s="257"/>
      <c r="L48" s="233"/>
      <c r="M48" s="233"/>
      <c r="N48" s="233"/>
      <c r="O48" s="255" t="str">
        <f t="shared" si="1"/>
        <v>-</v>
      </c>
      <c r="P48" s="256" t="str">
        <f t="shared" si="2"/>
        <v>-</v>
      </c>
      <c r="Q48" s="87"/>
      <c r="R48" s="87"/>
    </row>
    <row r="49" spans="3:18" x14ac:dyDescent="0.25">
      <c r="C49" s="233"/>
      <c r="D49" s="249"/>
      <c r="E49" s="236"/>
      <c r="F49" s="268" t="str">
        <f t="shared" si="0"/>
        <v>-</v>
      </c>
      <c r="G49" s="242"/>
      <c r="H49" s="251"/>
      <c r="I49" s="233"/>
      <c r="J49" s="252" t="str">
        <f>IFERROR(MIN('MP Calculations'!$E$29/I49,1),"-")</f>
        <v>-</v>
      </c>
      <c r="K49" s="257"/>
      <c r="L49" s="233"/>
      <c r="M49" s="233"/>
      <c r="N49" s="233"/>
      <c r="O49" s="255" t="str">
        <f t="shared" si="1"/>
        <v>-</v>
      </c>
      <c r="P49" s="256" t="str">
        <f t="shared" si="2"/>
        <v>-</v>
      </c>
      <c r="Q49" s="87"/>
      <c r="R49" s="87"/>
    </row>
    <row r="50" spans="3:18" x14ac:dyDescent="0.25">
      <c r="C50" s="233"/>
      <c r="D50" s="249"/>
      <c r="E50" s="236"/>
      <c r="F50" s="268" t="str">
        <f t="shared" si="0"/>
        <v>-</v>
      </c>
      <c r="G50" s="242"/>
      <c r="H50" s="251"/>
      <c r="I50" s="233"/>
      <c r="J50" s="252" t="str">
        <f>IFERROR(MIN('MP Calculations'!$E$29/I50,1),"-")</f>
        <v>-</v>
      </c>
      <c r="K50" s="257"/>
      <c r="L50" s="233"/>
      <c r="M50" s="233"/>
      <c r="N50" s="233"/>
      <c r="O50" s="255" t="str">
        <f t="shared" si="1"/>
        <v>-</v>
      </c>
      <c r="P50" s="256" t="str">
        <f t="shared" si="2"/>
        <v>-</v>
      </c>
      <c r="Q50" s="87"/>
      <c r="R50" s="87"/>
    </row>
    <row r="51" spans="3:18" x14ac:dyDescent="0.25">
      <c r="C51" s="233"/>
      <c r="D51" s="249"/>
      <c r="E51" s="236"/>
      <c r="F51" s="268" t="str">
        <f t="shared" si="0"/>
        <v>-</v>
      </c>
      <c r="G51" s="242"/>
      <c r="H51" s="251"/>
      <c r="I51" s="233"/>
      <c r="J51" s="252" t="str">
        <f>IFERROR(MIN('MP Calculations'!$E$29/I51,1),"-")</f>
        <v>-</v>
      </c>
      <c r="K51" s="257"/>
      <c r="L51" s="233"/>
      <c r="M51" s="233"/>
      <c r="N51" s="233"/>
      <c r="O51" s="255" t="str">
        <f t="shared" si="1"/>
        <v>-</v>
      </c>
      <c r="P51" s="256" t="str">
        <f t="shared" si="2"/>
        <v>-</v>
      </c>
      <c r="Q51" s="87"/>
      <c r="R51" s="87"/>
    </row>
    <row r="52" spans="3:18" x14ac:dyDescent="0.25">
      <c r="C52" s="233"/>
      <c r="D52" s="249"/>
      <c r="E52" s="236"/>
      <c r="F52" s="268" t="str">
        <f t="shared" si="0"/>
        <v>-</v>
      </c>
      <c r="G52" s="242"/>
      <c r="H52" s="251"/>
      <c r="I52" s="233"/>
      <c r="J52" s="252" t="str">
        <f>IFERROR(MIN('MP Calculations'!$E$29/I52,1),"-")</f>
        <v>-</v>
      </c>
      <c r="K52" s="257"/>
      <c r="L52" s="233"/>
      <c r="M52" s="233"/>
      <c r="N52" s="233"/>
      <c r="O52" s="255" t="str">
        <f t="shared" si="1"/>
        <v>-</v>
      </c>
      <c r="P52" s="256" t="str">
        <f t="shared" si="2"/>
        <v>-</v>
      </c>
      <c r="Q52" s="87"/>
      <c r="R52" s="87"/>
    </row>
    <row r="53" spans="3:18" x14ac:dyDescent="0.25">
      <c r="C53" s="233"/>
      <c r="D53" s="249"/>
      <c r="E53" s="236"/>
      <c r="F53" s="268" t="str">
        <f t="shared" si="0"/>
        <v>-</v>
      </c>
      <c r="G53" s="242"/>
      <c r="H53" s="251"/>
      <c r="I53" s="233"/>
      <c r="J53" s="252" t="str">
        <f>IFERROR(MIN('MP Calculations'!$E$29/I53,1),"-")</f>
        <v>-</v>
      </c>
      <c r="K53" s="257"/>
      <c r="L53" s="233"/>
      <c r="M53" s="233"/>
      <c r="N53" s="233"/>
      <c r="O53" s="255" t="str">
        <f t="shared" si="1"/>
        <v>-</v>
      </c>
      <c r="P53" s="256" t="str">
        <f t="shared" si="2"/>
        <v>-</v>
      </c>
      <c r="Q53" s="87"/>
      <c r="R53" s="87"/>
    </row>
    <row r="54" spans="3:18" x14ac:dyDescent="0.25">
      <c r="C54" s="233"/>
      <c r="D54" s="249"/>
      <c r="E54" s="236"/>
      <c r="F54" s="268" t="str">
        <f t="shared" si="0"/>
        <v>-</v>
      </c>
      <c r="G54" s="242"/>
      <c r="H54" s="251"/>
      <c r="I54" s="233"/>
      <c r="J54" s="252" t="str">
        <f>IFERROR(MIN('MP Calculations'!$E$29/I54,1),"-")</f>
        <v>-</v>
      </c>
      <c r="K54" s="257"/>
      <c r="L54" s="233"/>
      <c r="M54" s="233"/>
      <c r="N54" s="233"/>
      <c r="O54" s="255" t="str">
        <f t="shared" si="1"/>
        <v>-</v>
      </c>
      <c r="P54" s="256" t="str">
        <f t="shared" si="2"/>
        <v>-</v>
      </c>
      <c r="Q54" s="87"/>
      <c r="R54" s="87"/>
    </row>
    <row r="55" spans="3:18" x14ac:dyDescent="0.25">
      <c r="C55" s="233"/>
      <c r="D55" s="249"/>
      <c r="E55" s="236"/>
      <c r="F55" s="268" t="str">
        <f t="shared" si="0"/>
        <v>-</v>
      </c>
      <c r="G55" s="242"/>
      <c r="H55" s="251"/>
      <c r="I55" s="233"/>
      <c r="J55" s="252" t="str">
        <f>IFERROR(MIN('MP Calculations'!$E$29/I55,1),"-")</f>
        <v>-</v>
      </c>
      <c r="K55" s="257"/>
      <c r="L55" s="233"/>
      <c r="M55" s="233"/>
      <c r="N55" s="233"/>
      <c r="O55" s="255" t="str">
        <f t="shared" si="1"/>
        <v>-</v>
      </c>
      <c r="P55" s="256" t="str">
        <f t="shared" si="2"/>
        <v>-</v>
      </c>
      <c r="Q55" s="87"/>
      <c r="R55" s="87"/>
    </row>
    <row r="56" spans="3:18" x14ac:dyDescent="0.25">
      <c r="C56" s="233"/>
      <c r="D56" s="249"/>
      <c r="E56" s="236"/>
      <c r="F56" s="268" t="str">
        <f t="shared" si="0"/>
        <v>-</v>
      </c>
      <c r="G56" s="242"/>
      <c r="H56" s="251"/>
      <c r="I56" s="233"/>
      <c r="J56" s="252" t="str">
        <f>IFERROR(MIN('MP Calculations'!$E$29/I56,1),"-")</f>
        <v>-</v>
      </c>
      <c r="K56" s="257"/>
      <c r="L56" s="233"/>
      <c r="M56" s="233"/>
      <c r="N56" s="233"/>
      <c r="O56" s="255" t="str">
        <f t="shared" si="1"/>
        <v>-</v>
      </c>
      <c r="P56" s="256" t="str">
        <f t="shared" si="2"/>
        <v>-</v>
      </c>
      <c r="Q56" s="87"/>
      <c r="R56" s="87"/>
    </row>
    <row r="57" spans="3:18" x14ac:dyDescent="0.25">
      <c r="C57" s="233"/>
      <c r="D57" s="249"/>
      <c r="E57" s="236"/>
      <c r="F57" s="268" t="str">
        <f t="shared" si="0"/>
        <v>-</v>
      </c>
      <c r="G57" s="242"/>
      <c r="H57" s="251"/>
      <c r="I57" s="233"/>
      <c r="J57" s="252" t="str">
        <f>IFERROR(MIN('MP Calculations'!$E$29/I57,1),"-")</f>
        <v>-</v>
      </c>
      <c r="K57" s="257"/>
      <c r="L57" s="233"/>
      <c r="M57" s="233"/>
      <c r="N57" s="233"/>
      <c r="O57" s="255" t="str">
        <f t="shared" si="1"/>
        <v>-</v>
      </c>
      <c r="P57" s="256" t="str">
        <f t="shared" si="2"/>
        <v>-</v>
      </c>
      <c r="Q57" s="87"/>
      <c r="R57" s="87"/>
    </row>
    <row r="58" spans="3:18" x14ac:dyDescent="0.25">
      <c r="C58" s="233"/>
      <c r="D58" s="249"/>
      <c r="E58" s="236"/>
      <c r="F58" s="268" t="str">
        <f t="shared" si="0"/>
        <v>-</v>
      </c>
      <c r="G58" s="242"/>
      <c r="H58" s="251"/>
      <c r="I58" s="233"/>
      <c r="J58" s="252" t="str">
        <f>IFERROR(MIN('MP Calculations'!$E$29/I58,1),"-")</f>
        <v>-</v>
      </c>
      <c r="K58" s="257"/>
      <c r="L58" s="233"/>
      <c r="M58" s="233"/>
      <c r="N58" s="233"/>
      <c r="O58" s="255" t="str">
        <f t="shared" si="1"/>
        <v>-</v>
      </c>
      <c r="P58" s="256" t="str">
        <f t="shared" si="2"/>
        <v>-</v>
      </c>
      <c r="Q58" s="87"/>
      <c r="R58" s="87"/>
    </row>
    <row r="59" spans="3:18" x14ac:dyDescent="0.25">
      <c r="C59" s="233"/>
      <c r="D59" s="249"/>
      <c r="E59" s="236"/>
      <c r="F59" s="268" t="str">
        <f t="shared" si="0"/>
        <v>-</v>
      </c>
      <c r="G59" s="242"/>
      <c r="H59" s="251"/>
      <c r="I59" s="233"/>
      <c r="J59" s="252" t="str">
        <f>IFERROR(MIN('MP Calculations'!$E$29/I59,1),"-")</f>
        <v>-</v>
      </c>
      <c r="K59" s="257"/>
      <c r="L59" s="233"/>
      <c r="M59" s="233"/>
      <c r="N59" s="233"/>
      <c r="O59" s="255" t="str">
        <f t="shared" si="1"/>
        <v>-</v>
      </c>
      <c r="P59" s="256" t="str">
        <f t="shared" si="2"/>
        <v>-</v>
      </c>
      <c r="Q59" s="87"/>
      <c r="R59" s="87"/>
    </row>
    <row r="60" spans="3:18" x14ac:dyDescent="0.25">
      <c r="C60" s="233"/>
      <c r="D60" s="249"/>
      <c r="E60" s="236"/>
      <c r="F60" s="268" t="str">
        <f t="shared" si="0"/>
        <v>-</v>
      </c>
      <c r="G60" s="242"/>
      <c r="H60" s="251"/>
      <c r="I60" s="233"/>
      <c r="J60" s="252" t="str">
        <f>IFERROR(MIN('MP Calculations'!$E$29/I60,1),"-")</f>
        <v>-</v>
      </c>
      <c r="K60" s="257"/>
      <c r="L60" s="233"/>
      <c r="M60" s="233"/>
      <c r="N60" s="233"/>
      <c r="O60" s="255" t="str">
        <f t="shared" si="1"/>
        <v>-</v>
      </c>
      <c r="P60" s="256" t="str">
        <f t="shared" si="2"/>
        <v>-</v>
      </c>
      <c r="Q60" s="87"/>
      <c r="R60" s="87"/>
    </row>
    <row r="61" spans="3:18" x14ac:dyDescent="0.25">
      <c r="C61" s="233"/>
      <c r="D61" s="249"/>
      <c r="E61" s="236"/>
      <c r="F61" s="268" t="str">
        <f t="shared" si="0"/>
        <v>-</v>
      </c>
      <c r="G61" s="242"/>
      <c r="H61" s="251"/>
      <c r="I61" s="233"/>
      <c r="J61" s="252" t="str">
        <f>IFERROR(MIN('MP Calculations'!$E$29/I61,1),"-")</f>
        <v>-</v>
      </c>
      <c r="K61" s="257"/>
      <c r="L61" s="233"/>
      <c r="M61" s="233"/>
      <c r="N61" s="233"/>
      <c r="O61" s="255" t="str">
        <f t="shared" si="1"/>
        <v>-</v>
      </c>
      <c r="P61" s="256" t="str">
        <f t="shared" si="2"/>
        <v>-</v>
      </c>
      <c r="Q61" s="87"/>
      <c r="R61" s="87"/>
    </row>
    <row r="62" spans="3:18" x14ac:dyDescent="0.25">
      <c r="C62" s="233"/>
      <c r="D62" s="249"/>
      <c r="E62" s="236"/>
      <c r="F62" s="268" t="str">
        <f t="shared" si="0"/>
        <v>-</v>
      </c>
      <c r="G62" s="242"/>
      <c r="H62" s="251"/>
      <c r="I62" s="233"/>
      <c r="J62" s="252" t="str">
        <f>IFERROR(MIN('MP Calculations'!$E$29/I62,1),"-")</f>
        <v>-</v>
      </c>
      <c r="K62" s="257"/>
      <c r="L62" s="233"/>
      <c r="M62" s="233"/>
      <c r="N62" s="233"/>
      <c r="O62" s="255" t="str">
        <f t="shared" si="1"/>
        <v>-</v>
      </c>
      <c r="P62" s="256" t="str">
        <f t="shared" si="2"/>
        <v>-</v>
      </c>
      <c r="Q62" s="87"/>
      <c r="R62" s="87"/>
    </row>
    <row r="63" spans="3:18" x14ac:dyDescent="0.25">
      <c r="C63" s="233"/>
      <c r="D63" s="249"/>
      <c r="E63" s="236"/>
      <c r="F63" s="268" t="str">
        <f t="shared" si="0"/>
        <v>-</v>
      </c>
      <c r="G63" s="242"/>
      <c r="H63" s="251"/>
      <c r="I63" s="233"/>
      <c r="J63" s="252" t="str">
        <f>IFERROR(MIN('MP Calculations'!$E$29/I63,1),"-")</f>
        <v>-</v>
      </c>
      <c r="K63" s="257"/>
      <c r="L63" s="233"/>
      <c r="M63" s="233"/>
      <c r="N63" s="233"/>
      <c r="O63" s="255" t="str">
        <f t="shared" si="1"/>
        <v>-</v>
      </c>
      <c r="P63" s="256" t="str">
        <f t="shared" si="2"/>
        <v>-</v>
      </c>
      <c r="Q63" s="87"/>
      <c r="R63" s="87"/>
    </row>
    <row r="64" spans="3:18" x14ac:dyDescent="0.25">
      <c r="C64" s="233"/>
      <c r="D64" s="249"/>
      <c r="E64" s="236"/>
      <c r="F64" s="268" t="str">
        <f t="shared" si="0"/>
        <v>-</v>
      </c>
      <c r="G64" s="242"/>
      <c r="H64" s="251"/>
      <c r="I64" s="233"/>
      <c r="J64" s="252" t="str">
        <f>IFERROR(MIN('MP Calculations'!$E$29/I64,1),"-")</f>
        <v>-</v>
      </c>
      <c r="K64" s="257"/>
      <c r="L64" s="233"/>
      <c r="M64" s="233"/>
      <c r="N64" s="233"/>
      <c r="O64" s="255" t="str">
        <f t="shared" si="1"/>
        <v>-</v>
      </c>
      <c r="P64" s="256" t="str">
        <f t="shared" si="2"/>
        <v>-</v>
      </c>
      <c r="Q64" s="87"/>
      <c r="R64" s="87"/>
    </row>
    <row r="65" spans="3:18" x14ac:dyDescent="0.25">
      <c r="C65" s="233"/>
      <c r="D65" s="249"/>
      <c r="E65" s="236"/>
      <c r="F65" s="268" t="str">
        <f t="shared" si="0"/>
        <v>-</v>
      </c>
      <c r="G65" s="242"/>
      <c r="H65" s="251"/>
      <c r="I65" s="233"/>
      <c r="J65" s="252" t="str">
        <f>IFERROR(MIN('MP Calculations'!$E$29/I65,1),"-")</f>
        <v>-</v>
      </c>
      <c r="K65" s="257"/>
      <c r="L65" s="233"/>
      <c r="M65" s="233"/>
      <c r="N65" s="233"/>
      <c r="O65" s="255" t="str">
        <f t="shared" si="1"/>
        <v>-</v>
      </c>
      <c r="P65" s="256" t="str">
        <f t="shared" si="2"/>
        <v>-</v>
      </c>
      <c r="Q65" s="87"/>
      <c r="R65" s="87"/>
    </row>
    <row r="66" spans="3:18" x14ac:dyDescent="0.25">
      <c r="C66" s="233"/>
      <c r="D66" s="249"/>
      <c r="E66" s="236"/>
      <c r="F66" s="268" t="str">
        <f t="shared" si="0"/>
        <v>-</v>
      </c>
      <c r="G66" s="242"/>
      <c r="H66" s="251"/>
      <c r="I66" s="233"/>
      <c r="J66" s="252" t="str">
        <f>IFERROR(MIN('MP Calculations'!$E$29/I66,1),"-")</f>
        <v>-</v>
      </c>
      <c r="K66" s="257"/>
      <c r="L66" s="233"/>
      <c r="M66" s="233"/>
      <c r="N66" s="233"/>
      <c r="O66" s="255" t="str">
        <f t="shared" si="1"/>
        <v>-</v>
      </c>
      <c r="P66" s="256" t="str">
        <f t="shared" si="2"/>
        <v>-</v>
      </c>
      <c r="Q66" s="87"/>
      <c r="R66" s="87"/>
    </row>
    <row r="67" spans="3:18" x14ac:dyDescent="0.25">
      <c r="C67" s="233"/>
      <c r="D67" s="249"/>
      <c r="E67" s="236"/>
      <c r="F67" s="268" t="str">
        <f t="shared" si="0"/>
        <v>-</v>
      </c>
      <c r="G67" s="242"/>
      <c r="H67" s="251"/>
      <c r="I67" s="233"/>
      <c r="J67" s="252" t="str">
        <f>IFERROR(MIN('MP Calculations'!$E$29/I67,1),"-")</f>
        <v>-</v>
      </c>
      <c r="K67" s="257"/>
      <c r="L67" s="233"/>
      <c r="M67" s="233"/>
      <c r="N67" s="233"/>
      <c r="O67" s="255" t="str">
        <f t="shared" si="1"/>
        <v>-</v>
      </c>
      <c r="P67" s="256" t="str">
        <f t="shared" si="2"/>
        <v>-</v>
      </c>
      <c r="Q67" s="87"/>
      <c r="R67" s="87"/>
    </row>
    <row r="68" spans="3:18" x14ac:dyDescent="0.25">
      <c r="C68" s="233"/>
      <c r="D68" s="249"/>
      <c r="E68" s="236"/>
      <c r="F68" s="268" t="str">
        <f t="shared" si="0"/>
        <v>-</v>
      </c>
      <c r="G68" s="242"/>
      <c r="H68" s="251"/>
      <c r="I68" s="233"/>
      <c r="J68" s="252" t="str">
        <f>IFERROR(MIN('MP Calculations'!$E$29/I68,1),"-")</f>
        <v>-</v>
      </c>
      <c r="K68" s="257"/>
      <c r="L68" s="233"/>
      <c r="M68" s="233"/>
      <c r="N68" s="233"/>
      <c r="O68" s="255" t="str">
        <f t="shared" si="1"/>
        <v>-</v>
      </c>
      <c r="P68" s="256" t="str">
        <f t="shared" si="2"/>
        <v>-</v>
      </c>
      <c r="Q68" s="87"/>
      <c r="R68" s="87"/>
    </row>
    <row r="69" spans="3:18" x14ac:dyDescent="0.25">
      <c r="C69" s="233"/>
      <c r="D69" s="249"/>
      <c r="E69" s="236"/>
      <c r="F69" s="268" t="str">
        <f t="shared" si="0"/>
        <v>-</v>
      </c>
      <c r="G69" s="242"/>
      <c r="H69" s="251"/>
      <c r="I69" s="233"/>
      <c r="J69" s="252" t="str">
        <f>IFERROR(MIN('MP Calculations'!$E$29/I69,1),"-")</f>
        <v>-</v>
      </c>
      <c r="K69" s="257"/>
      <c r="L69" s="233"/>
      <c r="M69" s="233"/>
      <c r="N69" s="233"/>
      <c r="O69" s="255" t="str">
        <f t="shared" si="1"/>
        <v>-</v>
      </c>
      <c r="P69" s="256" t="str">
        <f t="shared" si="2"/>
        <v>-</v>
      </c>
      <c r="Q69" s="87"/>
      <c r="R69" s="87"/>
    </row>
    <row r="70" spans="3:18" x14ac:dyDescent="0.25">
      <c r="C70" s="233"/>
      <c r="D70" s="249"/>
      <c r="E70" s="236"/>
      <c r="F70" s="268" t="str">
        <f t="shared" si="0"/>
        <v>-</v>
      </c>
      <c r="G70" s="242"/>
      <c r="H70" s="251"/>
      <c r="I70" s="233"/>
      <c r="J70" s="252" t="str">
        <f>IFERROR(MIN('MP Calculations'!$E$29/I70,1),"-")</f>
        <v>-</v>
      </c>
      <c r="K70" s="257"/>
      <c r="L70" s="233"/>
      <c r="M70" s="233"/>
      <c r="N70" s="233"/>
      <c r="O70" s="255" t="str">
        <f t="shared" si="1"/>
        <v>-</v>
      </c>
      <c r="P70" s="256" t="str">
        <f t="shared" si="2"/>
        <v>-</v>
      </c>
      <c r="Q70" s="87"/>
      <c r="R70" s="87"/>
    </row>
    <row r="71" spans="3:18" x14ac:dyDescent="0.25">
      <c r="C71" s="233"/>
      <c r="D71" s="249"/>
      <c r="E71" s="236"/>
      <c r="F71" s="268" t="str">
        <f t="shared" si="0"/>
        <v>-</v>
      </c>
      <c r="G71" s="242"/>
      <c r="H71" s="251"/>
      <c r="I71" s="233"/>
      <c r="J71" s="252" t="str">
        <f>IFERROR(MIN('MP Calculations'!$E$29/I71,1),"-")</f>
        <v>-</v>
      </c>
      <c r="K71" s="257"/>
      <c r="L71" s="233"/>
      <c r="M71" s="233"/>
      <c r="N71" s="233"/>
      <c r="O71" s="255" t="str">
        <f t="shared" si="1"/>
        <v>-</v>
      </c>
      <c r="P71" s="256" t="str">
        <f t="shared" si="2"/>
        <v>-</v>
      </c>
      <c r="Q71" s="87"/>
      <c r="R71" s="87"/>
    </row>
    <row r="72" spans="3:18" x14ac:dyDescent="0.25">
      <c r="C72" s="233"/>
      <c r="D72" s="249"/>
      <c r="E72" s="236"/>
      <c r="F72" s="268" t="str">
        <f t="shared" si="0"/>
        <v>-</v>
      </c>
      <c r="G72" s="242"/>
      <c r="H72" s="251"/>
      <c r="I72" s="233"/>
      <c r="J72" s="252" t="str">
        <f>IFERROR(MIN('MP Calculations'!$E$29/I72,1),"-")</f>
        <v>-</v>
      </c>
      <c r="K72" s="257"/>
      <c r="L72" s="233"/>
      <c r="M72" s="233"/>
      <c r="N72" s="233"/>
      <c r="O72" s="255" t="str">
        <f t="shared" si="1"/>
        <v>-</v>
      </c>
      <c r="P72" s="256" t="str">
        <f t="shared" si="2"/>
        <v>-</v>
      </c>
      <c r="Q72" s="87"/>
      <c r="R72" s="87"/>
    </row>
    <row r="73" spans="3:18" x14ac:dyDescent="0.25">
      <c r="C73" s="233"/>
      <c r="D73" s="249"/>
      <c r="E73" s="236"/>
      <c r="F73" s="268" t="str">
        <f t="shared" si="0"/>
        <v>-</v>
      </c>
      <c r="G73" s="242"/>
      <c r="H73" s="251"/>
      <c r="I73" s="233"/>
      <c r="J73" s="252" t="str">
        <f>IFERROR(MIN('MP Calculations'!$E$29/I73,1),"-")</f>
        <v>-</v>
      </c>
      <c r="K73" s="257"/>
      <c r="L73" s="233"/>
      <c r="M73" s="233"/>
      <c r="N73" s="233"/>
      <c r="O73" s="255" t="str">
        <f t="shared" si="1"/>
        <v>-</v>
      </c>
      <c r="P73" s="256" t="str">
        <f t="shared" si="2"/>
        <v>-</v>
      </c>
      <c r="Q73" s="87"/>
      <c r="R73" s="87"/>
    </row>
    <row r="74" spans="3:18" x14ac:dyDescent="0.25">
      <c r="C74" s="233"/>
      <c r="D74" s="249"/>
      <c r="E74" s="236"/>
      <c r="F74" s="268" t="str">
        <f t="shared" si="0"/>
        <v>-</v>
      </c>
      <c r="G74" s="242"/>
      <c r="H74" s="251"/>
      <c r="I74" s="233"/>
      <c r="J74" s="252" t="str">
        <f>IFERROR(MIN('MP Calculations'!$E$29/I74,1),"-")</f>
        <v>-</v>
      </c>
      <c r="K74" s="257"/>
      <c r="L74" s="233"/>
      <c r="M74" s="233"/>
      <c r="N74" s="233"/>
      <c r="O74" s="255" t="str">
        <f t="shared" si="1"/>
        <v>-</v>
      </c>
      <c r="P74" s="256" t="str">
        <f t="shared" si="2"/>
        <v>-</v>
      </c>
      <c r="Q74" s="87"/>
      <c r="R74" s="87"/>
    </row>
    <row r="75" spans="3:18" x14ac:dyDescent="0.25">
      <c r="C75" s="233"/>
      <c r="D75" s="249"/>
      <c r="E75" s="236"/>
      <c r="F75" s="268" t="str">
        <f t="shared" si="0"/>
        <v>-</v>
      </c>
      <c r="G75" s="242"/>
      <c r="H75" s="251"/>
      <c r="I75" s="233"/>
      <c r="J75" s="252" t="str">
        <f>IFERROR(MIN('MP Calculations'!$E$29/I75,1),"-")</f>
        <v>-</v>
      </c>
      <c r="K75" s="257"/>
      <c r="L75" s="233"/>
      <c r="M75" s="233"/>
      <c r="N75" s="233"/>
      <c r="O75" s="255" t="str">
        <f t="shared" si="1"/>
        <v>-</v>
      </c>
      <c r="P75" s="256" t="str">
        <f t="shared" si="2"/>
        <v>-</v>
      </c>
      <c r="Q75" s="87"/>
      <c r="R75" s="87"/>
    </row>
    <row r="76" spans="3:18" x14ac:dyDescent="0.25">
      <c r="C76" s="233"/>
      <c r="D76" s="249"/>
      <c r="E76" s="236"/>
      <c r="F76" s="268" t="str">
        <f t="shared" si="0"/>
        <v>-</v>
      </c>
      <c r="G76" s="242"/>
      <c r="H76" s="251"/>
      <c r="I76" s="233"/>
      <c r="J76" s="252" t="str">
        <f>IFERROR(MIN('MP Calculations'!$E$29/I76,1),"-")</f>
        <v>-</v>
      </c>
      <c r="K76" s="257"/>
      <c r="L76" s="233"/>
      <c r="M76" s="233"/>
      <c r="N76" s="233"/>
      <c r="O76" s="255" t="str">
        <f t="shared" si="1"/>
        <v>-</v>
      </c>
      <c r="P76" s="256" t="str">
        <f t="shared" si="2"/>
        <v>-</v>
      </c>
      <c r="Q76" s="87"/>
      <c r="R76" s="87"/>
    </row>
    <row r="77" spans="3:18" x14ac:dyDescent="0.25">
      <c r="C77" s="233"/>
      <c r="D77" s="249"/>
      <c r="E77" s="236"/>
      <c r="F77" s="268" t="str">
        <f t="shared" si="0"/>
        <v>-</v>
      </c>
      <c r="G77" s="242"/>
      <c r="H77" s="251"/>
      <c r="I77" s="233"/>
      <c r="J77" s="252" t="str">
        <f>IFERROR(MIN('MP Calculations'!$E$29/I77,1),"-")</f>
        <v>-</v>
      </c>
      <c r="K77" s="257"/>
      <c r="L77" s="233"/>
      <c r="M77" s="233"/>
      <c r="N77" s="233"/>
      <c r="O77" s="255" t="str">
        <f t="shared" si="1"/>
        <v>-</v>
      </c>
      <c r="P77" s="256" t="str">
        <f t="shared" si="2"/>
        <v>-</v>
      </c>
      <c r="Q77" s="87"/>
      <c r="R77" s="87"/>
    </row>
    <row r="78" spans="3:18" x14ac:dyDescent="0.25">
      <c r="C78" s="233"/>
      <c r="D78" s="249"/>
      <c r="E78" s="236"/>
      <c r="F78" s="268" t="str">
        <f t="shared" si="0"/>
        <v>-</v>
      </c>
      <c r="G78" s="242"/>
      <c r="H78" s="251"/>
      <c r="I78" s="233"/>
      <c r="J78" s="252" t="str">
        <f>IFERROR(MIN('MP Calculations'!$E$29/I78,1),"-")</f>
        <v>-</v>
      </c>
      <c r="K78" s="257"/>
      <c r="L78" s="233"/>
      <c r="M78" s="233"/>
      <c r="N78" s="233"/>
      <c r="O78" s="255" t="str">
        <f t="shared" si="1"/>
        <v>-</v>
      </c>
      <c r="P78" s="256" t="str">
        <f t="shared" si="2"/>
        <v>-</v>
      </c>
      <c r="Q78" s="87"/>
      <c r="R78" s="87"/>
    </row>
    <row r="79" spans="3:18" x14ac:dyDescent="0.25">
      <c r="C79" s="233"/>
      <c r="D79" s="249"/>
      <c r="E79" s="236"/>
      <c r="F79" s="268" t="str">
        <f t="shared" si="0"/>
        <v>-</v>
      </c>
      <c r="G79" s="242"/>
      <c r="H79" s="251"/>
      <c r="I79" s="233"/>
      <c r="J79" s="252" t="str">
        <f>IFERROR(MIN('MP Calculations'!$E$29/I79,1),"-")</f>
        <v>-</v>
      </c>
      <c r="K79" s="257"/>
      <c r="L79" s="233"/>
      <c r="M79" s="233"/>
      <c r="N79" s="233"/>
      <c r="O79" s="255" t="str">
        <f t="shared" si="1"/>
        <v>-</v>
      </c>
      <c r="P79" s="256" t="str">
        <f t="shared" si="2"/>
        <v>-</v>
      </c>
      <c r="Q79" s="87"/>
      <c r="R79" s="87"/>
    </row>
    <row r="80" spans="3:18" x14ac:dyDescent="0.25">
      <c r="C80" s="233"/>
      <c r="D80" s="249"/>
      <c r="E80" s="236"/>
      <c r="F80" s="268" t="str">
        <f t="shared" si="0"/>
        <v>-</v>
      </c>
      <c r="G80" s="242"/>
      <c r="H80" s="251"/>
      <c r="I80" s="233"/>
      <c r="J80" s="252" t="str">
        <f>IFERROR(MIN('MP Calculations'!$E$29/I80,1),"-")</f>
        <v>-</v>
      </c>
      <c r="K80" s="257"/>
      <c r="L80" s="233"/>
      <c r="M80" s="233"/>
      <c r="N80" s="233"/>
      <c r="O80" s="255" t="str">
        <f t="shared" si="1"/>
        <v>-</v>
      </c>
      <c r="P80" s="256" t="str">
        <f t="shared" si="2"/>
        <v>-</v>
      </c>
      <c r="Q80" s="87"/>
      <c r="R80" s="87"/>
    </row>
    <row r="81" spans="3:18" x14ac:dyDescent="0.25">
      <c r="C81" s="233"/>
      <c r="D81" s="249"/>
      <c r="E81" s="236"/>
      <c r="F81" s="268" t="str">
        <f t="shared" si="0"/>
        <v>-</v>
      </c>
      <c r="G81" s="242"/>
      <c r="H81" s="251"/>
      <c r="I81" s="233"/>
      <c r="J81" s="252" t="str">
        <f>IFERROR(MIN('MP Calculations'!$E$29/I81,1),"-")</f>
        <v>-</v>
      </c>
      <c r="K81" s="257"/>
      <c r="L81" s="233"/>
      <c r="M81" s="233"/>
      <c r="N81" s="233"/>
      <c r="O81" s="255" t="str">
        <f t="shared" si="1"/>
        <v>-</v>
      </c>
      <c r="P81" s="256" t="str">
        <f t="shared" si="2"/>
        <v>-</v>
      </c>
      <c r="Q81" s="87"/>
      <c r="R81" s="87"/>
    </row>
    <row r="82" spans="3:18" x14ac:dyDescent="0.25">
      <c r="C82" s="233"/>
      <c r="D82" s="249"/>
      <c r="E82" s="236"/>
      <c r="F82" s="268" t="str">
        <f t="shared" si="0"/>
        <v>-</v>
      </c>
      <c r="G82" s="242"/>
      <c r="H82" s="251"/>
      <c r="I82" s="233"/>
      <c r="J82" s="252" t="str">
        <f>IFERROR(MIN('MP Calculations'!$E$29/I82,1),"-")</f>
        <v>-</v>
      </c>
      <c r="K82" s="257"/>
      <c r="L82" s="233"/>
      <c r="M82" s="233"/>
      <c r="N82" s="233"/>
      <c r="O82" s="255" t="str">
        <f t="shared" si="1"/>
        <v>-</v>
      </c>
      <c r="P82" s="256" t="str">
        <f t="shared" si="2"/>
        <v>-</v>
      </c>
      <c r="Q82" s="87"/>
      <c r="R82" s="87"/>
    </row>
    <row r="83" spans="3:18" x14ac:dyDescent="0.25">
      <c r="C83" s="233"/>
      <c r="D83" s="249"/>
      <c r="E83" s="236"/>
      <c r="F83" s="268" t="str">
        <f t="shared" si="0"/>
        <v>-</v>
      </c>
      <c r="G83" s="242"/>
      <c r="H83" s="251"/>
      <c r="I83" s="233"/>
      <c r="J83" s="252" t="str">
        <f>IFERROR(MIN('MP Calculations'!$E$29/I83,1),"-")</f>
        <v>-</v>
      </c>
      <c r="K83" s="257"/>
      <c r="L83" s="233"/>
      <c r="M83" s="233"/>
      <c r="N83" s="233"/>
      <c r="O83" s="255" t="str">
        <f t="shared" si="1"/>
        <v>-</v>
      </c>
      <c r="P83" s="256" t="str">
        <f t="shared" si="2"/>
        <v>-</v>
      </c>
      <c r="Q83" s="87"/>
      <c r="R83" s="87"/>
    </row>
    <row r="84" spans="3:18" x14ac:dyDescent="0.25">
      <c r="C84" s="233"/>
      <c r="D84" s="249"/>
      <c r="E84" s="236"/>
      <c r="F84" s="268" t="str">
        <f t="shared" si="0"/>
        <v>-</v>
      </c>
      <c r="G84" s="242"/>
      <c r="H84" s="251"/>
      <c r="I84" s="233"/>
      <c r="J84" s="252" t="str">
        <f>IFERROR(MIN('MP Calculations'!$E$29/I84,1),"-")</f>
        <v>-</v>
      </c>
      <c r="K84" s="257"/>
      <c r="L84" s="233"/>
      <c r="M84" s="233"/>
      <c r="N84" s="233"/>
      <c r="O84" s="255" t="str">
        <f t="shared" si="1"/>
        <v>-</v>
      </c>
      <c r="P84" s="256" t="str">
        <f t="shared" si="2"/>
        <v>-</v>
      </c>
      <c r="Q84" s="87"/>
      <c r="R84" s="87"/>
    </row>
    <row r="85" spans="3:18" x14ac:dyDescent="0.25">
      <c r="C85" s="233"/>
      <c r="D85" s="249"/>
      <c r="E85" s="236"/>
      <c r="F85" s="268" t="str">
        <f t="shared" si="0"/>
        <v>-</v>
      </c>
      <c r="G85" s="242"/>
      <c r="H85" s="251"/>
      <c r="I85" s="233"/>
      <c r="J85" s="252" t="str">
        <f>IFERROR(MIN('MP Calculations'!$E$29/I85,1),"-")</f>
        <v>-</v>
      </c>
      <c r="K85" s="257"/>
      <c r="L85" s="233"/>
      <c r="M85" s="233"/>
      <c r="N85" s="233"/>
      <c r="O85" s="255" t="str">
        <f t="shared" si="1"/>
        <v>-</v>
      </c>
      <c r="P85" s="256" t="str">
        <f t="shared" si="2"/>
        <v>-</v>
      </c>
      <c r="Q85" s="87"/>
      <c r="R85" s="87"/>
    </row>
    <row r="86" spans="3:18" x14ac:dyDescent="0.25">
      <c r="C86" s="233"/>
      <c r="D86" s="249"/>
      <c r="E86" s="236"/>
      <c r="F86" s="268" t="str">
        <f t="shared" si="0"/>
        <v>-</v>
      </c>
      <c r="G86" s="242"/>
      <c r="H86" s="251"/>
      <c r="I86" s="233"/>
      <c r="J86" s="252" t="str">
        <f>IFERROR(MIN('MP Calculations'!$E$29/I86,1),"-")</f>
        <v>-</v>
      </c>
      <c r="K86" s="257"/>
      <c r="L86" s="233"/>
      <c r="M86" s="233"/>
      <c r="N86" s="233"/>
      <c r="O86" s="255" t="str">
        <f t="shared" si="1"/>
        <v>-</v>
      </c>
      <c r="P86" s="256" t="str">
        <f t="shared" si="2"/>
        <v>-</v>
      </c>
      <c r="Q86" s="87"/>
      <c r="R86" s="87"/>
    </row>
    <row r="87" spans="3:18" x14ac:dyDescent="0.25">
      <c r="C87" s="233"/>
      <c r="D87" s="249"/>
      <c r="E87" s="236"/>
      <c r="F87" s="268" t="str">
        <f t="shared" ref="F87:F218" si="3">IF(E87="","-",IF(OR(E87&lt;$E$15,E87&gt;$E$16),"ERROR - date outside of range",IF(MONTH(E87)&gt;=7,YEAR(E87)&amp;"-"&amp;IF(YEAR(E87)=1999,"00",IF(AND(YEAR(E87)&gt;=2000,YEAR(E87)&lt;2009),"0","")&amp;RIGHT(YEAR(E87),2)+1),RIGHT(YEAR(E87),4)-1&amp;"-"&amp;RIGHT(YEAR(E87),2))))</f>
        <v>-</v>
      </c>
      <c r="G87" s="242"/>
      <c r="H87" s="251"/>
      <c r="I87" s="233"/>
      <c r="J87" s="252" t="str">
        <f>IFERROR(MIN('MP Calculations'!$E$29/I87,1),"-")</f>
        <v>-</v>
      </c>
      <c r="K87" s="257"/>
      <c r="L87" s="233"/>
      <c r="M87" s="233"/>
      <c r="N87" s="233"/>
      <c r="O87" s="255" t="str">
        <f t="shared" ref="O87:O150" si="4">IF(N87="","-",L87*N87)</f>
        <v>-</v>
      </c>
      <c r="P87" s="256" t="str">
        <f t="shared" ref="P87:P218" si="5">IF(O87="-","-",IF(OR(E87&lt;$E$15,E87&gt;$E$16),0,O87*J87))</f>
        <v>-</v>
      </c>
      <c r="Q87" s="87"/>
      <c r="R87" s="87"/>
    </row>
    <row r="88" spans="3:18" x14ac:dyDescent="0.25">
      <c r="C88" s="233"/>
      <c r="D88" s="249"/>
      <c r="E88" s="236"/>
      <c r="F88" s="268" t="str">
        <f t="shared" si="3"/>
        <v>-</v>
      </c>
      <c r="G88" s="242"/>
      <c r="H88" s="251"/>
      <c r="I88" s="233"/>
      <c r="J88" s="252" t="str">
        <f>IFERROR(MIN('MP Calculations'!$E$29/I88,1),"-")</f>
        <v>-</v>
      </c>
      <c r="K88" s="257"/>
      <c r="L88" s="233"/>
      <c r="M88" s="233"/>
      <c r="N88" s="233"/>
      <c r="O88" s="255" t="str">
        <f t="shared" si="4"/>
        <v>-</v>
      </c>
      <c r="P88" s="256" t="str">
        <f t="shared" si="5"/>
        <v>-</v>
      </c>
      <c r="Q88" s="87"/>
      <c r="R88" s="87"/>
    </row>
    <row r="89" spans="3:18" x14ac:dyDescent="0.25">
      <c r="C89" s="233"/>
      <c r="D89" s="249"/>
      <c r="E89" s="236"/>
      <c r="F89" s="268" t="str">
        <f t="shared" si="3"/>
        <v>-</v>
      </c>
      <c r="G89" s="242"/>
      <c r="H89" s="251"/>
      <c r="I89" s="233"/>
      <c r="J89" s="252" t="str">
        <f>IFERROR(MIN('MP Calculations'!$E$29/I89,1),"-")</f>
        <v>-</v>
      </c>
      <c r="K89" s="257"/>
      <c r="L89" s="233"/>
      <c r="M89" s="233"/>
      <c r="N89" s="233"/>
      <c r="O89" s="255" t="str">
        <f t="shared" si="4"/>
        <v>-</v>
      </c>
      <c r="P89" s="256" t="str">
        <f t="shared" si="5"/>
        <v>-</v>
      </c>
      <c r="Q89" s="87"/>
      <c r="R89" s="87"/>
    </row>
    <row r="90" spans="3:18" x14ac:dyDescent="0.25">
      <c r="C90" s="233"/>
      <c r="D90" s="249"/>
      <c r="E90" s="236"/>
      <c r="F90" s="268" t="str">
        <f t="shared" si="3"/>
        <v>-</v>
      </c>
      <c r="G90" s="242"/>
      <c r="H90" s="251"/>
      <c r="I90" s="233"/>
      <c r="J90" s="252" t="str">
        <f>IFERROR(MIN('MP Calculations'!$E$29/I90,1),"-")</f>
        <v>-</v>
      </c>
      <c r="K90" s="257"/>
      <c r="L90" s="233"/>
      <c r="M90" s="233"/>
      <c r="N90" s="233"/>
      <c r="O90" s="255" t="str">
        <f t="shared" si="4"/>
        <v>-</v>
      </c>
      <c r="P90" s="256" t="str">
        <f t="shared" si="5"/>
        <v>-</v>
      </c>
      <c r="Q90" s="87"/>
      <c r="R90" s="87"/>
    </row>
    <row r="91" spans="3:18" x14ac:dyDescent="0.25">
      <c r="C91" s="233"/>
      <c r="D91" s="249"/>
      <c r="E91" s="236"/>
      <c r="F91" s="268" t="str">
        <f t="shared" si="3"/>
        <v>-</v>
      </c>
      <c r="G91" s="242"/>
      <c r="H91" s="251"/>
      <c r="I91" s="233"/>
      <c r="J91" s="252" t="str">
        <f>IFERROR(MIN('MP Calculations'!$E$29/I91,1),"-")</f>
        <v>-</v>
      </c>
      <c r="K91" s="257"/>
      <c r="L91" s="233"/>
      <c r="M91" s="233"/>
      <c r="N91" s="233"/>
      <c r="O91" s="255" t="str">
        <f t="shared" si="4"/>
        <v>-</v>
      </c>
      <c r="P91" s="256" t="str">
        <f t="shared" si="5"/>
        <v>-</v>
      </c>
      <c r="Q91" s="87"/>
      <c r="R91" s="87"/>
    </row>
    <row r="92" spans="3:18" x14ac:dyDescent="0.25">
      <c r="C92" s="233"/>
      <c r="D92" s="249"/>
      <c r="E92" s="236"/>
      <c r="F92" s="268" t="str">
        <f t="shared" si="3"/>
        <v>-</v>
      </c>
      <c r="G92" s="242"/>
      <c r="H92" s="251"/>
      <c r="I92" s="233"/>
      <c r="J92" s="252" t="str">
        <f>IFERROR(MIN('MP Calculations'!$E$29/I92,1),"-")</f>
        <v>-</v>
      </c>
      <c r="K92" s="257"/>
      <c r="L92" s="233"/>
      <c r="M92" s="233"/>
      <c r="N92" s="233"/>
      <c r="O92" s="255" t="str">
        <f t="shared" si="4"/>
        <v>-</v>
      </c>
      <c r="P92" s="256" t="str">
        <f t="shared" si="5"/>
        <v>-</v>
      </c>
      <c r="Q92" s="87"/>
      <c r="R92" s="87"/>
    </row>
    <row r="93" spans="3:18" x14ac:dyDescent="0.25">
      <c r="C93" s="233"/>
      <c r="D93" s="249"/>
      <c r="E93" s="236"/>
      <c r="F93" s="268" t="str">
        <f t="shared" si="3"/>
        <v>-</v>
      </c>
      <c r="G93" s="242"/>
      <c r="H93" s="251"/>
      <c r="I93" s="233"/>
      <c r="J93" s="252" t="str">
        <f>IFERROR(MIN('MP Calculations'!$E$29/I93,1),"-")</f>
        <v>-</v>
      </c>
      <c r="K93" s="257"/>
      <c r="L93" s="233"/>
      <c r="M93" s="233"/>
      <c r="N93" s="233"/>
      <c r="O93" s="255" t="str">
        <f t="shared" si="4"/>
        <v>-</v>
      </c>
      <c r="P93" s="256" t="str">
        <f t="shared" si="5"/>
        <v>-</v>
      </c>
      <c r="Q93" s="87"/>
      <c r="R93" s="87"/>
    </row>
    <row r="94" spans="3:18" x14ac:dyDescent="0.25">
      <c r="C94" s="233"/>
      <c r="D94" s="249"/>
      <c r="E94" s="236"/>
      <c r="F94" s="268" t="str">
        <f t="shared" si="3"/>
        <v>-</v>
      </c>
      <c r="G94" s="242"/>
      <c r="H94" s="251"/>
      <c r="I94" s="233"/>
      <c r="J94" s="252" t="str">
        <f>IFERROR(MIN('MP Calculations'!$E$29/I94,1),"-")</f>
        <v>-</v>
      </c>
      <c r="K94" s="257"/>
      <c r="L94" s="233"/>
      <c r="M94" s="233"/>
      <c r="N94" s="233"/>
      <c r="O94" s="255" t="str">
        <f t="shared" si="4"/>
        <v>-</v>
      </c>
      <c r="P94" s="256" t="str">
        <f t="shared" si="5"/>
        <v>-</v>
      </c>
      <c r="Q94" s="87"/>
      <c r="R94" s="87"/>
    </row>
    <row r="95" spans="3:18" x14ac:dyDescent="0.25">
      <c r="C95" s="233"/>
      <c r="D95" s="249"/>
      <c r="E95" s="236"/>
      <c r="F95" s="268" t="str">
        <f t="shared" si="3"/>
        <v>-</v>
      </c>
      <c r="G95" s="242"/>
      <c r="H95" s="251"/>
      <c r="I95" s="233"/>
      <c r="J95" s="252" t="str">
        <f>IFERROR(MIN('MP Calculations'!$E$29/I95,1),"-")</f>
        <v>-</v>
      </c>
      <c r="K95" s="257"/>
      <c r="L95" s="233"/>
      <c r="M95" s="233"/>
      <c r="N95" s="233"/>
      <c r="O95" s="255" t="str">
        <f t="shared" si="4"/>
        <v>-</v>
      </c>
      <c r="P95" s="256" t="str">
        <f t="shared" si="5"/>
        <v>-</v>
      </c>
      <c r="Q95" s="87"/>
      <c r="R95" s="87"/>
    </row>
    <row r="96" spans="3:18" x14ac:dyDescent="0.25">
      <c r="C96" s="233"/>
      <c r="D96" s="249"/>
      <c r="E96" s="236"/>
      <c r="F96" s="268" t="str">
        <f t="shared" si="3"/>
        <v>-</v>
      </c>
      <c r="G96" s="242"/>
      <c r="H96" s="251"/>
      <c r="I96" s="233"/>
      <c r="J96" s="252" t="str">
        <f>IFERROR(MIN('MP Calculations'!$E$29/I96,1),"-")</f>
        <v>-</v>
      </c>
      <c r="K96" s="257"/>
      <c r="L96" s="233"/>
      <c r="M96" s="233"/>
      <c r="N96" s="233"/>
      <c r="O96" s="255" t="str">
        <f t="shared" si="4"/>
        <v>-</v>
      </c>
      <c r="P96" s="256" t="str">
        <f t="shared" si="5"/>
        <v>-</v>
      </c>
      <c r="Q96" s="87"/>
      <c r="R96" s="87"/>
    </row>
    <row r="97" spans="3:18" x14ac:dyDescent="0.25">
      <c r="C97" s="233"/>
      <c r="D97" s="249"/>
      <c r="E97" s="236"/>
      <c r="F97" s="268" t="str">
        <f t="shared" si="3"/>
        <v>-</v>
      </c>
      <c r="G97" s="242"/>
      <c r="H97" s="251"/>
      <c r="I97" s="233"/>
      <c r="J97" s="252" t="str">
        <f>IFERROR(MIN('MP Calculations'!$E$29/I97,1),"-")</f>
        <v>-</v>
      </c>
      <c r="K97" s="257"/>
      <c r="L97" s="233"/>
      <c r="M97" s="233"/>
      <c r="N97" s="233"/>
      <c r="O97" s="255" t="str">
        <f t="shared" si="4"/>
        <v>-</v>
      </c>
      <c r="P97" s="256" t="str">
        <f t="shared" si="5"/>
        <v>-</v>
      </c>
      <c r="Q97" s="87"/>
      <c r="R97" s="87"/>
    </row>
    <row r="98" spans="3:18" x14ac:dyDescent="0.25">
      <c r="C98" s="233"/>
      <c r="D98" s="249"/>
      <c r="E98" s="236"/>
      <c r="F98" s="268" t="str">
        <f t="shared" si="3"/>
        <v>-</v>
      </c>
      <c r="G98" s="242"/>
      <c r="H98" s="251"/>
      <c r="I98" s="233"/>
      <c r="J98" s="252" t="str">
        <f>IFERROR(MIN('MP Calculations'!$E$29/I98,1),"-")</f>
        <v>-</v>
      </c>
      <c r="K98" s="257"/>
      <c r="L98" s="233"/>
      <c r="M98" s="233"/>
      <c r="N98" s="233"/>
      <c r="O98" s="255" t="str">
        <f t="shared" si="4"/>
        <v>-</v>
      </c>
      <c r="P98" s="256" t="str">
        <f t="shared" si="5"/>
        <v>-</v>
      </c>
      <c r="Q98" s="87"/>
      <c r="R98" s="87"/>
    </row>
    <row r="99" spans="3:18" x14ac:dyDescent="0.25">
      <c r="C99" s="233"/>
      <c r="D99" s="249"/>
      <c r="E99" s="236"/>
      <c r="F99" s="268" t="str">
        <f t="shared" si="3"/>
        <v>-</v>
      </c>
      <c r="G99" s="242"/>
      <c r="H99" s="251"/>
      <c r="I99" s="233"/>
      <c r="J99" s="252" t="str">
        <f>IFERROR(MIN('MP Calculations'!$E$29/I99,1),"-")</f>
        <v>-</v>
      </c>
      <c r="K99" s="257"/>
      <c r="L99" s="233"/>
      <c r="M99" s="233"/>
      <c r="N99" s="233"/>
      <c r="O99" s="255" t="str">
        <f t="shared" si="4"/>
        <v>-</v>
      </c>
      <c r="P99" s="256" t="str">
        <f t="shared" si="5"/>
        <v>-</v>
      </c>
      <c r="Q99" s="87"/>
      <c r="R99" s="87"/>
    </row>
    <row r="100" spans="3:18" x14ac:dyDescent="0.25">
      <c r="C100" s="233"/>
      <c r="D100" s="249"/>
      <c r="E100" s="236"/>
      <c r="F100" s="268" t="str">
        <f t="shared" si="3"/>
        <v>-</v>
      </c>
      <c r="G100" s="242"/>
      <c r="H100" s="251"/>
      <c r="I100" s="233"/>
      <c r="J100" s="252" t="str">
        <f>IFERROR(MIN('MP Calculations'!$E$29/I100,1),"-")</f>
        <v>-</v>
      </c>
      <c r="K100" s="257"/>
      <c r="L100" s="233"/>
      <c r="M100" s="233"/>
      <c r="N100" s="233"/>
      <c r="O100" s="255" t="str">
        <f t="shared" si="4"/>
        <v>-</v>
      </c>
      <c r="P100" s="256" t="str">
        <f t="shared" si="5"/>
        <v>-</v>
      </c>
      <c r="Q100" s="87"/>
      <c r="R100" s="87"/>
    </row>
    <row r="101" spans="3:18" x14ac:dyDescent="0.25">
      <c r="C101" s="233"/>
      <c r="D101" s="249"/>
      <c r="E101" s="236"/>
      <c r="F101" s="268" t="str">
        <f t="shared" si="3"/>
        <v>-</v>
      </c>
      <c r="G101" s="242"/>
      <c r="H101" s="251"/>
      <c r="I101" s="233"/>
      <c r="J101" s="252" t="str">
        <f>IFERROR(MIN('MP Calculations'!$E$29/I101,1),"-")</f>
        <v>-</v>
      </c>
      <c r="K101" s="257"/>
      <c r="L101" s="233"/>
      <c r="M101" s="233"/>
      <c r="N101" s="233"/>
      <c r="O101" s="255" t="str">
        <f t="shared" si="4"/>
        <v>-</v>
      </c>
      <c r="P101" s="256" t="str">
        <f t="shared" si="5"/>
        <v>-</v>
      </c>
      <c r="Q101" s="87"/>
      <c r="R101" s="87"/>
    </row>
    <row r="102" spans="3:18" x14ac:dyDescent="0.25">
      <c r="C102" s="233"/>
      <c r="D102" s="249"/>
      <c r="E102" s="236"/>
      <c r="F102" s="268" t="str">
        <f t="shared" si="3"/>
        <v>-</v>
      </c>
      <c r="G102" s="242"/>
      <c r="H102" s="251"/>
      <c r="I102" s="233"/>
      <c r="J102" s="252" t="str">
        <f>IFERROR(MIN('MP Calculations'!$E$29/I102,1),"-")</f>
        <v>-</v>
      </c>
      <c r="K102" s="257"/>
      <c r="L102" s="233"/>
      <c r="M102" s="233"/>
      <c r="N102" s="233"/>
      <c r="O102" s="255" t="str">
        <f t="shared" si="4"/>
        <v>-</v>
      </c>
      <c r="P102" s="256" t="str">
        <f t="shared" si="5"/>
        <v>-</v>
      </c>
      <c r="Q102" s="87"/>
      <c r="R102" s="87"/>
    </row>
    <row r="103" spans="3:18" x14ac:dyDescent="0.25">
      <c r="C103" s="233"/>
      <c r="D103" s="249"/>
      <c r="E103" s="236"/>
      <c r="F103" s="268" t="str">
        <f t="shared" si="3"/>
        <v>-</v>
      </c>
      <c r="G103" s="242"/>
      <c r="H103" s="251"/>
      <c r="I103" s="233"/>
      <c r="J103" s="252" t="str">
        <f>IFERROR(MIN('MP Calculations'!$E$29/I103,1),"-")</f>
        <v>-</v>
      </c>
      <c r="K103" s="257"/>
      <c r="L103" s="233"/>
      <c r="M103" s="233"/>
      <c r="N103" s="233"/>
      <c r="O103" s="255" t="str">
        <f t="shared" si="4"/>
        <v>-</v>
      </c>
      <c r="P103" s="256" t="str">
        <f t="shared" si="5"/>
        <v>-</v>
      </c>
      <c r="Q103" s="87"/>
      <c r="R103" s="87"/>
    </row>
    <row r="104" spans="3:18" x14ac:dyDescent="0.25">
      <c r="C104" s="233"/>
      <c r="D104" s="249"/>
      <c r="E104" s="236"/>
      <c r="F104" s="268" t="str">
        <f t="shared" si="3"/>
        <v>-</v>
      </c>
      <c r="G104" s="242"/>
      <c r="H104" s="251"/>
      <c r="I104" s="233"/>
      <c r="J104" s="252" t="str">
        <f>IFERROR(MIN('MP Calculations'!$E$29/I104,1),"-")</f>
        <v>-</v>
      </c>
      <c r="K104" s="257"/>
      <c r="L104" s="233"/>
      <c r="M104" s="233"/>
      <c r="N104" s="233"/>
      <c r="O104" s="255" t="str">
        <f t="shared" si="4"/>
        <v>-</v>
      </c>
      <c r="P104" s="256" t="str">
        <f t="shared" si="5"/>
        <v>-</v>
      </c>
      <c r="Q104" s="87"/>
      <c r="R104" s="87"/>
    </row>
    <row r="105" spans="3:18" x14ac:dyDescent="0.25">
      <c r="C105" s="233"/>
      <c r="D105" s="249"/>
      <c r="E105" s="236"/>
      <c r="F105" s="268" t="str">
        <f t="shared" si="3"/>
        <v>-</v>
      </c>
      <c r="G105" s="242"/>
      <c r="H105" s="251"/>
      <c r="I105" s="233"/>
      <c r="J105" s="252" t="str">
        <f>IFERROR(MIN('MP Calculations'!$E$29/I105,1),"-")</f>
        <v>-</v>
      </c>
      <c r="K105" s="257"/>
      <c r="L105" s="233"/>
      <c r="M105" s="233"/>
      <c r="N105" s="233"/>
      <c r="O105" s="255" t="str">
        <f t="shared" si="4"/>
        <v>-</v>
      </c>
      <c r="P105" s="256" t="str">
        <f t="shared" si="5"/>
        <v>-</v>
      </c>
      <c r="Q105" s="87"/>
      <c r="R105" s="87"/>
    </row>
    <row r="106" spans="3:18" x14ac:dyDescent="0.25">
      <c r="C106" s="233"/>
      <c r="D106" s="249"/>
      <c r="E106" s="236"/>
      <c r="F106" s="268" t="str">
        <f t="shared" si="3"/>
        <v>-</v>
      </c>
      <c r="G106" s="242"/>
      <c r="H106" s="251"/>
      <c r="I106" s="233"/>
      <c r="J106" s="252" t="str">
        <f>IFERROR(MIN('MP Calculations'!$E$29/I106,1),"-")</f>
        <v>-</v>
      </c>
      <c r="K106" s="257"/>
      <c r="L106" s="233"/>
      <c r="M106" s="233"/>
      <c r="N106" s="233"/>
      <c r="O106" s="255" t="str">
        <f t="shared" si="4"/>
        <v>-</v>
      </c>
      <c r="P106" s="256" t="str">
        <f t="shared" si="5"/>
        <v>-</v>
      </c>
      <c r="Q106" s="87"/>
      <c r="R106" s="87"/>
    </row>
    <row r="107" spans="3:18" x14ac:dyDescent="0.25">
      <c r="C107" s="233"/>
      <c r="D107" s="249"/>
      <c r="E107" s="236"/>
      <c r="F107" s="268" t="str">
        <f t="shared" si="3"/>
        <v>-</v>
      </c>
      <c r="G107" s="242"/>
      <c r="H107" s="251"/>
      <c r="I107" s="233"/>
      <c r="J107" s="252" t="str">
        <f>IFERROR(MIN('MP Calculations'!$E$29/I107,1),"-")</f>
        <v>-</v>
      </c>
      <c r="K107" s="257"/>
      <c r="L107" s="233"/>
      <c r="M107" s="233"/>
      <c r="N107" s="233"/>
      <c r="O107" s="255" t="str">
        <f t="shared" si="4"/>
        <v>-</v>
      </c>
      <c r="P107" s="256" t="str">
        <f t="shared" si="5"/>
        <v>-</v>
      </c>
      <c r="Q107" s="87"/>
      <c r="R107" s="87"/>
    </row>
    <row r="108" spans="3:18" x14ac:dyDescent="0.25">
      <c r="C108" s="233"/>
      <c r="D108" s="249"/>
      <c r="E108" s="236"/>
      <c r="F108" s="268" t="str">
        <f t="shared" si="3"/>
        <v>-</v>
      </c>
      <c r="G108" s="242"/>
      <c r="H108" s="251"/>
      <c r="I108" s="233"/>
      <c r="J108" s="252" t="str">
        <f>IFERROR(MIN('MP Calculations'!$E$29/I108,1),"-")</f>
        <v>-</v>
      </c>
      <c r="K108" s="257"/>
      <c r="L108" s="233"/>
      <c r="M108" s="233"/>
      <c r="N108" s="233"/>
      <c r="O108" s="255" t="str">
        <f t="shared" si="4"/>
        <v>-</v>
      </c>
      <c r="P108" s="256" t="str">
        <f t="shared" si="5"/>
        <v>-</v>
      </c>
      <c r="Q108" s="87"/>
      <c r="R108" s="87"/>
    </row>
    <row r="109" spans="3:18" x14ac:dyDescent="0.25">
      <c r="C109" s="233"/>
      <c r="D109" s="249"/>
      <c r="E109" s="236"/>
      <c r="F109" s="268" t="str">
        <f t="shared" si="3"/>
        <v>-</v>
      </c>
      <c r="G109" s="242"/>
      <c r="H109" s="251"/>
      <c r="I109" s="233"/>
      <c r="J109" s="252" t="str">
        <f>IFERROR(MIN('MP Calculations'!$E$29/I109,1),"-")</f>
        <v>-</v>
      </c>
      <c r="K109" s="257"/>
      <c r="L109" s="233"/>
      <c r="M109" s="233"/>
      <c r="N109" s="233"/>
      <c r="O109" s="255" t="str">
        <f t="shared" si="4"/>
        <v>-</v>
      </c>
      <c r="P109" s="256" t="str">
        <f t="shared" si="5"/>
        <v>-</v>
      </c>
      <c r="Q109" s="87"/>
      <c r="R109" s="87"/>
    </row>
    <row r="110" spans="3:18" x14ac:dyDescent="0.25">
      <c r="C110" s="233"/>
      <c r="D110" s="249"/>
      <c r="E110" s="236"/>
      <c r="F110" s="268" t="str">
        <f t="shared" si="3"/>
        <v>-</v>
      </c>
      <c r="G110" s="242"/>
      <c r="H110" s="251"/>
      <c r="I110" s="233"/>
      <c r="J110" s="252" t="str">
        <f>IFERROR(MIN('MP Calculations'!$E$29/I110,1),"-")</f>
        <v>-</v>
      </c>
      <c r="K110" s="257"/>
      <c r="L110" s="233"/>
      <c r="M110" s="233"/>
      <c r="N110" s="233"/>
      <c r="O110" s="255" t="str">
        <f t="shared" si="4"/>
        <v>-</v>
      </c>
      <c r="P110" s="256" t="str">
        <f t="shared" si="5"/>
        <v>-</v>
      </c>
      <c r="Q110" s="87"/>
      <c r="R110" s="87"/>
    </row>
    <row r="111" spans="3:18" x14ac:dyDescent="0.25">
      <c r="C111" s="233"/>
      <c r="D111" s="249"/>
      <c r="E111" s="236"/>
      <c r="F111" s="268" t="str">
        <f t="shared" si="3"/>
        <v>-</v>
      </c>
      <c r="G111" s="242"/>
      <c r="H111" s="251"/>
      <c r="I111" s="233"/>
      <c r="J111" s="252" t="str">
        <f>IFERROR(MIN('MP Calculations'!$E$29/I111,1),"-")</f>
        <v>-</v>
      </c>
      <c r="K111" s="257"/>
      <c r="L111" s="233"/>
      <c r="M111" s="233"/>
      <c r="N111" s="233"/>
      <c r="O111" s="255" t="str">
        <f t="shared" si="4"/>
        <v>-</v>
      </c>
      <c r="P111" s="256" t="str">
        <f t="shared" si="5"/>
        <v>-</v>
      </c>
      <c r="Q111" s="87"/>
      <c r="R111" s="87"/>
    </row>
    <row r="112" spans="3:18" x14ac:dyDescent="0.25">
      <c r="C112" s="233"/>
      <c r="D112" s="249"/>
      <c r="E112" s="236"/>
      <c r="F112" s="268" t="str">
        <f t="shared" si="3"/>
        <v>-</v>
      </c>
      <c r="G112" s="242"/>
      <c r="H112" s="251"/>
      <c r="I112" s="233"/>
      <c r="J112" s="252" t="str">
        <f>IFERROR(MIN('MP Calculations'!$E$29/I112,1),"-")</f>
        <v>-</v>
      </c>
      <c r="K112" s="257"/>
      <c r="L112" s="233"/>
      <c r="M112" s="233"/>
      <c r="N112" s="233"/>
      <c r="O112" s="255" t="str">
        <f t="shared" si="4"/>
        <v>-</v>
      </c>
      <c r="P112" s="256" t="str">
        <f t="shared" si="5"/>
        <v>-</v>
      </c>
      <c r="Q112" s="87"/>
      <c r="R112" s="87"/>
    </row>
    <row r="113" spans="3:18" x14ac:dyDescent="0.25">
      <c r="C113" s="233"/>
      <c r="D113" s="249"/>
      <c r="E113" s="236"/>
      <c r="F113" s="268" t="str">
        <f t="shared" si="3"/>
        <v>-</v>
      </c>
      <c r="G113" s="242"/>
      <c r="H113" s="251"/>
      <c r="I113" s="233"/>
      <c r="J113" s="252" t="str">
        <f>IFERROR(MIN('MP Calculations'!$E$29/I113,1),"-")</f>
        <v>-</v>
      </c>
      <c r="K113" s="257"/>
      <c r="L113" s="233"/>
      <c r="M113" s="233"/>
      <c r="N113" s="233"/>
      <c r="O113" s="255" t="str">
        <f t="shared" si="4"/>
        <v>-</v>
      </c>
      <c r="P113" s="256" t="str">
        <f t="shared" si="5"/>
        <v>-</v>
      </c>
      <c r="Q113" s="87"/>
      <c r="R113" s="87"/>
    </row>
    <row r="114" spans="3:18" x14ac:dyDescent="0.25">
      <c r="C114" s="233"/>
      <c r="D114" s="249"/>
      <c r="E114" s="236"/>
      <c r="F114" s="268" t="str">
        <f t="shared" si="3"/>
        <v>-</v>
      </c>
      <c r="G114" s="242"/>
      <c r="H114" s="251"/>
      <c r="I114" s="233"/>
      <c r="J114" s="252" t="str">
        <f>IFERROR(MIN('MP Calculations'!$E$29/I114,1),"-")</f>
        <v>-</v>
      </c>
      <c r="K114" s="257"/>
      <c r="L114" s="233"/>
      <c r="M114" s="233"/>
      <c r="N114" s="233"/>
      <c r="O114" s="255" t="str">
        <f t="shared" si="4"/>
        <v>-</v>
      </c>
      <c r="P114" s="256" t="str">
        <f t="shared" si="5"/>
        <v>-</v>
      </c>
      <c r="Q114" s="87"/>
      <c r="R114" s="87"/>
    </row>
    <row r="115" spans="3:18" x14ac:dyDescent="0.25">
      <c r="C115" s="233"/>
      <c r="D115" s="249"/>
      <c r="E115" s="236"/>
      <c r="F115" s="268" t="str">
        <f t="shared" si="3"/>
        <v>-</v>
      </c>
      <c r="G115" s="242"/>
      <c r="H115" s="251"/>
      <c r="I115" s="233"/>
      <c r="J115" s="252" t="str">
        <f>IFERROR(MIN('MP Calculations'!$E$29/I115,1),"-")</f>
        <v>-</v>
      </c>
      <c r="K115" s="257"/>
      <c r="L115" s="233"/>
      <c r="M115" s="233"/>
      <c r="N115" s="233"/>
      <c r="O115" s="255" t="str">
        <f t="shared" si="4"/>
        <v>-</v>
      </c>
      <c r="P115" s="256" t="str">
        <f t="shared" si="5"/>
        <v>-</v>
      </c>
      <c r="Q115" s="87"/>
      <c r="R115" s="87"/>
    </row>
    <row r="116" spans="3:18" x14ac:dyDescent="0.25">
      <c r="C116" s="233"/>
      <c r="D116" s="249"/>
      <c r="E116" s="236"/>
      <c r="F116" s="268" t="str">
        <f t="shared" si="3"/>
        <v>-</v>
      </c>
      <c r="G116" s="242"/>
      <c r="H116" s="251"/>
      <c r="I116" s="233"/>
      <c r="J116" s="252" t="str">
        <f>IFERROR(MIN('MP Calculations'!$E$29/I116,1),"-")</f>
        <v>-</v>
      </c>
      <c r="K116" s="257"/>
      <c r="L116" s="233"/>
      <c r="M116" s="233"/>
      <c r="N116" s="233"/>
      <c r="O116" s="255" t="str">
        <f t="shared" si="4"/>
        <v>-</v>
      </c>
      <c r="P116" s="256" t="str">
        <f t="shared" si="5"/>
        <v>-</v>
      </c>
      <c r="Q116" s="87"/>
      <c r="R116" s="87"/>
    </row>
    <row r="117" spans="3:18" x14ac:dyDescent="0.25">
      <c r="C117" s="233"/>
      <c r="D117" s="249"/>
      <c r="E117" s="236"/>
      <c r="F117" s="268" t="str">
        <f t="shared" si="3"/>
        <v>-</v>
      </c>
      <c r="G117" s="242"/>
      <c r="H117" s="251"/>
      <c r="I117" s="233"/>
      <c r="J117" s="252" t="str">
        <f>IFERROR(MIN('MP Calculations'!$E$29/I117,1),"-")</f>
        <v>-</v>
      </c>
      <c r="K117" s="257"/>
      <c r="L117" s="233"/>
      <c r="M117" s="233"/>
      <c r="N117" s="233"/>
      <c r="O117" s="255" t="str">
        <f t="shared" si="4"/>
        <v>-</v>
      </c>
      <c r="P117" s="256" t="str">
        <f t="shared" si="5"/>
        <v>-</v>
      </c>
      <c r="Q117" s="87"/>
      <c r="R117" s="87"/>
    </row>
    <row r="118" spans="3:18" x14ac:dyDescent="0.25">
      <c r="C118" s="233"/>
      <c r="D118" s="249"/>
      <c r="E118" s="236"/>
      <c r="F118" s="268" t="str">
        <f t="shared" si="3"/>
        <v>-</v>
      </c>
      <c r="G118" s="242"/>
      <c r="H118" s="251"/>
      <c r="I118" s="233"/>
      <c r="J118" s="252" t="str">
        <f>IFERROR(MIN('MP Calculations'!$E$29/I118,1),"-")</f>
        <v>-</v>
      </c>
      <c r="K118" s="257"/>
      <c r="L118" s="233"/>
      <c r="M118" s="233"/>
      <c r="N118" s="233"/>
      <c r="O118" s="255" t="str">
        <f t="shared" si="4"/>
        <v>-</v>
      </c>
      <c r="P118" s="256" t="str">
        <f t="shared" si="5"/>
        <v>-</v>
      </c>
      <c r="Q118" s="87"/>
      <c r="R118" s="87"/>
    </row>
    <row r="119" spans="3:18" x14ac:dyDescent="0.25">
      <c r="C119" s="233"/>
      <c r="D119" s="249"/>
      <c r="E119" s="236"/>
      <c r="F119" s="268" t="str">
        <f t="shared" si="3"/>
        <v>-</v>
      </c>
      <c r="G119" s="242"/>
      <c r="H119" s="251"/>
      <c r="I119" s="233"/>
      <c r="J119" s="252" t="str">
        <f>IFERROR(MIN('MP Calculations'!$E$29/I119,1),"-")</f>
        <v>-</v>
      </c>
      <c r="K119" s="257"/>
      <c r="L119" s="233"/>
      <c r="M119" s="233"/>
      <c r="N119" s="233"/>
      <c r="O119" s="255" t="str">
        <f t="shared" si="4"/>
        <v>-</v>
      </c>
      <c r="P119" s="256" t="str">
        <f t="shared" si="5"/>
        <v>-</v>
      </c>
      <c r="Q119" s="87"/>
      <c r="R119" s="87"/>
    </row>
    <row r="120" spans="3:18" x14ac:dyDescent="0.25">
      <c r="C120" s="233"/>
      <c r="D120" s="249"/>
      <c r="E120" s="236"/>
      <c r="F120" s="268" t="str">
        <f t="shared" ref="F120:F183" si="6">IF(E120="","-",IF(OR(E120&lt;$E$15,E120&gt;$E$16),"ERROR - date outside of range",IF(MONTH(E120)&gt;=7,YEAR(E120)&amp;"-"&amp;IF(YEAR(E120)=1999,"00",IF(AND(YEAR(E120)&gt;=2000,YEAR(E120)&lt;2009),"0","")&amp;RIGHT(YEAR(E120),2)+1),RIGHT(YEAR(E120),4)-1&amp;"-"&amp;RIGHT(YEAR(E120),2))))</f>
        <v>-</v>
      </c>
      <c r="G120" s="242"/>
      <c r="H120" s="251"/>
      <c r="I120" s="233"/>
      <c r="J120" s="252" t="str">
        <f>IFERROR(MIN('MP Calculations'!$E$29/I120,1),"-")</f>
        <v>-</v>
      </c>
      <c r="K120" s="257"/>
      <c r="L120" s="233"/>
      <c r="M120" s="233"/>
      <c r="N120" s="233"/>
      <c r="O120" s="255" t="str">
        <f t="shared" si="4"/>
        <v>-</v>
      </c>
      <c r="P120" s="256" t="str">
        <f t="shared" ref="P120:P183" si="7">IF(O120="-","-",IF(OR(E120&lt;$E$15,E120&gt;$E$16),0,O120*J120))</f>
        <v>-</v>
      </c>
      <c r="Q120" s="87"/>
      <c r="R120" s="87"/>
    </row>
    <row r="121" spans="3:18" x14ac:dyDescent="0.25">
      <c r="C121" s="233"/>
      <c r="D121" s="249"/>
      <c r="E121" s="236"/>
      <c r="F121" s="268" t="str">
        <f t="shared" si="6"/>
        <v>-</v>
      </c>
      <c r="G121" s="242"/>
      <c r="H121" s="251"/>
      <c r="I121" s="233"/>
      <c r="J121" s="252" t="str">
        <f>IFERROR(MIN('MP Calculations'!$E$29/I121,1),"-")</f>
        <v>-</v>
      </c>
      <c r="K121" s="257"/>
      <c r="L121" s="233"/>
      <c r="M121" s="233"/>
      <c r="N121" s="233"/>
      <c r="O121" s="255" t="str">
        <f t="shared" si="4"/>
        <v>-</v>
      </c>
      <c r="P121" s="256" t="str">
        <f t="shared" si="7"/>
        <v>-</v>
      </c>
      <c r="Q121" s="87"/>
      <c r="R121" s="87"/>
    </row>
    <row r="122" spans="3:18" x14ac:dyDescent="0.25">
      <c r="C122" s="233"/>
      <c r="D122" s="249"/>
      <c r="E122" s="236"/>
      <c r="F122" s="268" t="str">
        <f t="shared" si="6"/>
        <v>-</v>
      </c>
      <c r="G122" s="242"/>
      <c r="H122" s="251"/>
      <c r="I122" s="233"/>
      <c r="J122" s="252" t="str">
        <f>IFERROR(MIN('MP Calculations'!$E$29/I122,1),"-")</f>
        <v>-</v>
      </c>
      <c r="K122" s="257"/>
      <c r="L122" s="233"/>
      <c r="M122" s="233"/>
      <c r="N122" s="233"/>
      <c r="O122" s="255" t="str">
        <f t="shared" si="4"/>
        <v>-</v>
      </c>
      <c r="P122" s="256" t="str">
        <f t="shared" si="7"/>
        <v>-</v>
      </c>
      <c r="Q122" s="87"/>
      <c r="R122" s="87"/>
    </row>
    <row r="123" spans="3:18" x14ac:dyDescent="0.25">
      <c r="C123" s="233"/>
      <c r="D123" s="249"/>
      <c r="E123" s="236"/>
      <c r="F123" s="268" t="str">
        <f t="shared" si="6"/>
        <v>-</v>
      </c>
      <c r="G123" s="242"/>
      <c r="H123" s="251"/>
      <c r="I123" s="233"/>
      <c r="J123" s="252" t="str">
        <f>IFERROR(MIN('MP Calculations'!$E$29/I123,1),"-")</f>
        <v>-</v>
      </c>
      <c r="K123" s="257"/>
      <c r="L123" s="233"/>
      <c r="M123" s="233"/>
      <c r="N123" s="233"/>
      <c r="O123" s="255" t="str">
        <f t="shared" si="4"/>
        <v>-</v>
      </c>
      <c r="P123" s="256" t="str">
        <f t="shared" si="7"/>
        <v>-</v>
      </c>
      <c r="Q123" s="87"/>
      <c r="R123" s="87"/>
    </row>
    <row r="124" spans="3:18" x14ac:dyDescent="0.25">
      <c r="C124" s="233"/>
      <c r="D124" s="249"/>
      <c r="E124" s="236"/>
      <c r="F124" s="268" t="str">
        <f t="shared" si="6"/>
        <v>-</v>
      </c>
      <c r="G124" s="242"/>
      <c r="H124" s="251"/>
      <c r="I124" s="233"/>
      <c r="J124" s="252" t="str">
        <f>IFERROR(MIN('MP Calculations'!$E$29/I124,1),"-")</f>
        <v>-</v>
      </c>
      <c r="K124" s="257"/>
      <c r="L124" s="233"/>
      <c r="M124" s="233"/>
      <c r="N124" s="233"/>
      <c r="O124" s="255" t="str">
        <f t="shared" si="4"/>
        <v>-</v>
      </c>
      <c r="P124" s="256" t="str">
        <f t="shared" si="7"/>
        <v>-</v>
      </c>
      <c r="Q124" s="87"/>
      <c r="R124" s="87"/>
    </row>
    <row r="125" spans="3:18" x14ac:dyDescent="0.25">
      <c r="C125" s="233"/>
      <c r="D125" s="249"/>
      <c r="E125" s="236"/>
      <c r="F125" s="268" t="str">
        <f t="shared" si="6"/>
        <v>-</v>
      </c>
      <c r="G125" s="242"/>
      <c r="H125" s="251"/>
      <c r="I125" s="233"/>
      <c r="J125" s="252" t="str">
        <f>IFERROR(MIN('MP Calculations'!$E$29/I125,1),"-")</f>
        <v>-</v>
      </c>
      <c r="K125" s="257"/>
      <c r="L125" s="233"/>
      <c r="M125" s="233"/>
      <c r="N125" s="233"/>
      <c r="O125" s="255" t="str">
        <f t="shared" si="4"/>
        <v>-</v>
      </c>
      <c r="P125" s="256" t="str">
        <f t="shared" si="7"/>
        <v>-</v>
      </c>
      <c r="Q125" s="87"/>
      <c r="R125" s="87"/>
    </row>
    <row r="126" spans="3:18" x14ac:dyDescent="0.25">
      <c r="C126" s="233"/>
      <c r="D126" s="249"/>
      <c r="E126" s="236"/>
      <c r="F126" s="268" t="str">
        <f t="shared" si="6"/>
        <v>-</v>
      </c>
      <c r="G126" s="242"/>
      <c r="H126" s="251"/>
      <c r="I126" s="233"/>
      <c r="J126" s="252" t="str">
        <f>IFERROR(MIN('MP Calculations'!$E$29/I126,1),"-")</f>
        <v>-</v>
      </c>
      <c r="K126" s="257"/>
      <c r="L126" s="233"/>
      <c r="M126" s="233"/>
      <c r="N126" s="233"/>
      <c r="O126" s="255" t="str">
        <f t="shared" si="4"/>
        <v>-</v>
      </c>
      <c r="P126" s="256" t="str">
        <f t="shared" si="7"/>
        <v>-</v>
      </c>
      <c r="Q126" s="87"/>
      <c r="R126" s="87"/>
    </row>
    <row r="127" spans="3:18" x14ac:dyDescent="0.25">
      <c r="C127" s="233"/>
      <c r="D127" s="249"/>
      <c r="E127" s="236"/>
      <c r="F127" s="268" t="str">
        <f t="shared" si="6"/>
        <v>-</v>
      </c>
      <c r="G127" s="242"/>
      <c r="H127" s="251"/>
      <c r="I127" s="233"/>
      <c r="J127" s="252" t="str">
        <f>IFERROR(MIN('MP Calculations'!$E$29/I127,1),"-")</f>
        <v>-</v>
      </c>
      <c r="K127" s="257"/>
      <c r="L127" s="233"/>
      <c r="M127" s="233"/>
      <c r="N127" s="233"/>
      <c r="O127" s="255" t="str">
        <f t="shared" si="4"/>
        <v>-</v>
      </c>
      <c r="P127" s="256" t="str">
        <f t="shared" si="7"/>
        <v>-</v>
      </c>
      <c r="Q127" s="87"/>
      <c r="R127" s="87"/>
    </row>
    <row r="128" spans="3:18" x14ac:dyDescent="0.25">
      <c r="C128" s="233"/>
      <c r="D128" s="249"/>
      <c r="E128" s="236"/>
      <c r="F128" s="268" t="str">
        <f t="shared" si="6"/>
        <v>-</v>
      </c>
      <c r="G128" s="242"/>
      <c r="H128" s="251"/>
      <c r="I128" s="233"/>
      <c r="J128" s="252" t="str">
        <f>IFERROR(MIN('MP Calculations'!$E$29/I128,1),"-")</f>
        <v>-</v>
      </c>
      <c r="K128" s="257"/>
      <c r="L128" s="233"/>
      <c r="M128" s="233"/>
      <c r="N128" s="233"/>
      <c r="O128" s="255" t="str">
        <f t="shared" si="4"/>
        <v>-</v>
      </c>
      <c r="P128" s="256" t="str">
        <f t="shared" si="7"/>
        <v>-</v>
      </c>
      <c r="Q128" s="87"/>
      <c r="R128" s="87"/>
    </row>
    <row r="129" spans="3:18" x14ac:dyDescent="0.25">
      <c r="C129" s="233"/>
      <c r="D129" s="249"/>
      <c r="E129" s="236"/>
      <c r="F129" s="268" t="str">
        <f t="shared" si="6"/>
        <v>-</v>
      </c>
      <c r="G129" s="242"/>
      <c r="H129" s="251"/>
      <c r="I129" s="233"/>
      <c r="J129" s="252" t="str">
        <f>IFERROR(MIN('MP Calculations'!$E$29/I129,1),"-")</f>
        <v>-</v>
      </c>
      <c r="K129" s="257"/>
      <c r="L129" s="233"/>
      <c r="M129" s="233"/>
      <c r="N129" s="233"/>
      <c r="O129" s="255" t="str">
        <f t="shared" si="4"/>
        <v>-</v>
      </c>
      <c r="P129" s="256" t="str">
        <f t="shared" si="7"/>
        <v>-</v>
      </c>
      <c r="Q129" s="87"/>
      <c r="R129" s="87"/>
    </row>
    <row r="130" spans="3:18" x14ac:dyDescent="0.25">
      <c r="C130" s="233"/>
      <c r="D130" s="249"/>
      <c r="E130" s="236"/>
      <c r="F130" s="268" t="str">
        <f t="shared" si="6"/>
        <v>-</v>
      </c>
      <c r="G130" s="242"/>
      <c r="H130" s="251"/>
      <c r="I130" s="233"/>
      <c r="J130" s="252" t="str">
        <f>IFERROR(MIN('MP Calculations'!$E$29/I130,1),"-")</f>
        <v>-</v>
      </c>
      <c r="K130" s="257"/>
      <c r="L130" s="233"/>
      <c r="M130" s="233"/>
      <c r="N130" s="233"/>
      <c r="O130" s="255" t="str">
        <f t="shared" si="4"/>
        <v>-</v>
      </c>
      <c r="P130" s="256" t="str">
        <f t="shared" si="7"/>
        <v>-</v>
      </c>
      <c r="Q130" s="87"/>
      <c r="R130" s="87"/>
    </row>
    <row r="131" spans="3:18" x14ac:dyDescent="0.25">
      <c r="C131" s="233"/>
      <c r="D131" s="249"/>
      <c r="E131" s="236"/>
      <c r="F131" s="268" t="str">
        <f t="shared" si="6"/>
        <v>-</v>
      </c>
      <c r="G131" s="242"/>
      <c r="H131" s="251"/>
      <c r="I131" s="233"/>
      <c r="J131" s="252" t="str">
        <f>IFERROR(MIN('MP Calculations'!$E$29/I131,1),"-")</f>
        <v>-</v>
      </c>
      <c r="K131" s="257"/>
      <c r="L131" s="233"/>
      <c r="M131" s="233"/>
      <c r="N131" s="233"/>
      <c r="O131" s="255" t="str">
        <f t="shared" si="4"/>
        <v>-</v>
      </c>
      <c r="P131" s="256" t="str">
        <f t="shared" si="7"/>
        <v>-</v>
      </c>
      <c r="Q131" s="87"/>
      <c r="R131" s="87"/>
    </row>
    <row r="132" spans="3:18" x14ac:dyDescent="0.25">
      <c r="C132" s="233"/>
      <c r="D132" s="249"/>
      <c r="E132" s="236"/>
      <c r="F132" s="268" t="str">
        <f t="shared" si="6"/>
        <v>-</v>
      </c>
      <c r="G132" s="242"/>
      <c r="H132" s="251"/>
      <c r="I132" s="233"/>
      <c r="J132" s="252" t="str">
        <f>IFERROR(MIN('MP Calculations'!$E$29/I132,1),"-")</f>
        <v>-</v>
      </c>
      <c r="K132" s="257"/>
      <c r="L132" s="233"/>
      <c r="M132" s="233"/>
      <c r="N132" s="233"/>
      <c r="O132" s="255" t="str">
        <f t="shared" si="4"/>
        <v>-</v>
      </c>
      <c r="P132" s="256" t="str">
        <f t="shared" si="7"/>
        <v>-</v>
      </c>
      <c r="Q132" s="87"/>
      <c r="R132" s="87"/>
    </row>
    <row r="133" spans="3:18" x14ac:dyDescent="0.25">
      <c r="C133" s="233"/>
      <c r="D133" s="249"/>
      <c r="E133" s="236"/>
      <c r="F133" s="268" t="str">
        <f t="shared" si="6"/>
        <v>-</v>
      </c>
      <c r="G133" s="242"/>
      <c r="H133" s="251"/>
      <c r="I133" s="233"/>
      <c r="J133" s="252" t="str">
        <f>IFERROR(MIN('MP Calculations'!$E$29/I133,1),"-")</f>
        <v>-</v>
      </c>
      <c r="K133" s="257"/>
      <c r="L133" s="233"/>
      <c r="M133" s="233"/>
      <c r="N133" s="233"/>
      <c r="O133" s="255" t="str">
        <f t="shared" si="4"/>
        <v>-</v>
      </c>
      <c r="P133" s="256" t="str">
        <f t="shared" si="7"/>
        <v>-</v>
      </c>
      <c r="Q133" s="87"/>
      <c r="R133" s="87"/>
    </row>
    <row r="134" spans="3:18" x14ac:dyDescent="0.25">
      <c r="C134" s="233"/>
      <c r="D134" s="249"/>
      <c r="E134" s="236"/>
      <c r="F134" s="268" t="str">
        <f t="shared" si="6"/>
        <v>-</v>
      </c>
      <c r="G134" s="242"/>
      <c r="H134" s="251"/>
      <c r="I134" s="233"/>
      <c r="J134" s="252" t="str">
        <f>IFERROR(MIN('MP Calculations'!$E$29/I134,1),"-")</f>
        <v>-</v>
      </c>
      <c r="K134" s="257"/>
      <c r="L134" s="233"/>
      <c r="M134" s="233"/>
      <c r="N134" s="233"/>
      <c r="O134" s="255" t="str">
        <f t="shared" si="4"/>
        <v>-</v>
      </c>
      <c r="P134" s="256" t="str">
        <f t="shared" si="7"/>
        <v>-</v>
      </c>
      <c r="Q134" s="87"/>
      <c r="R134" s="87"/>
    </row>
    <row r="135" spans="3:18" x14ac:dyDescent="0.25">
      <c r="C135" s="233"/>
      <c r="D135" s="249"/>
      <c r="E135" s="236"/>
      <c r="F135" s="268" t="str">
        <f t="shared" si="6"/>
        <v>-</v>
      </c>
      <c r="G135" s="242"/>
      <c r="H135" s="251"/>
      <c r="I135" s="233"/>
      <c r="J135" s="252" t="str">
        <f>IFERROR(MIN('MP Calculations'!$E$29/I135,1),"-")</f>
        <v>-</v>
      </c>
      <c r="K135" s="257"/>
      <c r="L135" s="233"/>
      <c r="M135" s="233"/>
      <c r="N135" s="233"/>
      <c r="O135" s="255" t="str">
        <f t="shared" si="4"/>
        <v>-</v>
      </c>
      <c r="P135" s="256" t="str">
        <f t="shared" si="7"/>
        <v>-</v>
      </c>
      <c r="Q135" s="87"/>
      <c r="R135" s="87"/>
    </row>
    <row r="136" spans="3:18" x14ac:dyDescent="0.25">
      <c r="C136" s="233"/>
      <c r="D136" s="249"/>
      <c r="E136" s="236"/>
      <c r="F136" s="268" t="str">
        <f t="shared" si="6"/>
        <v>-</v>
      </c>
      <c r="G136" s="242"/>
      <c r="H136" s="251"/>
      <c r="I136" s="233"/>
      <c r="J136" s="252" t="str">
        <f>IFERROR(MIN('MP Calculations'!$E$29/I136,1),"-")</f>
        <v>-</v>
      </c>
      <c r="K136" s="257"/>
      <c r="L136" s="233"/>
      <c r="M136" s="233"/>
      <c r="N136" s="233"/>
      <c r="O136" s="255" t="str">
        <f t="shared" si="4"/>
        <v>-</v>
      </c>
      <c r="P136" s="256" t="str">
        <f t="shared" si="7"/>
        <v>-</v>
      </c>
      <c r="Q136" s="87"/>
      <c r="R136" s="87"/>
    </row>
    <row r="137" spans="3:18" x14ac:dyDescent="0.25">
      <c r="C137" s="233"/>
      <c r="D137" s="249"/>
      <c r="E137" s="236"/>
      <c r="F137" s="268" t="str">
        <f t="shared" si="6"/>
        <v>-</v>
      </c>
      <c r="G137" s="242"/>
      <c r="H137" s="251"/>
      <c r="I137" s="233"/>
      <c r="J137" s="252" t="str">
        <f>IFERROR(MIN('MP Calculations'!$E$29/I137,1),"-")</f>
        <v>-</v>
      </c>
      <c r="K137" s="257"/>
      <c r="L137" s="233"/>
      <c r="M137" s="233"/>
      <c r="N137" s="233"/>
      <c r="O137" s="255" t="str">
        <f t="shared" si="4"/>
        <v>-</v>
      </c>
      <c r="P137" s="256" t="str">
        <f t="shared" si="7"/>
        <v>-</v>
      </c>
      <c r="Q137" s="87"/>
      <c r="R137" s="87"/>
    </row>
    <row r="138" spans="3:18" x14ac:dyDescent="0.25">
      <c r="C138" s="233"/>
      <c r="D138" s="249"/>
      <c r="E138" s="236"/>
      <c r="F138" s="268" t="str">
        <f t="shared" si="6"/>
        <v>-</v>
      </c>
      <c r="G138" s="242"/>
      <c r="H138" s="251"/>
      <c r="I138" s="233"/>
      <c r="J138" s="252" t="str">
        <f>IFERROR(MIN('MP Calculations'!$E$29/I138,1),"-")</f>
        <v>-</v>
      </c>
      <c r="K138" s="257"/>
      <c r="L138" s="233"/>
      <c r="M138" s="233"/>
      <c r="N138" s="233"/>
      <c r="O138" s="255" t="str">
        <f t="shared" si="4"/>
        <v>-</v>
      </c>
      <c r="P138" s="256" t="str">
        <f t="shared" si="7"/>
        <v>-</v>
      </c>
      <c r="Q138" s="87"/>
      <c r="R138" s="87"/>
    </row>
    <row r="139" spans="3:18" x14ac:dyDescent="0.25">
      <c r="C139" s="233"/>
      <c r="D139" s="249"/>
      <c r="E139" s="236"/>
      <c r="F139" s="268" t="str">
        <f t="shared" si="6"/>
        <v>-</v>
      </c>
      <c r="G139" s="242"/>
      <c r="H139" s="251"/>
      <c r="I139" s="233"/>
      <c r="J139" s="252" t="str">
        <f>IFERROR(MIN('MP Calculations'!$E$29/I139,1),"-")</f>
        <v>-</v>
      </c>
      <c r="K139" s="257"/>
      <c r="L139" s="233"/>
      <c r="M139" s="233"/>
      <c r="N139" s="233"/>
      <c r="O139" s="255" t="str">
        <f t="shared" si="4"/>
        <v>-</v>
      </c>
      <c r="P139" s="256" t="str">
        <f t="shared" si="7"/>
        <v>-</v>
      </c>
      <c r="Q139" s="87"/>
      <c r="R139" s="87"/>
    </row>
    <row r="140" spans="3:18" x14ac:dyDescent="0.25">
      <c r="C140" s="233"/>
      <c r="D140" s="249"/>
      <c r="E140" s="236"/>
      <c r="F140" s="268" t="str">
        <f t="shared" si="6"/>
        <v>-</v>
      </c>
      <c r="G140" s="242"/>
      <c r="H140" s="251"/>
      <c r="I140" s="233"/>
      <c r="J140" s="252" t="str">
        <f>IFERROR(MIN('MP Calculations'!$E$29/I140,1),"-")</f>
        <v>-</v>
      </c>
      <c r="K140" s="257"/>
      <c r="L140" s="233"/>
      <c r="M140" s="233"/>
      <c r="N140" s="233"/>
      <c r="O140" s="255" t="str">
        <f t="shared" si="4"/>
        <v>-</v>
      </c>
      <c r="P140" s="256" t="str">
        <f t="shared" si="7"/>
        <v>-</v>
      </c>
      <c r="Q140" s="87"/>
      <c r="R140" s="87"/>
    </row>
    <row r="141" spans="3:18" x14ac:dyDescent="0.25">
      <c r="C141" s="233"/>
      <c r="D141" s="249"/>
      <c r="E141" s="236"/>
      <c r="F141" s="268" t="str">
        <f t="shared" si="6"/>
        <v>-</v>
      </c>
      <c r="G141" s="242"/>
      <c r="H141" s="251"/>
      <c r="I141" s="233"/>
      <c r="J141" s="252" t="str">
        <f>IFERROR(MIN('MP Calculations'!$E$29/I141,1),"-")</f>
        <v>-</v>
      </c>
      <c r="K141" s="257"/>
      <c r="L141" s="233"/>
      <c r="M141" s="233"/>
      <c r="N141" s="233"/>
      <c r="O141" s="255" t="str">
        <f t="shared" si="4"/>
        <v>-</v>
      </c>
      <c r="P141" s="256" t="str">
        <f t="shared" si="7"/>
        <v>-</v>
      </c>
      <c r="Q141" s="87"/>
      <c r="R141" s="87"/>
    </row>
    <row r="142" spans="3:18" x14ac:dyDescent="0.25">
      <c r="C142" s="233"/>
      <c r="D142" s="249"/>
      <c r="E142" s="236"/>
      <c r="F142" s="268" t="str">
        <f t="shared" si="6"/>
        <v>-</v>
      </c>
      <c r="G142" s="242"/>
      <c r="H142" s="251"/>
      <c r="I142" s="233"/>
      <c r="J142" s="252" t="str">
        <f>IFERROR(MIN('MP Calculations'!$E$29/I142,1),"-")</f>
        <v>-</v>
      </c>
      <c r="K142" s="257"/>
      <c r="L142" s="233"/>
      <c r="M142" s="233"/>
      <c r="N142" s="233"/>
      <c r="O142" s="255" t="str">
        <f t="shared" si="4"/>
        <v>-</v>
      </c>
      <c r="P142" s="256" t="str">
        <f t="shared" si="7"/>
        <v>-</v>
      </c>
      <c r="Q142" s="87"/>
      <c r="R142" s="87"/>
    </row>
    <row r="143" spans="3:18" x14ac:dyDescent="0.25">
      <c r="C143" s="233"/>
      <c r="D143" s="249"/>
      <c r="E143" s="236"/>
      <c r="F143" s="268" t="str">
        <f t="shared" si="6"/>
        <v>-</v>
      </c>
      <c r="G143" s="242"/>
      <c r="H143" s="251"/>
      <c r="I143" s="233"/>
      <c r="J143" s="252" t="str">
        <f>IFERROR(MIN('MP Calculations'!$E$29/I143,1),"-")</f>
        <v>-</v>
      </c>
      <c r="K143" s="257"/>
      <c r="L143" s="233"/>
      <c r="M143" s="233"/>
      <c r="N143" s="233"/>
      <c r="O143" s="255" t="str">
        <f t="shared" si="4"/>
        <v>-</v>
      </c>
      <c r="P143" s="256" t="str">
        <f t="shared" si="7"/>
        <v>-</v>
      </c>
      <c r="Q143" s="87"/>
      <c r="R143" s="87"/>
    </row>
    <row r="144" spans="3:18" x14ac:dyDescent="0.25">
      <c r="C144" s="233"/>
      <c r="D144" s="249"/>
      <c r="E144" s="236"/>
      <c r="F144" s="268" t="str">
        <f t="shared" si="6"/>
        <v>-</v>
      </c>
      <c r="G144" s="242"/>
      <c r="H144" s="251"/>
      <c r="I144" s="233"/>
      <c r="J144" s="252" t="str">
        <f>IFERROR(MIN('MP Calculations'!$E$29/I144,1),"-")</f>
        <v>-</v>
      </c>
      <c r="K144" s="257"/>
      <c r="L144" s="233"/>
      <c r="M144" s="233"/>
      <c r="N144" s="233"/>
      <c r="O144" s="255" t="str">
        <f t="shared" si="4"/>
        <v>-</v>
      </c>
      <c r="P144" s="256" t="str">
        <f t="shared" si="7"/>
        <v>-</v>
      </c>
      <c r="Q144" s="87"/>
      <c r="R144" s="87"/>
    </row>
    <row r="145" spans="3:18" x14ac:dyDescent="0.25">
      <c r="C145" s="233"/>
      <c r="D145" s="249"/>
      <c r="E145" s="236"/>
      <c r="F145" s="268" t="str">
        <f t="shared" si="6"/>
        <v>-</v>
      </c>
      <c r="G145" s="242"/>
      <c r="H145" s="251"/>
      <c r="I145" s="233"/>
      <c r="J145" s="252" t="str">
        <f>IFERROR(MIN('MP Calculations'!$E$29/I145,1),"-")</f>
        <v>-</v>
      </c>
      <c r="K145" s="257"/>
      <c r="L145" s="233"/>
      <c r="M145" s="233"/>
      <c r="N145" s="233"/>
      <c r="O145" s="255" t="str">
        <f t="shared" si="4"/>
        <v>-</v>
      </c>
      <c r="P145" s="256" t="str">
        <f t="shared" si="7"/>
        <v>-</v>
      </c>
      <c r="Q145" s="87"/>
      <c r="R145" s="87"/>
    </row>
    <row r="146" spans="3:18" x14ac:dyDescent="0.25">
      <c r="C146" s="233"/>
      <c r="D146" s="249"/>
      <c r="E146" s="236"/>
      <c r="F146" s="268" t="str">
        <f t="shared" si="6"/>
        <v>-</v>
      </c>
      <c r="G146" s="242"/>
      <c r="H146" s="251"/>
      <c r="I146" s="233"/>
      <c r="J146" s="252" t="str">
        <f>IFERROR(MIN('MP Calculations'!$E$29/I146,1),"-")</f>
        <v>-</v>
      </c>
      <c r="K146" s="257"/>
      <c r="L146" s="233"/>
      <c r="M146" s="233"/>
      <c r="N146" s="233"/>
      <c r="O146" s="255" t="str">
        <f t="shared" si="4"/>
        <v>-</v>
      </c>
      <c r="P146" s="256" t="str">
        <f t="shared" si="7"/>
        <v>-</v>
      </c>
      <c r="Q146" s="87"/>
      <c r="R146" s="87"/>
    </row>
    <row r="147" spans="3:18" x14ac:dyDescent="0.25">
      <c r="C147" s="233"/>
      <c r="D147" s="249"/>
      <c r="E147" s="236"/>
      <c r="F147" s="268" t="str">
        <f t="shared" si="6"/>
        <v>-</v>
      </c>
      <c r="G147" s="242"/>
      <c r="H147" s="251"/>
      <c r="I147" s="233"/>
      <c r="J147" s="252" t="str">
        <f>IFERROR(MIN('MP Calculations'!$E$29/I147,1),"-")</f>
        <v>-</v>
      </c>
      <c r="K147" s="257"/>
      <c r="L147" s="233"/>
      <c r="M147" s="233"/>
      <c r="N147" s="233"/>
      <c r="O147" s="255" t="str">
        <f t="shared" si="4"/>
        <v>-</v>
      </c>
      <c r="P147" s="256" t="str">
        <f t="shared" si="7"/>
        <v>-</v>
      </c>
      <c r="Q147" s="87"/>
      <c r="R147" s="87"/>
    </row>
    <row r="148" spans="3:18" x14ac:dyDescent="0.25">
      <c r="C148" s="233"/>
      <c r="D148" s="249"/>
      <c r="E148" s="236"/>
      <c r="F148" s="268" t="str">
        <f t="shared" si="6"/>
        <v>-</v>
      </c>
      <c r="G148" s="242"/>
      <c r="H148" s="251"/>
      <c r="I148" s="233"/>
      <c r="J148" s="252" t="str">
        <f>IFERROR(MIN('MP Calculations'!$E$29/I148,1),"-")</f>
        <v>-</v>
      </c>
      <c r="K148" s="257"/>
      <c r="L148" s="233"/>
      <c r="M148" s="233"/>
      <c r="N148" s="233"/>
      <c r="O148" s="255" t="str">
        <f t="shared" si="4"/>
        <v>-</v>
      </c>
      <c r="P148" s="256" t="str">
        <f t="shared" si="7"/>
        <v>-</v>
      </c>
      <c r="Q148" s="87"/>
      <c r="R148" s="87"/>
    </row>
    <row r="149" spans="3:18" x14ac:dyDescent="0.25">
      <c r="C149" s="233"/>
      <c r="D149" s="249"/>
      <c r="E149" s="236"/>
      <c r="F149" s="268" t="str">
        <f t="shared" si="6"/>
        <v>-</v>
      </c>
      <c r="G149" s="242"/>
      <c r="H149" s="251"/>
      <c r="I149" s="233"/>
      <c r="J149" s="252" t="str">
        <f>IFERROR(MIN('MP Calculations'!$E$29/I149,1),"-")</f>
        <v>-</v>
      </c>
      <c r="K149" s="257"/>
      <c r="L149" s="233"/>
      <c r="M149" s="233"/>
      <c r="N149" s="233"/>
      <c r="O149" s="255" t="str">
        <f t="shared" si="4"/>
        <v>-</v>
      </c>
      <c r="P149" s="256" t="str">
        <f t="shared" si="7"/>
        <v>-</v>
      </c>
      <c r="Q149" s="87"/>
      <c r="R149" s="87"/>
    </row>
    <row r="150" spans="3:18" x14ac:dyDescent="0.25">
      <c r="C150" s="233"/>
      <c r="D150" s="249"/>
      <c r="E150" s="236"/>
      <c r="F150" s="268" t="str">
        <f t="shared" si="6"/>
        <v>-</v>
      </c>
      <c r="G150" s="242"/>
      <c r="H150" s="251"/>
      <c r="I150" s="233"/>
      <c r="J150" s="252" t="str">
        <f>IFERROR(MIN('MP Calculations'!$E$29/I150,1),"-")</f>
        <v>-</v>
      </c>
      <c r="K150" s="257"/>
      <c r="L150" s="233"/>
      <c r="M150" s="233"/>
      <c r="N150" s="233"/>
      <c r="O150" s="255" t="str">
        <f t="shared" si="4"/>
        <v>-</v>
      </c>
      <c r="P150" s="256" t="str">
        <f t="shared" si="7"/>
        <v>-</v>
      </c>
      <c r="Q150" s="87"/>
      <c r="R150" s="87"/>
    </row>
    <row r="151" spans="3:18" x14ac:dyDescent="0.25">
      <c r="C151" s="233"/>
      <c r="D151" s="249"/>
      <c r="E151" s="236"/>
      <c r="F151" s="268" t="str">
        <f t="shared" si="6"/>
        <v>-</v>
      </c>
      <c r="G151" s="242"/>
      <c r="H151" s="251"/>
      <c r="I151" s="233"/>
      <c r="J151" s="252" t="str">
        <f>IFERROR(MIN('MP Calculations'!$E$29/I151,1),"-")</f>
        <v>-</v>
      </c>
      <c r="K151" s="257"/>
      <c r="L151" s="233"/>
      <c r="M151" s="233"/>
      <c r="N151" s="233"/>
      <c r="O151" s="255" t="str">
        <f t="shared" ref="O151:O214" si="8">IF(N151="","-",L151*N151)</f>
        <v>-</v>
      </c>
      <c r="P151" s="256" t="str">
        <f t="shared" si="7"/>
        <v>-</v>
      </c>
      <c r="Q151" s="87"/>
      <c r="R151" s="87"/>
    </row>
    <row r="152" spans="3:18" x14ac:dyDescent="0.25">
      <c r="C152" s="233"/>
      <c r="D152" s="249"/>
      <c r="E152" s="236"/>
      <c r="F152" s="268" t="str">
        <f t="shared" si="6"/>
        <v>-</v>
      </c>
      <c r="G152" s="242"/>
      <c r="H152" s="251"/>
      <c r="I152" s="233"/>
      <c r="J152" s="252" t="str">
        <f>IFERROR(MIN('MP Calculations'!$E$29/I152,1),"-")</f>
        <v>-</v>
      </c>
      <c r="K152" s="257"/>
      <c r="L152" s="233"/>
      <c r="M152" s="233"/>
      <c r="N152" s="233"/>
      <c r="O152" s="255" t="str">
        <f t="shared" si="8"/>
        <v>-</v>
      </c>
      <c r="P152" s="256" t="str">
        <f t="shared" si="7"/>
        <v>-</v>
      </c>
      <c r="Q152" s="87"/>
      <c r="R152" s="87"/>
    </row>
    <row r="153" spans="3:18" x14ac:dyDescent="0.25">
      <c r="C153" s="233"/>
      <c r="D153" s="249"/>
      <c r="E153" s="236"/>
      <c r="F153" s="268" t="str">
        <f t="shared" si="6"/>
        <v>-</v>
      </c>
      <c r="G153" s="242"/>
      <c r="H153" s="251"/>
      <c r="I153" s="233"/>
      <c r="J153" s="252" t="str">
        <f>IFERROR(MIN('MP Calculations'!$E$29/I153,1),"-")</f>
        <v>-</v>
      </c>
      <c r="K153" s="257"/>
      <c r="L153" s="233"/>
      <c r="M153" s="233"/>
      <c r="N153" s="233"/>
      <c r="O153" s="255" t="str">
        <f t="shared" si="8"/>
        <v>-</v>
      </c>
      <c r="P153" s="256" t="str">
        <f t="shared" si="7"/>
        <v>-</v>
      </c>
      <c r="Q153" s="87"/>
      <c r="R153" s="87"/>
    </row>
    <row r="154" spans="3:18" x14ac:dyDescent="0.25">
      <c r="C154" s="233"/>
      <c r="D154" s="249"/>
      <c r="E154" s="236"/>
      <c r="F154" s="268" t="str">
        <f t="shared" si="6"/>
        <v>-</v>
      </c>
      <c r="G154" s="242"/>
      <c r="H154" s="251"/>
      <c r="I154" s="233"/>
      <c r="J154" s="252" t="str">
        <f>IFERROR(MIN('MP Calculations'!$E$29/I154,1),"-")</f>
        <v>-</v>
      </c>
      <c r="K154" s="257"/>
      <c r="L154" s="233"/>
      <c r="M154" s="233"/>
      <c r="N154" s="233"/>
      <c r="O154" s="255" t="str">
        <f t="shared" si="8"/>
        <v>-</v>
      </c>
      <c r="P154" s="256" t="str">
        <f t="shared" si="7"/>
        <v>-</v>
      </c>
      <c r="Q154" s="87"/>
      <c r="R154" s="87"/>
    </row>
    <row r="155" spans="3:18" x14ac:dyDescent="0.25">
      <c r="C155" s="233"/>
      <c r="D155" s="249"/>
      <c r="E155" s="236"/>
      <c r="F155" s="268" t="str">
        <f t="shared" si="6"/>
        <v>-</v>
      </c>
      <c r="G155" s="242"/>
      <c r="H155" s="251"/>
      <c r="I155" s="233"/>
      <c r="J155" s="252" t="str">
        <f>IFERROR(MIN('MP Calculations'!$E$29/I155,1),"-")</f>
        <v>-</v>
      </c>
      <c r="K155" s="257"/>
      <c r="L155" s="233"/>
      <c r="M155" s="233"/>
      <c r="N155" s="233"/>
      <c r="O155" s="255" t="str">
        <f t="shared" si="8"/>
        <v>-</v>
      </c>
      <c r="P155" s="256" t="str">
        <f t="shared" si="7"/>
        <v>-</v>
      </c>
      <c r="Q155" s="87"/>
      <c r="R155" s="87"/>
    </row>
    <row r="156" spans="3:18" x14ac:dyDescent="0.25">
      <c r="C156" s="233"/>
      <c r="D156" s="249"/>
      <c r="E156" s="236"/>
      <c r="F156" s="268" t="str">
        <f t="shared" si="6"/>
        <v>-</v>
      </c>
      <c r="G156" s="242"/>
      <c r="H156" s="251"/>
      <c r="I156" s="233"/>
      <c r="J156" s="252" t="str">
        <f>IFERROR(MIN('MP Calculations'!$E$29/I156,1),"-")</f>
        <v>-</v>
      </c>
      <c r="K156" s="257"/>
      <c r="L156" s="233"/>
      <c r="M156" s="233"/>
      <c r="N156" s="233"/>
      <c r="O156" s="255" t="str">
        <f t="shared" si="8"/>
        <v>-</v>
      </c>
      <c r="P156" s="256" t="str">
        <f t="shared" si="7"/>
        <v>-</v>
      </c>
      <c r="Q156" s="87"/>
      <c r="R156" s="87"/>
    </row>
    <row r="157" spans="3:18" x14ac:dyDescent="0.25">
      <c r="C157" s="233"/>
      <c r="D157" s="249"/>
      <c r="E157" s="236"/>
      <c r="F157" s="268" t="str">
        <f t="shared" si="6"/>
        <v>-</v>
      </c>
      <c r="G157" s="242"/>
      <c r="H157" s="251"/>
      <c r="I157" s="233"/>
      <c r="J157" s="252" t="str">
        <f>IFERROR(MIN('MP Calculations'!$E$29/I157,1),"-")</f>
        <v>-</v>
      </c>
      <c r="K157" s="257"/>
      <c r="L157" s="233"/>
      <c r="M157" s="233"/>
      <c r="N157" s="233"/>
      <c r="O157" s="255" t="str">
        <f t="shared" si="8"/>
        <v>-</v>
      </c>
      <c r="P157" s="256" t="str">
        <f t="shared" si="7"/>
        <v>-</v>
      </c>
      <c r="Q157" s="87"/>
      <c r="R157" s="87"/>
    </row>
    <row r="158" spans="3:18" x14ac:dyDescent="0.25">
      <c r="C158" s="233"/>
      <c r="D158" s="249"/>
      <c r="E158" s="236"/>
      <c r="F158" s="268" t="str">
        <f t="shared" si="6"/>
        <v>-</v>
      </c>
      <c r="G158" s="242"/>
      <c r="H158" s="251"/>
      <c r="I158" s="233"/>
      <c r="J158" s="252" t="str">
        <f>IFERROR(MIN('MP Calculations'!$E$29/I158,1),"-")</f>
        <v>-</v>
      </c>
      <c r="K158" s="257"/>
      <c r="L158" s="233"/>
      <c r="M158" s="233"/>
      <c r="N158" s="233"/>
      <c r="O158" s="255" t="str">
        <f t="shared" si="8"/>
        <v>-</v>
      </c>
      <c r="P158" s="256" t="str">
        <f t="shared" si="7"/>
        <v>-</v>
      </c>
      <c r="Q158" s="87"/>
      <c r="R158" s="87"/>
    </row>
    <row r="159" spans="3:18" x14ac:dyDescent="0.25">
      <c r="C159" s="233"/>
      <c r="D159" s="249"/>
      <c r="E159" s="236"/>
      <c r="F159" s="268" t="str">
        <f t="shared" si="6"/>
        <v>-</v>
      </c>
      <c r="G159" s="242"/>
      <c r="H159" s="251"/>
      <c r="I159" s="233"/>
      <c r="J159" s="252" t="str">
        <f>IFERROR(MIN('MP Calculations'!$E$29/I159,1),"-")</f>
        <v>-</v>
      </c>
      <c r="K159" s="257"/>
      <c r="L159" s="233"/>
      <c r="M159" s="233"/>
      <c r="N159" s="233"/>
      <c r="O159" s="255" t="str">
        <f t="shared" si="8"/>
        <v>-</v>
      </c>
      <c r="P159" s="256" t="str">
        <f t="shared" si="7"/>
        <v>-</v>
      </c>
      <c r="Q159" s="87"/>
      <c r="R159" s="87"/>
    </row>
    <row r="160" spans="3:18" x14ac:dyDescent="0.25">
      <c r="C160" s="233"/>
      <c r="D160" s="249"/>
      <c r="E160" s="236"/>
      <c r="F160" s="268" t="str">
        <f t="shared" si="6"/>
        <v>-</v>
      </c>
      <c r="G160" s="242"/>
      <c r="H160" s="251"/>
      <c r="I160" s="233"/>
      <c r="J160" s="252" t="str">
        <f>IFERROR(MIN('MP Calculations'!$E$29/I160,1),"-")</f>
        <v>-</v>
      </c>
      <c r="K160" s="257"/>
      <c r="L160" s="233"/>
      <c r="M160" s="233"/>
      <c r="N160" s="233"/>
      <c r="O160" s="255" t="str">
        <f t="shared" si="8"/>
        <v>-</v>
      </c>
      <c r="P160" s="256" t="str">
        <f t="shared" si="7"/>
        <v>-</v>
      </c>
      <c r="Q160" s="87"/>
      <c r="R160" s="87"/>
    </row>
    <row r="161" spans="3:18" x14ac:dyDescent="0.25">
      <c r="C161" s="233"/>
      <c r="D161" s="249"/>
      <c r="E161" s="236"/>
      <c r="F161" s="268" t="str">
        <f t="shared" si="6"/>
        <v>-</v>
      </c>
      <c r="G161" s="242"/>
      <c r="H161" s="251"/>
      <c r="I161" s="233"/>
      <c r="J161" s="252" t="str">
        <f>IFERROR(MIN('MP Calculations'!$E$29/I161,1),"-")</f>
        <v>-</v>
      </c>
      <c r="K161" s="257"/>
      <c r="L161" s="233"/>
      <c r="M161" s="233"/>
      <c r="N161" s="233"/>
      <c r="O161" s="255" t="str">
        <f t="shared" si="8"/>
        <v>-</v>
      </c>
      <c r="P161" s="256" t="str">
        <f t="shared" si="7"/>
        <v>-</v>
      </c>
      <c r="Q161" s="87"/>
      <c r="R161" s="87"/>
    </row>
    <row r="162" spans="3:18" x14ac:dyDescent="0.25">
      <c r="C162" s="233"/>
      <c r="D162" s="249"/>
      <c r="E162" s="236"/>
      <c r="F162" s="268" t="str">
        <f t="shared" si="6"/>
        <v>-</v>
      </c>
      <c r="G162" s="242"/>
      <c r="H162" s="251"/>
      <c r="I162" s="233"/>
      <c r="J162" s="252" t="str">
        <f>IFERROR(MIN('MP Calculations'!$E$29/I162,1),"-")</f>
        <v>-</v>
      </c>
      <c r="K162" s="257"/>
      <c r="L162" s="233"/>
      <c r="M162" s="233"/>
      <c r="N162" s="233"/>
      <c r="O162" s="255" t="str">
        <f t="shared" si="8"/>
        <v>-</v>
      </c>
      <c r="P162" s="256" t="str">
        <f t="shared" si="7"/>
        <v>-</v>
      </c>
      <c r="Q162" s="87"/>
      <c r="R162" s="87"/>
    </row>
    <row r="163" spans="3:18" x14ac:dyDescent="0.25">
      <c r="C163" s="233"/>
      <c r="D163" s="249"/>
      <c r="E163" s="236"/>
      <c r="F163" s="268" t="str">
        <f t="shared" si="6"/>
        <v>-</v>
      </c>
      <c r="G163" s="242"/>
      <c r="H163" s="251"/>
      <c r="I163" s="233"/>
      <c r="J163" s="252" t="str">
        <f>IFERROR(MIN('MP Calculations'!$E$29/I163,1),"-")</f>
        <v>-</v>
      </c>
      <c r="K163" s="257"/>
      <c r="L163" s="233"/>
      <c r="M163" s="233"/>
      <c r="N163" s="233"/>
      <c r="O163" s="255" t="str">
        <f t="shared" si="8"/>
        <v>-</v>
      </c>
      <c r="P163" s="256" t="str">
        <f t="shared" si="7"/>
        <v>-</v>
      </c>
      <c r="Q163" s="87"/>
      <c r="R163" s="87"/>
    </row>
    <row r="164" spans="3:18" x14ac:dyDescent="0.25">
      <c r="C164" s="233"/>
      <c r="D164" s="249"/>
      <c r="E164" s="236"/>
      <c r="F164" s="268" t="str">
        <f t="shared" si="6"/>
        <v>-</v>
      </c>
      <c r="G164" s="242"/>
      <c r="H164" s="251"/>
      <c r="I164" s="233"/>
      <c r="J164" s="252" t="str">
        <f>IFERROR(MIN('MP Calculations'!$E$29/I164,1),"-")</f>
        <v>-</v>
      </c>
      <c r="K164" s="257"/>
      <c r="L164" s="233"/>
      <c r="M164" s="233"/>
      <c r="N164" s="233"/>
      <c r="O164" s="255" t="str">
        <f t="shared" si="8"/>
        <v>-</v>
      </c>
      <c r="P164" s="256" t="str">
        <f t="shared" si="7"/>
        <v>-</v>
      </c>
      <c r="Q164" s="87"/>
      <c r="R164" s="87"/>
    </row>
    <row r="165" spans="3:18" x14ac:dyDescent="0.25">
      <c r="C165" s="233"/>
      <c r="D165" s="249"/>
      <c r="E165" s="236"/>
      <c r="F165" s="268" t="str">
        <f t="shared" si="6"/>
        <v>-</v>
      </c>
      <c r="G165" s="242"/>
      <c r="H165" s="251"/>
      <c r="I165" s="233"/>
      <c r="J165" s="252" t="str">
        <f>IFERROR(MIN('MP Calculations'!$E$29/I165,1),"-")</f>
        <v>-</v>
      </c>
      <c r="K165" s="257"/>
      <c r="L165" s="233"/>
      <c r="M165" s="233"/>
      <c r="N165" s="233"/>
      <c r="O165" s="255" t="str">
        <f t="shared" si="8"/>
        <v>-</v>
      </c>
      <c r="P165" s="256" t="str">
        <f t="shared" si="7"/>
        <v>-</v>
      </c>
      <c r="Q165" s="87"/>
      <c r="R165" s="87"/>
    </row>
    <row r="166" spans="3:18" x14ac:dyDescent="0.25">
      <c r="C166" s="233"/>
      <c r="D166" s="249"/>
      <c r="E166" s="236"/>
      <c r="F166" s="268" t="str">
        <f t="shared" si="6"/>
        <v>-</v>
      </c>
      <c r="G166" s="242"/>
      <c r="H166" s="251"/>
      <c r="I166" s="233"/>
      <c r="J166" s="252" t="str">
        <f>IFERROR(MIN('MP Calculations'!$E$29/I166,1),"-")</f>
        <v>-</v>
      </c>
      <c r="K166" s="257"/>
      <c r="L166" s="233"/>
      <c r="M166" s="233"/>
      <c r="N166" s="233"/>
      <c r="O166" s="255" t="str">
        <f t="shared" si="8"/>
        <v>-</v>
      </c>
      <c r="P166" s="256" t="str">
        <f t="shared" si="7"/>
        <v>-</v>
      </c>
      <c r="Q166" s="87"/>
      <c r="R166" s="87"/>
    </row>
    <row r="167" spans="3:18" x14ac:dyDescent="0.25">
      <c r="C167" s="233"/>
      <c r="D167" s="249"/>
      <c r="E167" s="236"/>
      <c r="F167" s="268" t="str">
        <f t="shared" si="6"/>
        <v>-</v>
      </c>
      <c r="G167" s="242"/>
      <c r="H167" s="251"/>
      <c r="I167" s="233"/>
      <c r="J167" s="252" t="str">
        <f>IFERROR(MIN('MP Calculations'!$E$29/I167,1),"-")</f>
        <v>-</v>
      </c>
      <c r="K167" s="257"/>
      <c r="L167" s="233"/>
      <c r="M167" s="233"/>
      <c r="N167" s="233"/>
      <c r="O167" s="255" t="str">
        <f t="shared" si="8"/>
        <v>-</v>
      </c>
      <c r="P167" s="256" t="str">
        <f t="shared" si="7"/>
        <v>-</v>
      </c>
      <c r="Q167" s="87"/>
      <c r="R167" s="87"/>
    </row>
    <row r="168" spans="3:18" x14ac:dyDescent="0.25">
      <c r="C168" s="233"/>
      <c r="D168" s="249"/>
      <c r="E168" s="236"/>
      <c r="F168" s="268" t="str">
        <f t="shared" si="6"/>
        <v>-</v>
      </c>
      <c r="G168" s="242"/>
      <c r="H168" s="251"/>
      <c r="I168" s="233"/>
      <c r="J168" s="252" t="str">
        <f>IFERROR(MIN('MP Calculations'!$E$29/I168,1),"-")</f>
        <v>-</v>
      </c>
      <c r="K168" s="257"/>
      <c r="L168" s="233"/>
      <c r="M168" s="233"/>
      <c r="N168" s="233"/>
      <c r="O168" s="255" t="str">
        <f t="shared" si="8"/>
        <v>-</v>
      </c>
      <c r="P168" s="256" t="str">
        <f t="shared" si="7"/>
        <v>-</v>
      </c>
      <c r="Q168" s="87"/>
      <c r="R168" s="87"/>
    </row>
    <row r="169" spans="3:18" x14ac:dyDescent="0.25">
      <c r="C169" s="233"/>
      <c r="D169" s="249"/>
      <c r="E169" s="236"/>
      <c r="F169" s="268" t="str">
        <f t="shared" si="6"/>
        <v>-</v>
      </c>
      <c r="G169" s="242"/>
      <c r="H169" s="251"/>
      <c r="I169" s="233"/>
      <c r="J169" s="252" t="str">
        <f>IFERROR(MIN('MP Calculations'!$E$29/I169,1),"-")</f>
        <v>-</v>
      </c>
      <c r="K169" s="257"/>
      <c r="L169" s="233"/>
      <c r="M169" s="233"/>
      <c r="N169" s="233"/>
      <c r="O169" s="255" t="str">
        <f t="shared" si="8"/>
        <v>-</v>
      </c>
      <c r="P169" s="256" t="str">
        <f t="shared" si="7"/>
        <v>-</v>
      </c>
      <c r="Q169" s="87"/>
      <c r="R169" s="87"/>
    </row>
    <row r="170" spans="3:18" x14ac:dyDescent="0.25">
      <c r="C170" s="233"/>
      <c r="D170" s="249"/>
      <c r="E170" s="236"/>
      <c r="F170" s="268" t="str">
        <f t="shared" si="6"/>
        <v>-</v>
      </c>
      <c r="G170" s="242"/>
      <c r="H170" s="251"/>
      <c r="I170" s="233"/>
      <c r="J170" s="252" t="str">
        <f>IFERROR(MIN('MP Calculations'!$E$29/I170,1),"-")</f>
        <v>-</v>
      </c>
      <c r="K170" s="257"/>
      <c r="L170" s="233"/>
      <c r="M170" s="233"/>
      <c r="N170" s="233"/>
      <c r="O170" s="255" t="str">
        <f t="shared" si="8"/>
        <v>-</v>
      </c>
      <c r="P170" s="256" t="str">
        <f t="shared" si="7"/>
        <v>-</v>
      </c>
      <c r="Q170" s="87"/>
      <c r="R170" s="87"/>
    </row>
    <row r="171" spans="3:18" x14ac:dyDescent="0.25">
      <c r="C171" s="233"/>
      <c r="D171" s="249"/>
      <c r="E171" s="236"/>
      <c r="F171" s="268" t="str">
        <f t="shared" si="6"/>
        <v>-</v>
      </c>
      <c r="G171" s="242"/>
      <c r="H171" s="251"/>
      <c r="I171" s="233"/>
      <c r="J171" s="252" t="str">
        <f>IFERROR(MIN('MP Calculations'!$E$29/I171,1),"-")</f>
        <v>-</v>
      </c>
      <c r="K171" s="257"/>
      <c r="L171" s="233"/>
      <c r="M171" s="233"/>
      <c r="N171" s="233"/>
      <c r="O171" s="255" t="str">
        <f t="shared" si="8"/>
        <v>-</v>
      </c>
      <c r="P171" s="256" t="str">
        <f t="shared" si="7"/>
        <v>-</v>
      </c>
      <c r="Q171" s="87"/>
      <c r="R171" s="87"/>
    </row>
    <row r="172" spans="3:18" x14ac:dyDescent="0.25">
      <c r="C172" s="233"/>
      <c r="D172" s="249"/>
      <c r="E172" s="236"/>
      <c r="F172" s="268" t="str">
        <f t="shared" si="6"/>
        <v>-</v>
      </c>
      <c r="G172" s="242"/>
      <c r="H172" s="251"/>
      <c r="I172" s="233"/>
      <c r="J172" s="252" t="str">
        <f>IFERROR(MIN('MP Calculations'!$E$29/I172,1),"-")</f>
        <v>-</v>
      </c>
      <c r="K172" s="257"/>
      <c r="L172" s="233"/>
      <c r="M172" s="233"/>
      <c r="N172" s="233"/>
      <c r="O172" s="255" t="str">
        <f t="shared" si="8"/>
        <v>-</v>
      </c>
      <c r="P172" s="256" t="str">
        <f t="shared" si="7"/>
        <v>-</v>
      </c>
      <c r="Q172" s="87"/>
      <c r="R172" s="87"/>
    </row>
    <row r="173" spans="3:18" x14ac:dyDescent="0.25">
      <c r="C173" s="233"/>
      <c r="D173" s="249"/>
      <c r="E173" s="236"/>
      <c r="F173" s="268" t="str">
        <f t="shared" si="6"/>
        <v>-</v>
      </c>
      <c r="G173" s="242"/>
      <c r="H173" s="251"/>
      <c r="I173" s="233"/>
      <c r="J173" s="252" t="str">
        <f>IFERROR(MIN('MP Calculations'!$E$29/I173,1),"-")</f>
        <v>-</v>
      </c>
      <c r="K173" s="257"/>
      <c r="L173" s="233"/>
      <c r="M173" s="233"/>
      <c r="N173" s="233"/>
      <c r="O173" s="255" t="str">
        <f t="shared" si="8"/>
        <v>-</v>
      </c>
      <c r="P173" s="256" t="str">
        <f t="shared" si="7"/>
        <v>-</v>
      </c>
      <c r="Q173" s="87"/>
      <c r="R173" s="87"/>
    </row>
    <row r="174" spans="3:18" x14ac:dyDescent="0.25">
      <c r="C174" s="233"/>
      <c r="D174" s="249"/>
      <c r="E174" s="236"/>
      <c r="F174" s="268" t="str">
        <f t="shared" si="6"/>
        <v>-</v>
      </c>
      <c r="G174" s="242"/>
      <c r="H174" s="251"/>
      <c r="I174" s="233"/>
      <c r="J174" s="252" t="str">
        <f>IFERROR(MIN('MP Calculations'!$E$29/I174,1),"-")</f>
        <v>-</v>
      </c>
      <c r="K174" s="257"/>
      <c r="L174" s="233"/>
      <c r="M174" s="233"/>
      <c r="N174" s="233"/>
      <c r="O174" s="255" t="str">
        <f t="shared" si="8"/>
        <v>-</v>
      </c>
      <c r="P174" s="256" t="str">
        <f t="shared" si="7"/>
        <v>-</v>
      </c>
      <c r="Q174" s="87"/>
      <c r="R174" s="87"/>
    </row>
    <row r="175" spans="3:18" x14ac:dyDescent="0.25">
      <c r="C175" s="233"/>
      <c r="D175" s="249"/>
      <c r="E175" s="236"/>
      <c r="F175" s="268" t="str">
        <f t="shared" si="6"/>
        <v>-</v>
      </c>
      <c r="G175" s="242"/>
      <c r="H175" s="251"/>
      <c r="I175" s="233"/>
      <c r="J175" s="252" t="str">
        <f>IFERROR(MIN('MP Calculations'!$E$29/I175,1),"-")</f>
        <v>-</v>
      </c>
      <c r="K175" s="257"/>
      <c r="L175" s="233"/>
      <c r="M175" s="233"/>
      <c r="N175" s="233"/>
      <c r="O175" s="255" t="str">
        <f t="shared" si="8"/>
        <v>-</v>
      </c>
      <c r="P175" s="256" t="str">
        <f t="shared" si="7"/>
        <v>-</v>
      </c>
      <c r="Q175" s="87"/>
      <c r="R175" s="87"/>
    </row>
    <row r="176" spans="3:18" x14ac:dyDescent="0.25">
      <c r="C176" s="233"/>
      <c r="D176" s="249"/>
      <c r="E176" s="236"/>
      <c r="F176" s="268" t="str">
        <f t="shared" si="6"/>
        <v>-</v>
      </c>
      <c r="G176" s="242"/>
      <c r="H176" s="251"/>
      <c r="I176" s="233"/>
      <c r="J176" s="252" t="str">
        <f>IFERROR(MIN('MP Calculations'!$E$29/I176,1),"-")</f>
        <v>-</v>
      </c>
      <c r="K176" s="257"/>
      <c r="L176" s="233"/>
      <c r="M176" s="233"/>
      <c r="N176" s="233"/>
      <c r="O176" s="255" t="str">
        <f t="shared" si="8"/>
        <v>-</v>
      </c>
      <c r="P176" s="256" t="str">
        <f t="shared" si="7"/>
        <v>-</v>
      </c>
      <c r="Q176" s="87"/>
      <c r="R176" s="87"/>
    </row>
    <row r="177" spans="3:18" x14ac:dyDescent="0.25">
      <c r="C177" s="233"/>
      <c r="D177" s="249"/>
      <c r="E177" s="236"/>
      <c r="F177" s="268" t="str">
        <f t="shared" si="6"/>
        <v>-</v>
      </c>
      <c r="G177" s="242"/>
      <c r="H177" s="251"/>
      <c r="I177" s="233"/>
      <c r="J177" s="252" t="str">
        <f>IFERROR(MIN('MP Calculations'!$E$29/I177,1),"-")</f>
        <v>-</v>
      </c>
      <c r="K177" s="257"/>
      <c r="L177" s="233"/>
      <c r="M177" s="233"/>
      <c r="N177" s="233"/>
      <c r="O177" s="255" t="str">
        <f t="shared" si="8"/>
        <v>-</v>
      </c>
      <c r="P177" s="256" t="str">
        <f t="shared" si="7"/>
        <v>-</v>
      </c>
      <c r="Q177" s="87"/>
      <c r="R177" s="87"/>
    </row>
    <row r="178" spans="3:18" x14ac:dyDescent="0.25">
      <c r="C178" s="233"/>
      <c r="D178" s="249"/>
      <c r="E178" s="236"/>
      <c r="F178" s="268" t="str">
        <f t="shared" si="6"/>
        <v>-</v>
      </c>
      <c r="G178" s="242"/>
      <c r="H178" s="251"/>
      <c r="I178" s="233"/>
      <c r="J178" s="252" t="str">
        <f>IFERROR(MIN('MP Calculations'!$E$29/I178,1),"-")</f>
        <v>-</v>
      </c>
      <c r="K178" s="257"/>
      <c r="L178" s="233"/>
      <c r="M178" s="233"/>
      <c r="N178" s="233"/>
      <c r="O178" s="255" t="str">
        <f t="shared" si="8"/>
        <v>-</v>
      </c>
      <c r="P178" s="256" t="str">
        <f t="shared" si="7"/>
        <v>-</v>
      </c>
      <c r="Q178" s="87"/>
      <c r="R178" s="87"/>
    </row>
    <row r="179" spans="3:18" x14ac:dyDescent="0.25">
      <c r="C179" s="233"/>
      <c r="D179" s="249"/>
      <c r="E179" s="236"/>
      <c r="F179" s="268" t="str">
        <f t="shared" si="6"/>
        <v>-</v>
      </c>
      <c r="G179" s="242"/>
      <c r="H179" s="251"/>
      <c r="I179" s="233"/>
      <c r="J179" s="252" t="str">
        <f>IFERROR(MIN('MP Calculations'!$E$29/I179,1),"-")</f>
        <v>-</v>
      </c>
      <c r="K179" s="257"/>
      <c r="L179" s="233"/>
      <c r="M179" s="233"/>
      <c r="N179" s="233"/>
      <c r="O179" s="255" t="str">
        <f t="shared" si="8"/>
        <v>-</v>
      </c>
      <c r="P179" s="256" t="str">
        <f t="shared" si="7"/>
        <v>-</v>
      </c>
      <c r="Q179" s="87"/>
      <c r="R179" s="87"/>
    </row>
    <row r="180" spans="3:18" x14ac:dyDescent="0.25">
      <c r="C180" s="233"/>
      <c r="D180" s="249"/>
      <c r="E180" s="236"/>
      <c r="F180" s="268" t="str">
        <f t="shared" si="6"/>
        <v>-</v>
      </c>
      <c r="G180" s="242"/>
      <c r="H180" s="251"/>
      <c r="I180" s="233"/>
      <c r="J180" s="252" t="str">
        <f>IFERROR(MIN('MP Calculations'!$E$29/I180,1),"-")</f>
        <v>-</v>
      </c>
      <c r="K180" s="257"/>
      <c r="L180" s="233"/>
      <c r="M180" s="233"/>
      <c r="N180" s="233"/>
      <c r="O180" s="255" t="str">
        <f t="shared" si="8"/>
        <v>-</v>
      </c>
      <c r="P180" s="256" t="str">
        <f t="shared" si="7"/>
        <v>-</v>
      </c>
      <c r="Q180" s="87"/>
      <c r="R180" s="87"/>
    </row>
    <row r="181" spans="3:18" x14ac:dyDescent="0.25">
      <c r="C181" s="233"/>
      <c r="D181" s="249"/>
      <c r="E181" s="236"/>
      <c r="F181" s="268" t="str">
        <f t="shared" si="6"/>
        <v>-</v>
      </c>
      <c r="G181" s="242"/>
      <c r="H181" s="251"/>
      <c r="I181" s="233"/>
      <c r="J181" s="252" t="str">
        <f>IFERROR(MIN('MP Calculations'!$E$29/I181,1),"-")</f>
        <v>-</v>
      </c>
      <c r="K181" s="257"/>
      <c r="L181" s="233"/>
      <c r="M181" s="233"/>
      <c r="N181" s="233"/>
      <c r="O181" s="255" t="str">
        <f t="shared" si="8"/>
        <v>-</v>
      </c>
      <c r="P181" s="256" t="str">
        <f t="shared" si="7"/>
        <v>-</v>
      </c>
      <c r="Q181" s="87"/>
      <c r="R181" s="87"/>
    </row>
    <row r="182" spans="3:18" x14ac:dyDescent="0.25">
      <c r="C182" s="233"/>
      <c r="D182" s="249"/>
      <c r="E182" s="236"/>
      <c r="F182" s="268" t="str">
        <f t="shared" si="6"/>
        <v>-</v>
      </c>
      <c r="G182" s="242"/>
      <c r="H182" s="251"/>
      <c r="I182" s="233"/>
      <c r="J182" s="252" t="str">
        <f>IFERROR(MIN('MP Calculations'!$E$29/I182,1),"-")</f>
        <v>-</v>
      </c>
      <c r="K182" s="257"/>
      <c r="L182" s="233"/>
      <c r="M182" s="233"/>
      <c r="N182" s="233"/>
      <c r="O182" s="255" t="str">
        <f t="shared" si="8"/>
        <v>-</v>
      </c>
      <c r="P182" s="256" t="str">
        <f t="shared" si="7"/>
        <v>-</v>
      </c>
      <c r="Q182" s="87"/>
      <c r="R182" s="87"/>
    </row>
    <row r="183" spans="3:18" x14ac:dyDescent="0.25">
      <c r="C183" s="233"/>
      <c r="D183" s="249"/>
      <c r="E183" s="236"/>
      <c r="F183" s="268" t="str">
        <f t="shared" si="6"/>
        <v>-</v>
      </c>
      <c r="G183" s="242"/>
      <c r="H183" s="251"/>
      <c r="I183" s="233"/>
      <c r="J183" s="252" t="str">
        <f>IFERROR(MIN('MP Calculations'!$E$29/I183,1),"-")</f>
        <v>-</v>
      </c>
      <c r="K183" s="257"/>
      <c r="L183" s="233"/>
      <c r="M183" s="233"/>
      <c r="N183" s="233"/>
      <c r="O183" s="255" t="str">
        <f t="shared" si="8"/>
        <v>-</v>
      </c>
      <c r="P183" s="256" t="str">
        <f t="shared" si="7"/>
        <v>-</v>
      </c>
      <c r="Q183" s="87"/>
      <c r="R183" s="87"/>
    </row>
    <row r="184" spans="3:18" x14ac:dyDescent="0.25">
      <c r="C184" s="233"/>
      <c r="D184" s="249"/>
      <c r="E184" s="236"/>
      <c r="F184" s="268" t="str">
        <f t="shared" ref="F184:F217" si="9">IF(E184="","-",IF(OR(E184&lt;$E$15,E184&gt;$E$16),"ERROR - date outside of range",IF(MONTH(E184)&gt;=7,YEAR(E184)&amp;"-"&amp;IF(YEAR(E184)=1999,"00",IF(AND(YEAR(E184)&gt;=2000,YEAR(E184)&lt;2009),"0","")&amp;RIGHT(YEAR(E184),2)+1),RIGHT(YEAR(E184),4)-1&amp;"-"&amp;RIGHT(YEAR(E184),2))))</f>
        <v>-</v>
      </c>
      <c r="G184" s="242"/>
      <c r="H184" s="251"/>
      <c r="I184" s="233"/>
      <c r="J184" s="252" t="str">
        <f>IFERROR(MIN('MP Calculations'!$E$29/I184,1),"-")</f>
        <v>-</v>
      </c>
      <c r="K184" s="257"/>
      <c r="L184" s="233"/>
      <c r="M184" s="233"/>
      <c r="N184" s="233"/>
      <c r="O184" s="255" t="str">
        <f t="shared" si="8"/>
        <v>-</v>
      </c>
      <c r="P184" s="256" t="str">
        <f t="shared" ref="P184:P217" si="10">IF(O184="-","-",IF(OR(E184&lt;$E$15,E184&gt;$E$16),0,O184*J184))</f>
        <v>-</v>
      </c>
      <c r="Q184" s="87"/>
      <c r="R184" s="87"/>
    </row>
    <row r="185" spans="3:18" x14ac:dyDescent="0.25">
      <c r="C185" s="233"/>
      <c r="D185" s="249"/>
      <c r="E185" s="236"/>
      <c r="F185" s="268" t="str">
        <f t="shared" si="9"/>
        <v>-</v>
      </c>
      <c r="G185" s="242"/>
      <c r="H185" s="251"/>
      <c r="I185" s="233"/>
      <c r="J185" s="252" t="str">
        <f>IFERROR(MIN('MP Calculations'!$E$29/I185,1),"-")</f>
        <v>-</v>
      </c>
      <c r="K185" s="257"/>
      <c r="L185" s="233"/>
      <c r="M185" s="233"/>
      <c r="N185" s="233"/>
      <c r="O185" s="255" t="str">
        <f t="shared" si="8"/>
        <v>-</v>
      </c>
      <c r="P185" s="256" t="str">
        <f t="shared" si="10"/>
        <v>-</v>
      </c>
      <c r="Q185" s="87"/>
      <c r="R185" s="87"/>
    </row>
    <row r="186" spans="3:18" x14ac:dyDescent="0.25">
      <c r="C186" s="233"/>
      <c r="D186" s="249"/>
      <c r="E186" s="236"/>
      <c r="F186" s="268" t="str">
        <f t="shared" si="9"/>
        <v>-</v>
      </c>
      <c r="G186" s="242"/>
      <c r="H186" s="251"/>
      <c r="I186" s="233"/>
      <c r="J186" s="252" t="str">
        <f>IFERROR(MIN('MP Calculations'!$E$29/I186,1),"-")</f>
        <v>-</v>
      </c>
      <c r="K186" s="257"/>
      <c r="L186" s="233"/>
      <c r="M186" s="233"/>
      <c r="N186" s="233"/>
      <c r="O186" s="255" t="str">
        <f t="shared" si="8"/>
        <v>-</v>
      </c>
      <c r="P186" s="256" t="str">
        <f t="shared" si="10"/>
        <v>-</v>
      </c>
      <c r="Q186" s="87"/>
      <c r="R186" s="87"/>
    </row>
    <row r="187" spans="3:18" x14ac:dyDescent="0.25">
      <c r="C187" s="233"/>
      <c r="D187" s="249"/>
      <c r="E187" s="236"/>
      <c r="F187" s="268" t="str">
        <f t="shared" si="9"/>
        <v>-</v>
      </c>
      <c r="G187" s="242"/>
      <c r="H187" s="251"/>
      <c r="I187" s="233"/>
      <c r="J187" s="252" t="str">
        <f>IFERROR(MIN('MP Calculations'!$E$29/I187,1),"-")</f>
        <v>-</v>
      </c>
      <c r="K187" s="257"/>
      <c r="L187" s="233"/>
      <c r="M187" s="233"/>
      <c r="N187" s="233"/>
      <c r="O187" s="255" t="str">
        <f t="shared" si="8"/>
        <v>-</v>
      </c>
      <c r="P187" s="256" t="str">
        <f t="shared" si="10"/>
        <v>-</v>
      </c>
      <c r="Q187" s="87"/>
      <c r="R187" s="87"/>
    </row>
    <row r="188" spans="3:18" x14ac:dyDescent="0.25">
      <c r="C188" s="233"/>
      <c r="D188" s="249"/>
      <c r="E188" s="236"/>
      <c r="F188" s="268" t="str">
        <f t="shared" si="9"/>
        <v>-</v>
      </c>
      <c r="G188" s="242"/>
      <c r="H188" s="251"/>
      <c r="I188" s="233"/>
      <c r="J188" s="252" t="str">
        <f>IFERROR(MIN('MP Calculations'!$E$29/I188,1),"-")</f>
        <v>-</v>
      </c>
      <c r="K188" s="257"/>
      <c r="L188" s="233"/>
      <c r="M188" s="233"/>
      <c r="N188" s="233"/>
      <c r="O188" s="255" t="str">
        <f t="shared" si="8"/>
        <v>-</v>
      </c>
      <c r="P188" s="256" t="str">
        <f t="shared" si="10"/>
        <v>-</v>
      </c>
      <c r="Q188" s="87"/>
      <c r="R188" s="87"/>
    </row>
    <row r="189" spans="3:18" x14ac:dyDescent="0.25">
      <c r="C189" s="233"/>
      <c r="D189" s="249"/>
      <c r="E189" s="236"/>
      <c r="F189" s="268" t="str">
        <f t="shared" si="9"/>
        <v>-</v>
      </c>
      <c r="G189" s="242"/>
      <c r="H189" s="251"/>
      <c r="I189" s="233"/>
      <c r="J189" s="252" t="str">
        <f>IFERROR(MIN('MP Calculations'!$E$29/I189,1),"-")</f>
        <v>-</v>
      </c>
      <c r="K189" s="257"/>
      <c r="L189" s="233"/>
      <c r="M189" s="233"/>
      <c r="N189" s="233"/>
      <c r="O189" s="255" t="str">
        <f t="shared" si="8"/>
        <v>-</v>
      </c>
      <c r="P189" s="256" t="str">
        <f t="shared" si="10"/>
        <v>-</v>
      </c>
      <c r="Q189" s="87"/>
      <c r="R189" s="87"/>
    </row>
    <row r="190" spans="3:18" x14ac:dyDescent="0.25">
      <c r="C190" s="233"/>
      <c r="D190" s="249"/>
      <c r="E190" s="236"/>
      <c r="F190" s="268" t="str">
        <f t="shared" si="9"/>
        <v>-</v>
      </c>
      <c r="G190" s="242"/>
      <c r="H190" s="251"/>
      <c r="I190" s="233"/>
      <c r="J190" s="252" t="str">
        <f>IFERROR(MIN('MP Calculations'!$E$29/I190,1),"-")</f>
        <v>-</v>
      </c>
      <c r="K190" s="257"/>
      <c r="L190" s="233"/>
      <c r="M190" s="233"/>
      <c r="N190" s="233"/>
      <c r="O190" s="255" t="str">
        <f t="shared" si="8"/>
        <v>-</v>
      </c>
      <c r="P190" s="256" t="str">
        <f t="shared" si="10"/>
        <v>-</v>
      </c>
      <c r="Q190" s="87"/>
      <c r="R190" s="87"/>
    </row>
    <row r="191" spans="3:18" x14ac:dyDescent="0.25">
      <c r="C191" s="233"/>
      <c r="D191" s="249"/>
      <c r="E191" s="236"/>
      <c r="F191" s="268" t="str">
        <f t="shared" si="9"/>
        <v>-</v>
      </c>
      <c r="G191" s="242"/>
      <c r="H191" s="251"/>
      <c r="I191" s="233"/>
      <c r="J191" s="252" t="str">
        <f>IFERROR(MIN('MP Calculations'!$E$29/I191,1),"-")</f>
        <v>-</v>
      </c>
      <c r="K191" s="257"/>
      <c r="L191" s="233"/>
      <c r="M191" s="233"/>
      <c r="N191" s="233"/>
      <c r="O191" s="255" t="str">
        <f t="shared" si="8"/>
        <v>-</v>
      </c>
      <c r="P191" s="256" t="str">
        <f t="shared" si="10"/>
        <v>-</v>
      </c>
      <c r="Q191" s="87"/>
      <c r="R191" s="87"/>
    </row>
    <row r="192" spans="3:18" x14ac:dyDescent="0.25">
      <c r="C192" s="233"/>
      <c r="D192" s="249"/>
      <c r="E192" s="236"/>
      <c r="F192" s="268" t="str">
        <f t="shared" si="9"/>
        <v>-</v>
      </c>
      <c r="G192" s="242"/>
      <c r="H192" s="251"/>
      <c r="I192" s="233"/>
      <c r="J192" s="252" t="str">
        <f>IFERROR(MIN('MP Calculations'!$E$29/I192,1),"-")</f>
        <v>-</v>
      </c>
      <c r="K192" s="257"/>
      <c r="L192" s="233"/>
      <c r="M192" s="233"/>
      <c r="N192" s="233"/>
      <c r="O192" s="255" t="str">
        <f t="shared" si="8"/>
        <v>-</v>
      </c>
      <c r="P192" s="256" t="str">
        <f t="shared" si="10"/>
        <v>-</v>
      </c>
      <c r="Q192" s="87"/>
      <c r="R192" s="87"/>
    </row>
    <row r="193" spans="3:18" x14ac:dyDescent="0.25">
      <c r="C193" s="233"/>
      <c r="D193" s="249"/>
      <c r="E193" s="236"/>
      <c r="F193" s="268" t="str">
        <f t="shared" si="9"/>
        <v>-</v>
      </c>
      <c r="G193" s="242"/>
      <c r="H193" s="251"/>
      <c r="I193" s="233"/>
      <c r="J193" s="252" t="str">
        <f>IFERROR(MIN('MP Calculations'!$E$29/I193,1),"-")</f>
        <v>-</v>
      </c>
      <c r="K193" s="257"/>
      <c r="L193" s="233"/>
      <c r="M193" s="233"/>
      <c r="N193" s="233"/>
      <c r="O193" s="255" t="str">
        <f t="shared" si="8"/>
        <v>-</v>
      </c>
      <c r="P193" s="256" t="str">
        <f t="shared" si="10"/>
        <v>-</v>
      </c>
      <c r="Q193" s="87"/>
      <c r="R193" s="87"/>
    </row>
    <row r="194" spans="3:18" x14ac:dyDescent="0.25">
      <c r="C194" s="233"/>
      <c r="D194" s="249"/>
      <c r="E194" s="236"/>
      <c r="F194" s="268" t="str">
        <f t="shared" si="9"/>
        <v>-</v>
      </c>
      <c r="G194" s="242"/>
      <c r="H194" s="251"/>
      <c r="I194" s="233"/>
      <c r="J194" s="252" t="str">
        <f>IFERROR(MIN('MP Calculations'!$E$29/I194,1),"-")</f>
        <v>-</v>
      </c>
      <c r="K194" s="257"/>
      <c r="L194" s="233"/>
      <c r="M194" s="233"/>
      <c r="N194" s="233"/>
      <c r="O194" s="255" t="str">
        <f t="shared" si="8"/>
        <v>-</v>
      </c>
      <c r="P194" s="256" t="str">
        <f t="shared" si="10"/>
        <v>-</v>
      </c>
      <c r="Q194" s="87"/>
      <c r="R194" s="87"/>
    </row>
    <row r="195" spans="3:18" x14ac:dyDescent="0.25">
      <c r="C195" s="233"/>
      <c r="D195" s="249"/>
      <c r="E195" s="236"/>
      <c r="F195" s="268" t="str">
        <f t="shared" si="9"/>
        <v>-</v>
      </c>
      <c r="G195" s="242"/>
      <c r="H195" s="251"/>
      <c r="I195" s="233"/>
      <c r="J195" s="252" t="str">
        <f>IFERROR(MIN('MP Calculations'!$E$29/I195,1),"-")</f>
        <v>-</v>
      </c>
      <c r="K195" s="257"/>
      <c r="L195" s="233"/>
      <c r="M195" s="233"/>
      <c r="N195" s="233"/>
      <c r="O195" s="255" t="str">
        <f t="shared" si="8"/>
        <v>-</v>
      </c>
      <c r="P195" s="256" t="str">
        <f t="shared" si="10"/>
        <v>-</v>
      </c>
      <c r="Q195" s="87"/>
      <c r="R195" s="87"/>
    </row>
    <row r="196" spans="3:18" x14ac:dyDescent="0.25">
      <c r="C196" s="233"/>
      <c r="D196" s="249"/>
      <c r="E196" s="236"/>
      <c r="F196" s="268" t="str">
        <f t="shared" si="9"/>
        <v>-</v>
      </c>
      <c r="G196" s="242"/>
      <c r="H196" s="251"/>
      <c r="I196" s="233"/>
      <c r="J196" s="252" t="str">
        <f>IFERROR(MIN('MP Calculations'!$E$29/I196,1),"-")</f>
        <v>-</v>
      </c>
      <c r="K196" s="257"/>
      <c r="L196" s="233"/>
      <c r="M196" s="233"/>
      <c r="N196" s="233"/>
      <c r="O196" s="255" t="str">
        <f t="shared" si="8"/>
        <v>-</v>
      </c>
      <c r="P196" s="256" t="str">
        <f t="shared" si="10"/>
        <v>-</v>
      </c>
      <c r="Q196" s="87"/>
      <c r="R196" s="87"/>
    </row>
    <row r="197" spans="3:18" x14ac:dyDescent="0.25">
      <c r="C197" s="233"/>
      <c r="D197" s="249"/>
      <c r="E197" s="236"/>
      <c r="F197" s="268" t="str">
        <f t="shared" si="9"/>
        <v>-</v>
      </c>
      <c r="G197" s="242"/>
      <c r="H197" s="251"/>
      <c r="I197" s="233"/>
      <c r="J197" s="252" t="str">
        <f>IFERROR(MIN('MP Calculations'!$E$29/I197,1),"-")</f>
        <v>-</v>
      </c>
      <c r="K197" s="257"/>
      <c r="L197" s="233"/>
      <c r="M197" s="233"/>
      <c r="N197" s="233"/>
      <c r="O197" s="255" t="str">
        <f t="shared" si="8"/>
        <v>-</v>
      </c>
      <c r="P197" s="256" t="str">
        <f t="shared" si="10"/>
        <v>-</v>
      </c>
      <c r="Q197" s="87"/>
      <c r="R197" s="87"/>
    </row>
    <row r="198" spans="3:18" x14ac:dyDescent="0.25">
      <c r="C198" s="233"/>
      <c r="D198" s="249"/>
      <c r="E198" s="236"/>
      <c r="F198" s="268" t="str">
        <f t="shared" si="9"/>
        <v>-</v>
      </c>
      <c r="G198" s="242"/>
      <c r="H198" s="251"/>
      <c r="I198" s="233"/>
      <c r="J198" s="252" t="str">
        <f>IFERROR(MIN('MP Calculations'!$E$29/I198,1),"-")</f>
        <v>-</v>
      </c>
      <c r="K198" s="257"/>
      <c r="L198" s="233"/>
      <c r="M198" s="233"/>
      <c r="N198" s="233"/>
      <c r="O198" s="255" t="str">
        <f t="shared" si="8"/>
        <v>-</v>
      </c>
      <c r="P198" s="256" t="str">
        <f t="shared" si="10"/>
        <v>-</v>
      </c>
      <c r="Q198" s="87"/>
      <c r="R198" s="87"/>
    </row>
    <row r="199" spans="3:18" x14ac:dyDescent="0.25">
      <c r="C199" s="233"/>
      <c r="D199" s="249"/>
      <c r="E199" s="236"/>
      <c r="F199" s="268" t="str">
        <f t="shared" si="9"/>
        <v>-</v>
      </c>
      <c r="G199" s="242"/>
      <c r="H199" s="251"/>
      <c r="I199" s="233"/>
      <c r="J199" s="252" t="str">
        <f>IFERROR(MIN('MP Calculations'!$E$29/I199,1),"-")</f>
        <v>-</v>
      </c>
      <c r="K199" s="257"/>
      <c r="L199" s="233"/>
      <c r="M199" s="233"/>
      <c r="N199" s="233"/>
      <c r="O199" s="255" t="str">
        <f t="shared" si="8"/>
        <v>-</v>
      </c>
      <c r="P199" s="256" t="str">
        <f t="shared" si="10"/>
        <v>-</v>
      </c>
      <c r="Q199" s="87"/>
      <c r="R199" s="87"/>
    </row>
    <row r="200" spans="3:18" x14ac:dyDescent="0.25">
      <c r="C200" s="233"/>
      <c r="D200" s="249"/>
      <c r="E200" s="236"/>
      <c r="F200" s="268" t="str">
        <f t="shared" si="9"/>
        <v>-</v>
      </c>
      <c r="G200" s="242"/>
      <c r="H200" s="251"/>
      <c r="I200" s="233"/>
      <c r="J200" s="252" t="str">
        <f>IFERROR(MIN('MP Calculations'!$E$29/I200,1),"-")</f>
        <v>-</v>
      </c>
      <c r="K200" s="257"/>
      <c r="L200" s="233"/>
      <c r="M200" s="233"/>
      <c r="N200" s="233"/>
      <c r="O200" s="255" t="str">
        <f t="shared" si="8"/>
        <v>-</v>
      </c>
      <c r="P200" s="256" t="str">
        <f t="shared" si="10"/>
        <v>-</v>
      </c>
      <c r="Q200" s="87"/>
      <c r="R200" s="87"/>
    </row>
    <row r="201" spans="3:18" x14ac:dyDescent="0.25">
      <c r="C201" s="233"/>
      <c r="D201" s="249"/>
      <c r="E201" s="236"/>
      <c r="F201" s="268" t="str">
        <f t="shared" si="9"/>
        <v>-</v>
      </c>
      <c r="G201" s="242"/>
      <c r="H201" s="251"/>
      <c r="I201" s="233"/>
      <c r="J201" s="252" t="str">
        <f>IFERROR(MIN('MP Calculations'!$E$29/I201,1),"-")</f>
        <v>-</v>
      </c>
      <c r="K201" s="257"/>
      <c r="L201" s="233"/>
      <c r="M201" s="233"/>
      <c r="N201" s="233"/>
      <c r="O201" s="255" t="str">
        <f t="shared" si="8"/>
        <v>-</v>
      </c>
      <c r="P201" s="256" t="str">
        <f t="shared" si="10"/>
        <v>-</v>
      </c>
      <c r="Q201" s="87"/>
      <c r="R201" s="87"/>
    </row>
    <row r="202" spans="3:18" x14ac:dyDescent="0.25">
      <c r="C202" s="233"/>
      <c r="D202" s="249"/>
      <c r="E202" s="236"/>
      <c r="F202" s="268" t="str">
        <f t="shared" si="9"/>
        <v>-</v>
      </c>
      <c r="G202" s="242"/>
      <c r="H202" s="251"/>
      <c r="I202" s="233"/>
      <c r="J202" s="252" t="str">
        <f>IFERROR(MIN('MP Calculations'!$E$29/I202,1),"-")</f>
        <v>-</v>
      </c>
      <c r="K202" s="257"/>
      <c r="L202" s="233"/>
      <c r="M202" s="233"/>
      <c r="N202" s="233"/>
      <c r="O202" s="255" t="str">
        <f t="shared" si="8"/>
        <v>-</v>
      </c>
      <c r="P202" s="256" t="str">
        <f t="shared" si="10"/>
        <v>-</v>
      </c>
      <c r="Q202" s="87"/>
      <c r="R202" s="87"/>
    </row>
    <row r="203" spans="3:18" x14ac:dyDescent="0.25">
      <c r="C203" s="233"/>
      <c r="D203" s="249"/>
      <c r="E203" s="236"/>
      <c r="F203" s="268" t="str">
        <f t="shared" si="9"/>
        <v>-</v>
      </c>
      <c r="G203" s="242"/>
      <c r="H203" s="251"/>
      <c r="I203" s="233"/>
      <c r="J203" s="252" t="str">
        <f>IFERROR(MIN('MP Calculations'!$E$29/I203,1),"-")</f>
        <v>-</v>
      </c>
      <c r="K203" s="257"/>
      <c r="L203" s="233"/>
      <c r="M203" s="233"/>
      <c r="N203" s="233"/>
      <c r="O203" s="255" t="str">
        <f t="shared" si="8"/>
        <v>-</v>
      </c>
      <c r="P203" s="256" t="str">
        <f t="shared" si="10"/>
        <v>-</v>
      </c>
      <c r="Q203" s="87"/>
      <c r="R203" s="87"/>
    </row>
    <row r="204" spans="3:18" x14ac:dyDescent="0.25">
      <c r="C204" s="233"/>
      <c r="D204" s="249"/>
      <c r="E204" s="236"/>
      <c r="F204" s="268" t="str">
        <f t="shared" si="9"/>
        <v>-</v>
      </c>
      <c r="G204" s="242"/>
      <c r="H204" s="251"/>
      <c r="I204" s="233"/>
      <c r="J204" s="252" t="str">
        <f>IFERROR(MIN('MP Calculations'!$E$29/I204,1),"-")</f>
        <v>-</v>
      </c>
      <c r="K204" s="257"/>
      <c r="L204" s="233"/>
      <c r="M204" s="233"/>
      <c r="N204" s="233"/>
      <c r="O204" s="255" t="str">
        <f t="shared" si="8"/>
        <v>-</v>
      </c>
      <c r="P204" s="256" t="str">
        <f t="shared" si="10"/>
        <v>-</v>
      </c>
      <c r="Q204" s="87"/>
      <c r="R204" s="87"/>
    </row>
    <row r="205" spans="3:18" x14ac:dyDescent="0.25">
      <c r="C205" s="233"/>
      <c r="D205" s="249"/>
      <c r="E205" s="236"/>
      <c r="F205" s="268" t="str">
        <f t="shared" si="9"/>
        <v>-</v>
      </c>
      <c r="G205" s="242"/>
      <c r="H205" s="251"/>
      <c r="I205" s="233"/>
      <c r="J205" s="252" t="str">
        <f>IFERROR(MIN('MP Calculations'!$E$29/I205,1),"-")</f>
        <v>-</v>
      </c>
      <c r="K205" s="257"/>
      <c r="L205" s="233"/>
      <c r="M205" s="233"/>
      <c r="N205" s="233"/>
      <c r="O205" s="255" t="str">
        <f t="shared" si="8"/>
        <v>-</v>
      </c>
      <c r="P205" s="256" t="str">
        <f t="shared" si="10"/>
        <v>-</v>
      </c>
      <c r="Q205" s="87"/>
      <c r="R205" s="87"/>
    </row>
    <row r="206" spans="3:18" x14ac:dyDescent="0.25">
      <c r="C206" s="233"/>
      <c r="D206" s="249"/>
      <c r="E206" s="236"/>
      <c r="F206" s="268" t="str">
        <f t="shared" si="9"/>
        <v>-</v>
      </c>
      <c r="G206" s="242"/>
      <c r="H206" s="251"/>
      <c r="I206" s="233"/>
      <c r="J206" s="252" t="str">
        <f>IFERROR(MIN('MP Calculations'!$E$29/I206,1),"-")</f>
        <v>-</v>
      </c>
      <c r="K206" s="257"/>
      <c r="L206" s="233"/>
      <c r="M206" s="233"/>
      <c r="N206" s="233"/>
      <c r="O206" s="255" t="str">
        <f t="shared" si="8"/>
        <v>-</v>
      </c>
      <c r="P206" s="256" t="str">
        <f t="shared" si="10"/>
        <v>-</v>
      </c>
      <c r="Q206" s="87"/>
      <c r="R206" s="87"/>
    </row>
    <row r="207" spans="3:18" x14ac:dyDescent="0.25">
      <c r="C207" s="233"/>
      <c r="D207" s="249"/>
      <c r="E207" s="236"/>
      <c r="F207" s="268" t="str">
        <f t="shared" si="9"/>
        <v>-</v>
      </c>
      <c r="G207" s="242"/>
      <c r="H207" s="251"/>
      <c r="I207" s="233"/>
      <c r="J207" s="252" t="str">
        <f>IFERROR(MIN('MP Calculations'!$E$29/I207,1),"-")</f>
        <v>-</v>
      </c>
      <c r="K207" s="257"/>
      <c r="L207" s="233"/>
      <c r="M207" s="233"/>
      <c r="N207" s="233"/>
      <c r="O207" s="255" t="str">
        <f t="shared" si="8"/>
        <v>-</v>
      </c>
      <c r="P207" s="256" t="str">
        <f t="shared" si="10"/>
        <v>-</v>
      </c>
      <c r="Q207" s="87"/>
      <c r="R207" s="87"/>
    </row>
    <row r="208" spans="3:18" x14ac:dyDescent="0.25">
      <c r="C208" s="233"/>
      <c r="D208" s="249"/>
      <c r="E208" s="236"/>
      <c r="F208" s="268" t="str">
        <f t="shared" si="9"/>
        <v>-</v>
      </c>
      <c r="G208" s="242"/>
      <c r="H208" s="251"/>
      <c r="I208" s="233"/>
      <c r="J208" s="252" t="str">
        <f>IFERROR(MIN('MP Calculations'!$E$29/I208,1),"-")</f>
        <v>-</v>
      </c>
      <c r="K208" s="257"/>
      <c r="L208" s="233"/>
      <c r="M208" s="233"/>
      <c r="N208" s="233"/>
      <c r="O208" s="255" t="str">
        <f t="shared" si="8"/>
        <v>-</v>
      </c>
      <c r="P208" s="256" t="str">
        <f t="shared" si="10"/>
        <v>-</v>
      </c>
      <c r="Q208" s="87"/>
      <c r="R208" s="87"/>
    </row>
    <row r="209" spans="3:18" x14ac:dyDescent="0.25">
      <c r="C209" s="233"/>
      <c r="D209" s="249"/>
      <c r="E209" s="236"/>
      <c r="F209" s="268" t="str">
        <f t="shared" si="9"/>
        <v>-</v>
      </c>
      <c r="G209" s="242"/>
      <c r="H209" s="251"/>
      <c r="I209" s="233"/>
      <c r="J209" s="252" t="str">
        <f>IFERROR(MIN('MP Calculations'!$E$29/I209,1),"-")</f>
        <v>-</v>
      </c>
      <c r="K209" s="257"/>
      <c r="L209" s="233"/>
      <c r="M209" s="233"/>
      <c r="N209" s="233"/>
      <c r="O209" s="255" t="str">
        <f t="shared" si="8"/>
        <v>-</v>
      </c>
      <c r="P209" s="256" t="str">
        <f t="shared" si="10"/>
        <v>-</v>
      </c>
      <c r="Q209" s="87"/>
      <c r="R209" s="87"/>
    </row>
    <row r="210" spans="3:18" x14ac:dyDescent="0.25">
      <c r="C210" s="233"/>
      <c r="D210" s="249"/>
      <c r="E210" s="236"/>
      <c r="F210" s="268" t="str">
        <f t="shared" si="9"/>
        <v>-</v>
      </c>
      <c r="G210" s="242"/>
      <c r="H210" s="251"/>
      <c r="I210" s="233"/>
      <c r="J210" s="252" t="str">
        <f>IFERROR(MIN('MP Calculations'!$E$29/I210,1),"-")</f>
        <v>-</v>
      </c>
      <c r="K210" s="257"/>
      <c r="L210" s="233"/>
      <c r="M210" s="233"/>
      <c r="N210" s="233"/>
      <c r="O210" s="255" t="str">
        <f t="shared" si="8"/>
        <v>-</v>
      </c>
      <c r="P210" s="256" t="str">
        <f t="shared" si="10"/>
        <v>-</v>
      </c>
      <c r="Q210" s="87"/>
      <c r="R210" s="87"/>
    </row>
    <row r="211" spans="3:18" x14ac:dyDescent="0.25">
      <c r="C211" s="233"/>
      <c r="D211" s="249"/>
      <c r="E211" s="236"/>
      <c r="F211" s="268" t="str">
        <f t="shared" si="9"/>
        <v>-</v>
      </c>
      <c r="G211" s="242"/>
      <c r="H211" s="251"/>
      <c r="I211" s="233"/>
      <c r="J211" s="252" t="str">
        <f>IFERROR(MIN('MP Calculations'!$E$29/I211,1),"-")</f>
        <v>-</v>
      </c>
      <c r="K211" s="257"/>
      <c r="L211" s="233"/>
      <c r="M211" s="233"/>
      <c r="N211" s="233"/>
      <c r="O211" s="255" t="str">
        <f t="shared" si="8"/>
        <v>-</v>
      </c>
      <c r="P211" s="256" t="str">
        <f t="shared" si="10"/>
        <v>-</v>
      </c>
      <c r="Q211" s="87"/>
      <c r="R211" s="87"/>
    </row>
    <row r="212" spans="3:18" x14ac:dyDescent="0.25">
      <c r="C212" s="233"/>
      <c r="D212" s="249"/>
      <c r="E212" s="236"/>
      <c r="F212" s="268" t="str">
        <f t="shared" si="9"/>
        <v>-</v>
      </c>
      <c r="G212" s="242"/>
      <c r="H212" s="251"/>
      <c r="I212" s="233"/>
      <c r="J212" s="252" t="str">
        <f>IFERROR(MIN('MP Calculations'!$E$29/I212,1),"-")</f>
        <v>-</v>
      </c>
      <c r="K212" s="257"/>
      <c r="L212" s="233"/>
      <c r="M212" s="233"/>
      <c r="N212" s="233"/>
      <c r="O212" s="255" t="str">
        <f t="shared" si="8"/>
        <v>-</v>
      </c>
      <c r="P212" s="256" t="str">
        <f t="shared" si="10"/>
        <v>-</v>
      </c>
      <c r="Q212" s="87"/>
      <c r="R212" s="87"/>
    </row>
    <row r="213" spans="3:18" x14ac:dyDescent="0.25">
      <c r="C213" s="233"/>
      <c r="D213" s="249"/>
      <c r="E213" s="236"/>
      <c r="F213" s="268" t="str">
        <f t="shared" si="9"/>
        <v>-</v>
      </c>
      <c r="G213" s="242"/>
      <c r="H213" s="251"/>
      <c r="I213" s="233"/>
      <c r="J213" s="252" t="str">
        <f>IFERROR(MIN('MP Calculations'!$E$29/I213,1),"-")</f>
        <v>-</v>
      </c>
      <c r="K213" s="257"/>
      <c r="L213" s="233"/>
      <c r="M213" s="233"/>
      <c r="N213" s="233"/>
      <c r="O213" s="255" t="str">
        <f t="shared" si="8"/>
        <v>-</v>
      </c>
      <c r="P213" s="256" t="str">
        <f t="shared" si="10"/>
        <v>-</v>
      </c>
      <c r="Q213" s="87"/>
      <c r="R213" s="87"/>
    </row>
    <row r="214" spans="3:18" x14ac:dyDescent="0.25">
      <c r="C214" s="233"/>
      <c r="D214" s="249"/>
      <c r="E214" s="236"/>
      <c r="F214" s="268" t="str">
        <f t="shared" si="9"/>
        <v>-</v>
      </c>
      <c r="G214" s="242"/>
      <c r="H214" s="251"/>
      <c r="I214" s="233"/>
      <c r="J214" s="252" t="str">
        <f>IFERROR(MIN('MP Calculations'!$E$29/I214,1),"-")</f>
        <v>-</v>
      </c>
      <c r="K214" s="257"/>
      <c r="L214" s="233"/>
      <c r="M214" s="233"/>
      <c r="N214" s="233"/>
      <c r="O214" s="255" t="str">
        <f t="shared" si="8"/>
        <v>-</v>
      </c>
      <c r="P214" s="256" t="str">
        <f t="shared" si="10"/>
        <v>-</v>
      </c>
      <c r="Q214" s="87"/>
      <c r="R214" s="87"/>
    </row>
    <row r="215" spans="3:18" x14ac:dyDescent="0.25">
      <c r="C215" s="233"/>
      <c r="D215" s="249"/>
      <c r="E215" s="236"/>
      <c r="F215" s="268" t="str">
        <f t="shared" si="9"/>
        <v>-</v>
      </c>
      <c r="G215" s="242"/>
      <c r="H215" s="251"/>
      <c r="I215" s="233"/>
      <c r="J215" s="252" t="str">
        <f>IFERROR(MIN('MP Calculations'!$E$29/I215,1),"-")</f>
        <v>-</v>
      </c>
      <c r="K215" s="257"/>
      <c r="L215" s="233"/>
      <c r="M215" s="233"/>
      <c r="N215" s="233"/>
      <c r="O215" s="255" t="str">
        <f t="shared" ref="O215:O218" si="11">IF(N215="","-",L215*N215)</f>
        <v>-</v>
      </c>
      <c r="P215" s="256" t="str">
        <f t="shared" si="10"/>
        <v>-</v>
      </c>
      <c r="Q215" s="87"/>
      <c r="R215" s="87"/>
    </row>
    <row r="216" spans="3:18" x14ac:dyDescent="0.25">
      <c r="C216" s="233"/>
      <c r="D216" s="249"/>
      <c r="E216" s="236"/>
      <c r="F216" s="268" t="str">
        <f t="shared" si="9"/>
        <v>-</v>
      </c>
      <c r="G216" s="242"/>
      <c r="H216" s="251"/>
      <c r="I216" s="233"/>
      <c r="J216" s="252" t="str">
        <f>IFERROR(MIN('MP Calculations'!$E$29/I216,1),"-")</f>
        <v>-</v>
      </c>
      <c r="K216" s="257"/>
      <c r="L216" s="233"/>
      <c r="M216" s="233"/>
      <c r="N216" s="233"/>
      <c r="O216" s="255" t="str">
        <f t="shared" si="11"/>
        <v>-</v>
      </c>
      <c r="P216" s="256" t="str">
        <f t="shared" si="10"/>
        <v>-</v>
      </c>
      <c r="Q216" s="87"/>
      <c r="R216" s="87"/>
    </row>
    <row r="217" spans="3:18" x14ac:dyDescent="0.25">
      <c r="C217" s="233"/>
      <c r="D217" s="249"/>
      <c r="E217" s="236"/>
      <c r="F217" s="268" t="str">
        <f t="shared" si="9"/>
        <v>-</v>
      </c>
      <c r="G217" s="242"/>
      <c r="H217" s="251"/>
      <c r="I217" s="233"/>
      <c r="J217" s="252" t="str">
        <f>IFERROR(MIN('MP Calculations'!$E$29/I217,1),"-")</f>
        <v>-</v>
      </c>
      <c r="K217" s="257"/>
      <c r="L217" s="233"/>
      <c r="M217" s="233"/>
      <c r="N217" s="233"/>
      <c r="O217" s="255" t="str">
        <f t="shared" si="11"/>
        <v>-</v>
      </c>
      <c r="P217" s="256" t="str">
        <f t="shared" si="10"/>
        <v>-</v>
      </c>
      <c r="Q217" s="87"/>
      <c r="R217" s="87"/>
    </row>
    <row r="218" spans="3:18" ht="57.5" x14ac:dyDescent="0.25">
      <c r="C218" s="234"/>
      <c r="D218" s="258" t="str">
        <f ca="1">"Add rows above this point as required and copy formula down.  It is important to add rows above this point as this will ensure the formula on the '"&amp;MID(CELL("filename",'MP Calculations'!$A$1),FIND("]",CELL("filename",'MP Calculations'!$A$1))+1,255)&amp;"' worksheet will incorporate the information included in the additional rows. "</f>
        <v xml:space="preserve">Add rows above this point as required and copy formula down.  It is important to add rows above this point as this will ensure the formula on the 'MP Calculations' worksheet will incorporate the information included in the additional rows. </v>
      </c>
      <c r="E218" s="237"/>
      <c r="F218" s="259" t="str">
        <f t="shared" si="3"/>
        <v>-</v>
      </c>
      <c r="G218" s="242"/>
      <c r="H218" s="260"/>
      <c r="I218" s="261"/>
      <c r="J218" s="262" t="str">
        <f>IFERROR(MIN('MP Calculations'!$E$29/I218,1),"-")</f>
        <v>-</v>
      </c>
      <c r="K218" s="263"/>
      <c r="L218" s="264"/>
      <c r="M218" s="264"/>
      <c r="N218" s="264"/>
      <c r="O218" s="265" t="str">
        <f t="shared" si="11"/>
        <v>-</v>
      </c>
      <c r="P218" s="266" t="str">
        <f t="shared" si="5"/>
        <v>-</v>
      </c>
      <c r="Q218" s="87"/>
      <c r="R218" s="87"/>
    </row>
    <row r="219" spans="3:18" x14ac:dyDescent="0.25">
      <c r="D219" s="140"/>
    </row>
  </sheetData>
  <conditionalFormatting sqref="F22:F218">
    <cfRule type="containsText" dxfId="5" priority="2" operator="containsText" text="ERROR">
      <formula>NOT(ISERROR(SEARCH("ERROR",F22)))</formula>
    </cfRule>
  </conditionalFormatting>
  <conditionalFormatting sqref="J22:J218">
    <cfRule type="cellIs" dxfId="4" priority="1" operator="equal">
      <formula>1</formula>
    </cfRule>
  </conditionalFormatting>
  <hyperlinks>
    <hyperlink ref="E7" location="'Asset exclusions'!A1" display="'Asset exclusions'!A1" xr:uid="{00000000-0004-0000-0600-000000000000}"/>
  </hyperlinks>
  <pageMargins left="0.7" right="0.7" top="0.75" bottom="0.75" header="0.3" footer="0.3"/>
  <pageSetup paperSize="9" orientation="portrait" horizontalDpi="200" verticalDpi="2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7" tint="0.79998168889431442"/>
  </sheetPr>
  <dimension ref="C1:R218"/>
  <sheetViews>
    <sheetView showGridLines="0" workbookViewId="0">
      <pane ySplit="21" topLeftCell="A22" activePane="bottomLeft" state="frozen"/>
      <selection activeCell="A22" sqref="A22"/>
      <selection pane="bottomLeft" activeCell="A22" sqref="A22"/>
    </sheetView>
  </sheetViews>
  <sheetFormatPr defaultRowHeight="11.5" x14ac:dyDescent="0.25"/>
  <cols>
    <col min="1" max="2" width="2.69921875" customWidth="1"/>
    <col min="3" max="3" width="15.69921875" customWidth="1"/>
    <col min="4" max="4" width="49.69921875" customWidth="1"/>
    <col min="5" max="5" width="15.69921875" customWidth="1"/>
    <col min="6" max="6" width="25.8984375" bestFit="1" customWidth="1"/>
    <col min="7" max="7" width="2.69921875" customWidth="1"/>
    <col min="8" max="10" width="15.69921875" customWidth="1"/>
    <col min="11" max="11" width="2.69921875" customWidth="1"/>
    <col min="12" max="13" width="15.69921875" customWidth="1"/>
    <col min="14" max="14" width="18" customWidth="1"/>
    <col min="15" max="16" width="15.69921875" customWidth="1"/>
    <col min="18" max="18" width="9.09765625" customWidth="1"/>
  </cols>
  <sheetData>
    <row r="1" spans="3:18" x14ac:dyDescent="0.25">
      <c r="E1" s="38"/>
    </row>
    <row r="2" spans="3:18" x14ac:dyDescent="0.25">
      <c r="E2" s="38"/>
      <c r="F2" s="38"/>
    </row>
    <row r="3" spans="3:18" ht="20" x14ac:dyDescent="0.4">
      <c r="C3" s="64" t="s">
        <v>206</v>
      </c>
    </row>
    <row r="6" spans="3:18" ht="12" customHeight="1" x14ac:dyDescent="0.25">
      <c r="C6" s="131"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c r="D6" s="87"/>
      <c r="E6" s="87"/>
      <c r="F6" s="87"/>
      <c r="G6" s="87"/>
      <c r="H6" s="87"/>
      <c r="I6" s="87"/>
      <c r="J6" s="87"/>
      <c r="K6" s="87"/>
      <c r="L6" s="87"/>
      <c r="M6" s="87"/>
      <c r="N6" s="87"/>
      <c r="O6" s="87"/>
      <c r="P6" s="87"/>
      <c r="Q6" s="87"/>
      <c r="R6" s="87"/>
    </row>
    <row r="7" spans="3:18" x14ac:dyDescent="0.25">
      <c r="C7" s="187" t="str">
        <f ca="1">"Hyperlink to the '"&amp;MID(CELL("filename",'Asset exclusions'!A1),FIND("]",CELL("filename",'Asset exclusions'!A1))+1,255)&amp;"' worksheet:"</f>
        <v>Hyperlink to the 'Asset exclusions' worksheet:</v>
      </c>
      <c r="E7" s="188" t="s">
        <v>190</v>
      </c>
      <c r="G7" s="87"/>
      <c r="H7" s="87"/>
      <c r="I7" s="87"/>
      <c r="J7" s="87"/>
      <c r="K7" s="87"/>
      <c r="L7" s="87"/>
      <c r="M7" s="87"/>
      <c r="N7" s="87"/>
      <c r="O7" s="87"/>
      <c r="P7" s="87"/>
      <c r="Q7" s="87"/>
      <c r="R7" s="87"/>
    </row>
    <row r="8" spans="3:18" x14ac:dyDescent="0.25">
      <c r="C8" s="187"/>
      <c r="E8" s="188"/>
      <c r="G8" s="87"/>
      <c r="H8" s="87"/>
      <c r="I8" s="87"/>
      <c r="J8" s="87"/>
      <c r="K8" s="87"/>
      <c r="L8" s="87"/>
      <c r="M8" s="87"/>
      <c r="N8" s="87"/>
      <c r="O8" s="87"/>
      <c r="P8" s="87"/>
      <c r="Q8" s="87"/>
      <c r="R8" s="87"/>
    </row>
    <row r="9" spans="3:18" x14ac:dyDescent="0.25">
      <c r="C9" s="187" t="s">
        <v>245</v>
      </c>
      <c r="E9" s="188"/>
      <c r="G9" s="87"/>
      <c r="H9" s="87"/>
      <c r="I9" s="87"/>
      <c r="J9" s="87"/>
      <c r="K9" s="87"/>
      <c r="L9" s="87"/>
      <c r="M9" s="87"/>
      <c r="N9" s="87"/>
      <c r="O9" s="87"/>
      <c r="P9" s="87"/>
      <c r="Q9" s="87"/>
      <c r="R9" s="87"/>
    </row>
    <row r="10" spans="3:18" x14ac:dyDescent="0.25">
      <c r="C10" s="187" t="s">
        <v>248</v>
      </c>
      <c r="E10" s="188"/>
      <c r="G10" s="87"/>
      <c r="H10" s="87"/>
      <c r="I10" s="87"/>
      <c r="J10" s="87"/>
      <c r="K10" s="87"/>
      <c r="L10" s="87"/>
      <c r="M10" s="87"/>
      <c r="N10" s="87"/>
      <c r="O10" s="87"/>
      <c r="P10" s="87"/>
      <c r="Q10" s="87"/>
      <c r="R10" s="87"/>
    </row>
    <row r="11" spans="3:18" x14ac:dyDescent="0.25">
      <c r="C11" s="187" t="s">
        <v>247</v>
      </c>
      <c r="E11" s="188"/>
      <c r="G11" s="87"/>
      <c r="H11" s="87"/>
      <c r="I11" s="87"/>
      <c r="J11" s="87"/>
      <c r="K11" s="87"/>
      <c r="L11" s="87"/>
      <c r="M11" s="87"/>
      <c r="N11" s="87"/>
      <c r="O11" s="87"/>
      <c r="P11" s="87"/>
      <c r="Q11" s="87"/>
      <c r="R11" s="87"/>
    </row>
    <row r="12" spans="3:18" x14ac:dyDescent="0.25">
      <c r="C12" s="187" t="s">
        <v>246</v>
      </c>
      <c r="E12" s="188"/>
      <c r="G12" s="87"/>
      <c r="H12" s="87"/>
      <c r="I12" s="87"/>
      <c r="J12" s="87"/>
      <c r="K12" s="87"/>
      <c r="L12" s="87"/>
      <c r="M12" s="87"/>
      <c r="N12" s="87"/>
      <c r="O12" s="87"/>
      <c r="P12" s="87"/>
      <c r="Q12" s="87"/>
      <c r="R12" s="87"/>
    </row>
    <row r="13" spans="3:18" x14ac:dyDescent="0.25">
      <c r="C13" s="87"/>
      <c r="D13" s="87"/>
      <c r="E13" s="87"/>
      <c r="F13" s="87"/>
      <c r="G13" s="87"/>
      <c r="H13" s="87"/>
      <c r="I13" s="87"/>
      <c r="J13" s="87"/>
      <c r="K13" s="87"/>
      <c r="L13" s="87"/>
      <c r="M13" s="87"/>
      <c r="N13" s="87"/>
      <c r="O13" s="87"/>
      <c r="P13" s="87"/>
      <c r="Q13" s="87"/>
      <c r="R13" s="87"/>
    </row>
    <row r="14" spans="3:18" x14ac:dyDescent="0.25">
      <c r="C14" s="117" t="s">
        <v>55</v>
      </c>
      <c r="D14" s="87"/>
      <c r="E14" s="87"/>
      <c r="F14" s="87"/>
      <c r="G14" s="87"/>
      <c r="H14" s="87"/>
      <c r="I14" s="87"/>
      <c r="J14" s="87"/>
      <c r="K14" s="87"/>
      <c r="L14" s="87"/>
      <c r="M14" s="87"/>
      <c r="N14" s="87"/>
      <c r="O14" s="87"/>
      <c r="P14" s="87"/>
      <c r="Q14" s="87"/>
      <c r="R14" s="87"/>
    </row>
    <row r="15" spans="3:18" x14ac:dyDescent="0.25">
      <c r="C15" s="118" t="s">
        <v>59</v>
      </c>
      <c r="D15" s="87"/>
      <c r="E15" s="122">
        <f>'General inputs'!$H$18+1</f>
        <v>43282</v>
      </c>
      <c r="F15" s="87"/>
      <c r="G15" s="87"/>
      <c r="H15" s="87"/>
      <c r="I15" s="87"/>
      <c r="J15" s="87"/>
      <c r="K15" s="87"/>
      <c r="L15" s="87"/>
      <c r="M15" s="87"/>
      <c r="N15" s="87"/>
      <c r="O15" s="87"/>
      <c r="P15" s="87"/>
      <c r="Q15" s="87"/>
      <c r="R15" s="87"/>
    </row>
    <row r="16" spans="3:18" x14ac:dyDescent="0.25">
      <c r="C16" s="118"/>
      <c r="D16" s="87"/>
      <c r="E16" s="87"/>
      <c r="F16" s="87"/>
      <c r="G16" s="87"/>
      <c r="H16" s="87"/>
      <c r="I16" s="87"/>
      <c r="J16" s="87"/>
      <c r="K16" s="87"/>
      <c r="L16" s="87"/>
      <c r="M16" s="87"/>
      <c r="N16" s="87"/>
      <c r="O16" s="87"/>
      <c r="P16" s="87"/>
      <c r="Q16" s="87"/>
      <c r="R16" s="87"/>
    </row>
    <row r="17" spans="3:18" x14ac:dyDescent="0.25">
      <c r="C17" s="87"/>
      <c r="D17" s="87"/>
      <c r="E17" s="87"/>
      <c r="F17" s="87"/>
      <c r="G17" s="87"/>
      <c r="H17" s="87"/>
      <c r="I17" s="87"/>
      <c r="J17" s="87"/>
      <c r="K17" s="87"/>
      <c r="L17" s="87"/>
      <c r="M17" s="87"/>
      <c r="N17" s="87"/>
      <c r="O17" s="87"/>
      <c r="P17" s="87"/>
      <c r="Q17" s="87"/>
      <c r="R17" s="87"/>
    </row>
    <row r="18" spans="3:18" ht="15.5" x14ac:dyDescent="0.35">
      <c r="C18" s="207" t="s">
        <v>212</v>
      </c>
      <c r="E18" s="87"/>
      <c r="F18" s="87"/>
      <c r="G18" s="87"/>
      <c r="H18" s="87"/>
      <c r="I18" s="87"/>
      <c r="J18" s="87"/>
      <c r="K18" s="87"/>
      <c r="L18" s="87"/>
      <c r="M18" s="87"/>
      <c r="N18" s="87"/>
      <c r="O18" s="87"/>
      <c r="P18" s="87"/>
      <c r="Q18" s="87"/>
      <c r="R18" s="87"/>
    </row>
    <row r="19" spans="3:18" x14ac:dyDescent="0.25">
      <c r="C19" s="87"/>
      <c r="D19" s="87"/>
      <c r="E19" s="87"/>
      <c r="F19" s="87"/>
      <c r="G19" s="87"/>
      <c r="H19" s="87"/>
      <c r="I19" s="87"/>
      <c r="J19" s="87"/>
      <c r="K19" s="87"/>
      <c r="L19" s="87"/>
      <c r="M19" s="87"/>
      <c r="N19" s="87"/>
      <c r="O19" s="87"/>
      <c r="P19" s="87"/>
      <c r="Q19" s="87"/>
      <c r="R19" s="87"/>
    </row>
    <row r="20" spans="3:18" x14ac:dyDescent="0.25">
      <c r="C20" s="117" t="s">
        <v>16</v>
      </c>
      <c r="D20" s="87"/>
      <c r="E20" s="87"/>
      <c r="F20" s="87"/>
      <c r="G20" s="87"/>
      <c r="H20" s="117" t="s">
        <v>17</v>
      </c>
      <c r="I20" s="87"/>
      <c r="J20" s="87"/>
      <c r="K20" s="87"/>
      <c r="L20" s="117" t="s">
        <v>18</v>
      </c>
      <c r="M20" s="117"/>
      <c r="N20" s="87"/>
      <c r="O20" s="87"/>
      <c r="P20" s="87"/>
      <c r="Q20" s="87"/>
      <c r="R20" s="87"/>
    </row>
    <row r="21" spans="3:18" ht="46" x14ac:dyDescent="0.25">
      <c r="C21" s="35" t="s">
        <v>13</v>
      </c>
      <c r="D21" s="35" t="s">
        <v>12</v>
      </c>
      <c r="E21" s="35" t="s">
        <v>14</v>
      </c>
      <c r="F21" s="35" t="s">
        <v>26</v>
      </c>
      <c r="G21" s="87"/>
      <c r="H21" s="35" t="s">
        <v>31</v>
      </c>
      <c r="I21" s="35" t="s">
        <v>91</v>
      </c>
      <c r="J21" s="35" t="s">
        <v>89</v>
      </c>
      <c r="K21" s="87"/>
      <c r="L21" s="35" t="s">
        <v>90</v>
      </c>
      <c r="M21" s="35" t="s">
        <v>116</v>
      </c>
      <c r="N21" s="35" t="str">
        <f>"MEERA value per unit/measure of length (B) 
("&amp;'General inputs'!$H$42&amp;" as at 1 July "&amp;LEFT('General inputs'!$I$40,4)&amp;")"</f>
        <v>MEERA value per unit/measure of length (B) 
($ as at 1 July 2018)</v>
      </c>
      <c r="O21" s="35" t="str">
        <f>"Total MEERA value (A x B)
("&amp;'General inputs'!$H$42&amp;", $"&amp;'General inputs'!$I$40&amp;")"</f>
        <v>Total MEERA value (A x B)
($, $2018-19)</v>
      </c>
      <c r="P21" s="35" t="str">
        <f>"MEERA value to be recovered via DSP ("&amp;'General inputs'!$H$42&amp;", $"&amp;'General inputs'!$I$40&amp;")"</f>
        <v>MEERA value to be recovered via DSP ($, $2018-19)</v>
      </c>
      <c r="Q21" s="87"/>
      <c r="R21" s="87"/>
    </row>
    <row r="22" spans="3:18" ht="23" x14ac:dyDescent="0.25">
      <c r="C22" s="232">
        <v>123460</v>
      </c>
      <c r="D22" s="240" t="s">
        <v>281</v>
      </c>
      <c r="E22" s="235">
        <v>43282</v>
      </c>
      <c r="F22" s="241" t="str">
        <f>IF(E22="","-",IF(E22&lt;$E$15,"ERROR - date outside of range",IF(MONTH(E22)&gt;=7,YEAR(E22)&amp;"-"&amp;RIGHT(YEAR(E22),2)+1,YEAR(E22)-1&amp;"-"&amp;RIGHT(YEAR(E22),2))))</f>
        <v>2018-19</v>
      </c>
      <c r="G22" s="242"/>
      <c r="H22" s="243" t="s">
        <v>282</v>
      </c>
      <c r="I22" s="232">
        <v>30000</v>
      </c>
      <c r="J22" s="244">
        <f>IFERROR(MIN('MP Calculations'!$E$29/I22,1),"-")</f>
        <v>0.44466666666666665</v>
      </c>
      <c r="K22" s="257"/>
      <c r="L22" s="232">
        <v>15000</v>
      </c>
      <c r="M22" s="232" t="s">
        <v>285</v>
      </c>
      <c r="N22" s="232">
        <v>1000</v>
      </c>
      <c r="O22" s="247">
        <f>IF(N22="","-",L22*N22)</f>
        <v>15000000</v>
      </c>
      <c r="P22" s="248">
        <f>IF(O22="-","-",IF(E22&lt;$E$15,0,O22*J22))</f>
        <v>6670000</v>
      </c>
      <c r="Q22" s="87"/>
      <c r="R22" s="87"/>
    </row>
    <row r="23" spans="3:18" ht="23" x14ac:dyDescent="0.25">
      <c r="C23" s="233">
        <v>123461</v>
      </c>
      <c r="D23" s="249" t="s">
        <v>277</v>
      </c>
      <c r="E23" s="236">
        <v>45839</v>
      </c>
      <c r="F23" s="250" t="str">
        <f t="shared" ref="F23:F86" si="0">IF(E23="","-",IF(E23&lt;$E$15,"ERROR - date outside of range",IF(MONTH(E23)&gt;=7,YEAR(E23)&amp;"-"&amp;RIGHT(YEAR(E23),2)+1,YEAR(E23)-1&amp;"-"&amp;RIGHT(YEAR(E23),2))))</f>
        <v>2025-26</v>
      </c>
      <c r="G23" s="242"/>
      <c r="H23" s="251" t="s">
        <v>283</v>
      </c>
      <c r="I23" s="233">
        <v>13340</v>
      </c>
      <c r="J23" s="252">
        <f>IFERROR(MIN('MP Calculations'!$E$29/I23,1),"-")</f>
        <v>1</v>
      </c>
      <c r="K23" s="257"/>
      <c r="L23" s="270">
        <v>1</v>
      </c>
      <c r="M23" s="251" t="s">
        <v>284</v>
      </c>
      <c r="N23" s="269">
        <v>5000000</v>
      </c>
      <c r="O23" s="255">
        <f t="shared" ref="O23:O86" si="1">IF(N23="","-",L23*N23)</f>
        <v>5000000</v>
      </c>
      <c r="P23" s="256">
        <f t="shared" ref="P23:P86" si="2">IF(O23="-","-",IF(E23&lt;$E$15,0,O23*J23))</f>
        <v>5000000</v>
      </c>
      <c r="Q23" s="87"/>
      <c r="R23" s="121"/>
    </row>
    <row r="24" spans="3:18" x14ac:dyDescent="0.25">
      <c r="C24" s="233"/>
      <c r="D24" s="249"/>
      <c r="E24" s="236"/>
      <c r="F24" s="250" t="str">
        <f t="shared" si="0"/>
        <v>-</v>
      </c>
      <c r="G24" s="242"/>
      <c r="H24" s="271"/>
      <c r="I24" s="233"/>
      <c r="J24" s="252" t="str">
        <f>IFERROR(MIN('MP Calculations'!$E$29/I24,1),"-")</f>
        <v>-</v>
      </c>
      <c r="K24" s="257"/>
      <c r="L24" s="233"/>
      <c r="M24" s="233"/>
      <c r="N24" s="233"/>
      <c r="O24" s="255" t="str">
        <f t="shared" si="1"/>
        <v>-</v>
      </c>
      <c r="P24" s="256" t="str">
        <f t="shared" si="2"/>
        <v>-</v>
      </c>
      <c r="Q24" s="87"/>
      <c r="R24" s="87"/>
    </row>
    <row r="25" spans="3:18" x14ac:dyDescent="0.25">
      <c r="C25" s="233"/>
      <c r="D25" s="249"/>
      <c r="E25" s="236"/>
      <c r="F25" s="250" t="str">
        <f t="shared" si="0"/>
        <v>-</v>
      </c>
      <c r="G25" s="242"/>
      <c r="H25" s="271"/>
      <c r="I25" s="233"/>
      <c r="J25" s="252" t="str">
        <f>IFERROR(MIN('MP Calculations'!$E$29/I25,1),"-")</f>
        <v>-</v>
      </c>
      <c r="K25" s="257"/>
      <c r="L25" s="233"/>
      <c r="M25" s="233"/>
      <c r="N25" s="233"/>
      <c r="O25" s="255" t="str">
        <f t="shared" si="1"/>
        <v>-</v>
      </c>
      <c r="P25" s="256" t="str">
        <f t="shared" si="2"/>
        <v>-</v>
      </c>
      <c r="Q25" s="87"/>
      <c r="R25" s="87"/>
    </row>
    <row r="26" spans="3:18" x14ac:dyDescent="0.25">
      <c r="C26" s="233"/>
      <c r="D26" s="249"/>
      <c r="E26" s="236"/>
      <c r="F26" s="250" t="str">
        <f t="shared" si="0"/>
        <v>-</v>
      </c>
      <c r="G26" s="242"/>
      <c r="H26" s="271"/>
      <c r="I26" s="233"/>
      <c r="J26" s="252" t="str">
        <f>IFERROR(MIN('MP Calculations'!$E$29/I26,1),"-")</f>
        <v>-</v>
      </c>
      <c r="K26" s="257"/>
      <c r="L26" s="233"/>
      <c r="M26" s="233"/>
      <c r="N26" s="233"/>
      <c r="O26" s="255" t="str">
        <f t="shared" si="1"/>
        <v>-</v>
      </c>
      <c r="P26" s="256" t="str">
        <f t="shared" si="2"/>
        <v>-</v>
      </c>
      <c r="Q26" s="87"/>
      <c r="R26" s="87"/>
    </row>
    <row r="27" spans="3:18" x14ac:dyDescent="0.25">
      <c r="C27" s="233"/>
      <c r="D27" s="249"/>
      <c r="E27" s="236"/>
      <c r="F27" s="250" t="str">
        <f t="shared" si="0"/>
        <v>-</v>
      </c>
      <c r="G27" s="242"/>
      <c r="H27" s="271"/>
      <c r="I27" s="233"/>
      <c r="J27" s="252" t="str">
        <f>IFERROR(MIN('MP Calculations'!$E$29/I27,1),"-")</f>
        <v>-</v>
      </c>
      <c r="K27" s="257"/>
      <c r="L27" s="233"/>
      <c r="M27" s="233"/>
      <c r="N27" s="233"/>
      <c r="O27" s="255" t="str">
        <f t="shared" si="1"/>
        <v>-</v>
      </c>
      <c r="P27" s="256" t="str">
        <f t="shared" si="2"/>
        <v>-</v>
      </c>
      <c r="Q27" s="87"/>
      <c r="R27" s="87"/>
    </row>
    <row r="28" spans="3:18" x14ac:dyDescent="0.25">
      <c r="C28" s="233"/>
      <c r="D28" s="249"/>
      <c r="E28" s="236"/>
      <c r="F28" s="250" t="str">
        <f t="shared" si="0"/>
        <v>-</v>
      </c>
      <c r="G28" s="242"/>
      <c r="H28" s="271"/>
      <c r="I28" s="233"/>
      <c r="J28" s="252" t="str">
        <f>IFERROR(MIN('MP Calculations'!$E$29/I28,1),"-")</f>
        <v>-</v>
      </c>
      <c r="K28" s="257"/>
      <c r="L28" s="233"/>
      <c r="M28" s="233"/>
      <c r="N28" s="233"/>
      <c r="O28" s="255" t="str">
        <f t="shared" si="1"/>
        <v>-</v>
      </c>
      <c r="P28" s="256" t="str">
        <f t="shared" si="2"/>
        <v>-</v>
      </c>
      <c r="Q28" s="87"/>
      <c r="R28" s="87"/>
    </row>
    <row r="29" spans="3:18" x14ac:dyDescent="0.25">
      <c r="C29" s="233"/>
      <c r="D29" s="249"/>
      <c r="E29" s="236"/>
      <c r="F29" s="250" t="str">
        <f t="shared" si="0"/>
        <v>-</v>
      </c>
      <c r="G29" s="242"/>
      <c r="H29" s="271"/>
      <c r="I29" s="233"/>
      <c r="J29" s="252" t="str">
        <f>IFERROR(MIN('MP Calculations'!$E$29/I29,1),"-")</f>
        <v>-</v>
      </c>
      <c r="K29" s="257"/>
      <c r="L29" s="233"/>
      <c r="M29" s="233"/>
      <c r="N29" s="233"/>
      <c r="O29" s="255" t="str">
        <f t="shared" si="1"/>
        <v>-</v>
      </c>
      <c r="P29" s="256" t="str">
        <f t="shared" si="2"/>
        <v>-</v>
      </c>
      <c r="Q29" s="87"/>
      <c r="R29" s="87"/>
    </row>
    <row r="30" spans="3:18" x14ac:dyDescent="0.25">
      <c r="C30" s="233"/>
      <c r="D30" s="249"/>
      <c r="E30" s="236"/>
      <c r="F30" s="250" t="str">
        <f t="shared" si="0"/>
        <v>-</v>
      </c>
      <c r="G30" s="242"/>
      <c r="H30" s="271"/>
      <c r="I30" s="233"/>
      <c r="J30" s="252" t="str">
        <f>IFERROR(MIN('MP Calculations'!$E$29/I30,1),"-")</f>
        <v>-</v>
      </c>
      <c r="K30" s="257"/>
      <c r="L30" s="233"/>
      <c r="M30" s="233"/>
      <c r="N30" s="233"/>
      <c r="O30" s="255" t="str">
        <f t="shared" si="1"/>
        <v>-</v>
      </c>
      <c r="P30" s="256" t="str">
        <f t="shared" si="2"/>
        <v>-</v>
      </c>
      <c r="Q30" s="87"/>
      <c r="R30" s="87"/>
    </row>
    <row r="31" spans="3:18" x14ac:dyDescent="0.25">
      <c r="C31" s="233"/>
      <c r="D31" s="249"/>
      <c r="E31" s="236"/>
      <c r="F31" s="250" t="str">
        <f t="shared" si="0"/>
        <v>-</v>
      </c>
      <c r="G31" s="242"/>
      <c r="H31" s="271"/>
      <c r="I31" s="233"/>
      <c r="J31" s="252" t="str">
        <f>IFERROR(MIN('MP Calculations'!$E$29/I31,1),"-")</f>
        <v>-</v>
      </c>
      <c r="K31" s="257"/>
      <c r="L31" s="233"/>
      <c r="M31" s="233"/>
      <c r="N31" s="233"/>
      <c r="O31" s="255" t="str">
        <f t="shared" si="1"/>
        <v>-</v>
      </c>
      <c r="P31" s="256" t="str">
        <f t="shared" si="2"/>
        <v>-</v>
      </c>
      <c r="Q31" s="87"/>
      <c r="R31" s="87"/>
    </row>
    <row r="32" spans="3:18" x14ac:dyDescent="0.25">
      <c r="C32" s="233"/>
      <c r="D32" s="249"/>
      <c r="E32" s="236"/>
      <c r="F32" s="250" t="str">
        <f t="shared" si="0"/>
        <v>-</v>
      </c>
      <c r="G32" s="242"/>
      <c r="H32" s="271"/>
      <c r="I32" s="233"/>
      <c r="J32" s="252" t="str">
        <f>IFERROR(MIN('MP Calculations'!$E$29/I32,1),"-")</f>
        <v>-</v>
      </c>
      <c r="K32" s="257"/>
      <c r="L32" s="233"/>
      <c r="M32" s="233"/>
      <c r="N32" s="233"/>
      <c r="O32" s="255" t="str">
        <f t="shared" si="1"/>
        <v>-</v>
      </c>
      <c r="P32" s="256" t="str">
        <f t="shared" si="2"/>
        <v>-</v>
      </c>
      <c r="Q32" s="87"/>
      <c r="R32" s="87"/>
    </row>
    <row r="33" spans="3:18" x14ac:dyDescent="0.25">
      <c r="C33" s="233"/>
      <c r="D33" s="249"/>
      <c r="E33" s="236"/>
      <c r="F33" s="250" t="str">
        <f t="shared" si="0"/>
        <v>-</v>
      </c>
      <c r="G33" s="242"/>
      <c r="H33" s="271"/>
      <c r="I33" s="233"/>
      <c r="J33" s="252" t="str">
        <f>IFERROR(MIN('MP Calculations'!$E$29/I33,1),"-")</f>
        <v>-</v>
      </c>
      <c r="K33" s="257"/>
      <c r="L33" s="233"/>
      <c r="M33" s="233"/>
      <c r="N33" s="233"/>
      <c r="O33" s="255" t="str">
        <f t="shared" si="1"/>
        <v>-</v>
      </c>
      <c r="P33" s="256" t="str">
        <f t="shared" si="2"/>
        <v>-</v>
      </c>
      <c r="Q33" s="87"/>
      <c r="R33" s="87"/>
    </row>
    <row r="34" spans="3:18" x14ac:dyDescent="0.25">
      <c r="C34" s="233"/>
      <c r="D34" s="249"/>
      <c r="E34" s="236"/>
      <c r="F34" s="250" t="str">
        <f t="shared" si="0"/>
        <v>-</v>
      </c>
      <c r="G34" s="242"/>
      <c r="H34" s="271"/>
      <c r="I34" s="233"/>
      <c r="J34" s="252" t="str">
        <f>IFERROR(MIN('MP Calculations'!$E$29/I34,1),"-")</f>
        <v>-</v>
      </c>
      <c r="K34" s="257"/>
      <c r="L34" s="233"/>
      <c r="M34" s="233"/>
      <c r="N34" s="233"/>
      <c r="O34" s="255" t="str">
        <f t="shared" si="1"/>
        <v>-</v>
      </c>
      <c r="P34" s="256" t="str">
        <f t="shared" si="2"/>
        <v>-</v>
      </c>
      <c r="Q34" s="87"/>
      <c r="R34" s="87"/>
    </row>
    <row r="35" spans="3:18" x14ac:dyDescent="0.25">
      <c r="C35" s="233"/>
      <c r="D35" s="249"/>
      <c r="E35" s="236"/>
      <c r="F35" s="250" t="str">
        <f t="shared" si="0"/>
        <v>-</v>
      </c>
      <c r="G35" s="242"/>
      <c r="H35" s="271"/>
      <c r="I35" s="233"/>
      <c r="J35" s="252" t="str">
        <f>IFERROR(MIN('MP Calculations'!$E$29/I35,1),"-")</f>
        <v>-</v>
      </c>
      <c r="K35" s="257"/>
      <c r="L35" s="233"/>
      <c r="M35" s="233"/>
      <c r="N35" s="233"/>
      <c r="O35" s="255" t="str">
        <f t="shared" si="1"/>
        <v>-</v>
      </c>
      <c r="P35" s="256" t="str">
        <f t="shared" si="2"/>
        <v>-</v>
      </c>
      <c r="Q35" s="87"/>
      <c r="R35" s="87"/>
    </row>
    <row r="36" spans="3:18" x14ac:dyDescent="0.25">
      <c r="C36" s="233"/>
      <c r="D36" s="249"/>
      <c r="E36" s="236"/>
      <c r="F36" s="250" t="str">
        <f t="shared" si="0"/>
        <v>-</v>
      </c>
      <c r="G36" s="242"/>
      <c r="H36" s="271"/>
      <c r="I36" s="233"/>
      <c r="J36" s="252" t="str">
        <f>IFERROR(MIN('MP Calculations'!$E$29/I36,1),"-")</f>
        <v>-</v>
      </c>
      <c r="K36" s="257"/>
      <c r="L36" s="233"/>
      <c r="M36" s="233"/>
      <c r="N36" s="233"/>
      <c r="O36" s="255" t="str">
        <f t="shared" si="1"/>
        <v>-</v>
      </c>
      <c r="P36" s="256" t="str">
        <f t="shared" si="2"/>
        <v>-</v>
      </c>
      <c r="Q36" s="87"/>
      <c r="R36" s="87"/>
    </row>
    <row r="37" spans="3:18" x14ac:dyDescent="0.25">
      <c r="C37" s="233"/>
      <c r="D37" s="249"/>
      <c r="E37" s="236"/>
      <c r="F37" s="250" t="str">
        <f t="shared" si="0"/>
        <v>-</v>
      </c>
      <c r="G37" s="242"/>
      <c r="H37" s="271"/>
      <c r="I37" s="233"/>
      <c r="J37" s="252" t="str">
        <f>IFERROR(MIN('MP Calculations'!$E$29/I37,1),"-")</f>
        <v>-</v>
      </c>
      <c r="K37" s="257"/>
      <c r="L37" s="233"/>
      <c r="M37" s="233"/>
      <c r="N37" s="233"/>
      <c r="O37" s="255" t="str">
        <f t="shared" si="1"/>
        <v>-</v>
      </c>
      <c r="P37" s="256" t="str">
        <f t="shared" si="2"/>
        <v>-</v>
      </c>
      <c r="Q37" s="87"/>
      <c r="R37" s="87"/>
    </row>
    <row r="38" spans="3:18" x14ac:dyDescent="0.25">
      <c r="C38" s="233"/>
      <c r="D38" s="249"/>
      <c r="E38" s="236"/>
      <c r="F38" s="250" t="str">
        <f t="shared" si="0"/>
        <v>-</v>
      </c>
      <c r="G38" s="242"/>
      <c r="H38" s="271"/>
      <c r="I38" s="233"/>
      <c r="J38" s="252" t="str">
        <f>IFERROR(MIN('MP Calculations'!$E$29/I38,1),"-")</f>
        <v>-</v>
      </c>
      <c r="K38" s="257"/>
      <c r="L38" s="233"/>
      <c r="M38" s="233"/>
      <c r="N38" s="233"/>
      <c r="O38" s="255" t="str">
        <f t="shared" si="1"/>
        <v>-</v>
      </c>
      <c r="P38" s="256" t="str">
        <f t="shared" si="2"/>
        <v>-</v>
      </c>
      <c r="Q38" s="87"/>
      <c r="R38" s="87"/>
    </row>
    <row r="39" spans="3:18" x14ac:dyDescent="0.25">
      <c r="C39" s="233"/>
      <c r="D39" s="249"/>
      <c r="E39" s="236"/>
      <c r="F39" s="250" t="str">
        <f t="shared" si="0"/>
        <v>-</v>
      </c>
      <c r="G39" s="242"/>
      <c r="H39" s="271"/>
      <c r="I39" s="233"/>
      <c r="J39" s="252" t="str">
        <f>IFERROR(MIN('MP Calculations'!$E$29/I39,1),"-")</f>
        <v>-</v>
      </c>
      <c r="K39" s="257"/>
      <c r="L39" s="233"/>
      <c r="M39" s="233"/>
      <c r="N39" s="233"/>
      <c r="O39" s="255" t="str">
        <f t="shared" si="1"/>
        <v>-</v>
      </c>
      <c r="P39" s="256" t="str">
        <f t="shared" si="2"/>
        <v>-</v>
      </c>
      <c r="Q39" s="87"/>
      <c r="R39" s="87"/>
    </row>
    <row r="40" spans="3:18" x14ac:dyDescent="0.25">
      <c r="C40" s="233"/>
      <c r="D40" s="249"/>
      <c r="E40" s="236"/>
      <c r="F40" s="250" t="str">
        <f t="shared" si="0"/>
        <v>-</v>
      </c>
      <c r="G40" s="242"/>
      <c r="H40" s="271"/>
      <c r="I40" s="233"/>
      <c r="J40" s="252" t="str">
        <f>IFERROR(MIN('MP Calculations'!$E$29/I40,1),"-")</f>
        <v>-</v>
      </c>
      <c r="K40" s="257"/>
      <c r="L40" s="233"/>
      <c r="M40" s="233"/>
      <c r="N40" s="233"/>
      <c r="O40" s="255" t="str">
        <f t="shared" si="1"/>
        <v>-</v>
      </c>
      <c r="P40" s="256" t="str">
        <f t="shared" si="2"/>
        <v>-</v>
      </c>
      <c r="Q40" s="87"/>
      <c r="R40" s="87"/>
    </row>
    <row r="41" spans="3:18" x14ac:dyDescent="0.25">
      <c r="C41" s="233"/>
      <c r="D41" s="249"/>
      <c r="E41" s="236"/>
      <c r="F41" s="250" t="str">
        <f t="shared" si="0"/>
        <v>-</v>
      </c>
      <c r="G41" s="242"/>
      <c r="H41" s="271"/>
      <c r="I41" s="233"/>
      <c r="J41" s="252" t="str">
        <f>IFERROR(MIN('MP Calculations'!$E$29/I41,1),"-")</f>
        <v>-</v>
      </c>
      <c r="K41" s="257"/>
      <c r="L41" s="233"/>
      <c r="M41" s="233"/>
      <c r="N41" s="233"/>
      <c r="O41" s="255" t="str">
        <f t="shared" si="1"/>
        <v>-</v>
      </c>
      <c r="P41" s="256" t="str">
        <f t="shared" si="2"/>
        <v>-</v>
      </c>
      <c r="Q41" s="87"/>
      <c r="R41" s="87"/>
    </row>
    <row r="42" spans="3:18" x14ac:dyDescent="0.25">
      <c r="C42" s="233"/>
      <c r="D42" s="249"/>
      <c r="E42" s="236"/>
      <c r="F42" s="250" t="str">
        <f t="shared" si="0"/>
        <v>-</v>
      </c>
      <c r="G42" s="242"/>
      <c r="H42" s="271"/>
      <c r="I42" s="233"/>
      <c r="J42" s="252" t="str">
        <f>IFERROR(MIN('MP Calculations'!$E$29/I42,1),"-")</f>
        <v>-</v>
      </c>
      <c r="K42" s="257"/>
      <c r="L42" s="233"/>
      <c r="M42" s="233"/>
      <c r="N42" s="233"/>
      <c r="O42" s="255" t="str">
        <f t="shared" si="1"/>
        <v>-</v>
      </c>
      <c r="P42" s="256" t="str">
        <f t="shared" si="2"/>
        <v>-</v>
      </c>
      <c r="Q42" s="87"/>
      <c r="R42" s="87"/>
    </row>
    <row r="43" spans="3:18" x14ac:dyDescent="0.25">
      <c r="C43" s="233"/>
      <c r="D43" s="249"/>
      <c r="E43" s="236"/>
      <c r="F43" s="250" t="str">
        <f t="shared" si="0"/>
        <v>-</v>
      </c>
      <c r="G43" s="242"/>
      <c r="H43" s="271"/>
      <c r="I43" s="233"/>
      <c r="J43" s="252" t="str">
        <f>IFERROR(MIN('MP Calculations'!$E$29/I43,1),"-")</f>
        <v>-</v>
      </c>
      <c r="K43" s="257"/>
      <c r="L43" s="233"/>
      <c r="M43" s="233"/>
      <c r="N43" s="233"/>
      <c r="O43" s="255" t="str">
        <f t="shared" si="1"/>
        <v>-</v>
      </c>
      <c r="P43" s="256" t="str">
        <f t="shared" si="2"/>
        <v>-</v>
      </c>
      <c r="Q43" s="87"/>
      <c r="R43" s="87"/>
    </row>
    <row r="44" spans="3:18" x14ac:dyDescent="0.25">
      <c r="C44" s="233"/>
      <c r="D44" s="249"/>
      <c r="E44" s="236"/>
      <c r="F44" s="250" t="str">
        <f t="shared" si="0"/>
        <v>-</v>
      </c>
      <c r="G44" s="242"/>
      <c r="H44" s="271"/>
      <c r="I44" s="233"/>
      <c r="J44" s="252" t="str">
        <f>IFERROR(MIN('MP Calculations'!$E$29/I44,1),"-")</f>
        <v>-</v>
      </c>
      <c r="K44" s="257"/>
      <c r="L44" s="233"/>
      <c r="M44" s="233"/>
      <c r="N44" s="233"/>
      <c r="O44" s="255" t="str">
        <f t="shared" si="1"/>
        <v>-</v>
      </c>
      <c r="P44" s="256" t="str">
        <f t="shared" si="2"/>
        <v>-</v>
      </c>
      <c r="Q44" s="87"/>
      <c r="R44" s="87"/>
    </row>
    <row r="45" spans="3:18" x14ac:dyDescent="0.25">
      <c r="C45" s="233"/>
      <c r="D45" s="249"/>
      <c r="E45" s="236"/>
      <c r="F45" s="250" t="str">
        <f t="shared" si="0"/>
        <v>-</v>
      </c>
      <c r="G45" s="242"/>
      <c r="H45" s="271"/>
      <c r="I45" s="233"/>
      <c r="J45" s="252" t="str">
        <f>IFERROR(MIN('MP Calculations'!$E$29/I45,1),"-")</f>
        <v>-</v>
      </c>
      <c r="K45" s="257"/>
      <c r="L45" s="233"/>
      <c r="M45" s="233"/>
      <c r="N45" s="233"/>
      <c r="O45" s="255" t="str">
        <f t="shared" si="1"/>
        <v>-</v>
      </c>
      <c r="P45" s="256" t="str">
        <f t="shared" si="2"/>
        <v>-</v>
      </c>
      <c r="Q45" s="87"/>
      <c r="R45" s="87"/>
    </row>
    <row r="46" spans="3:18" x14ac:dyDescent="0.25">
      <c r="C46" s="233"/>
      <c r="D46" s="249"/>
      <c r="E46" s="236"/>
      <c r="F46" s="250" t="str">
        <f t="shared" si="0"/>
        <v>-</v>
      </c>
      <c r="G46" s="242"/>
      <c r="H46" s="271"/>
      <c r="I46" s="233"/>
      <c r="J46" s="252" t="str">
        <f>IFERROR(MIN('MP Calculations'!$E$29/I46,1),"-")</f>
        <v>-</v>
      </c>
      <c r="K46" s="257"/>
      <c r="L46" s="233"/>
      <c r="M46" s="233"/>
      <c r="N46" s="233"/>
      <c r="O46" s="255" t="str">
        <f t="shared" si="1"/>
        <v>-</v>
      </c>
      <c r="P46" s="256" t="str">
        <f t="shared" si="2"/>
        <v>-</v>
      </c>
      <c r="Q46" s="87"/>
      <c r="R46" s="87"/>
    </row>
    <row r="47" spans="3:18" x14ac:dyDescent="0.25">
      <c r="C47" s="233"/>
      <c r="D47" s="249"/>
      <c r="E47" s="236"/>
      <c r="F47" s="250" t="str">
        <f t="shared" si="0"/>
        <v>-</v>
      </c>
      <c r="G47" s="242"/>
      <c r="H47" s="271"/>
      <c r="I47" s="233"/>
      <c r="J47" s="252" t="str">
        <f>IFERROR(MIN('MP Calculations'!$E$29/I47,1),"-")</f>
        <v>-</v>
      </c>
      <c r="K47" s="257"/>
      <c r="L47" s="233"/>
      <c r="M47" s="233"/>
      <c r="N47" s="233"/>
      <c r="O47" s="255" t="str">
        <f t="shared" si="1"/>
        <v>-</v>
      </c>
      <c r="P47" s="256" t="str">
        <f t="shared" si="2"/>
        <v>-</v>
      </c>
      <c r="Q47" s="87"/>
      <c r="R47" s="87"/>
    </row>
    <row r="48" spans="3:18" x14ac:dyDescent="0.25">
      <c r="C48" s="233"/>
      <c r="D48" s="249"/>
      <c r="E48" s="236"/>
      <c r="F48" s="250" t="str">
        <f t="shared" si="0"/>
        <v>-</v>
      </c>
      <c r="G48" s="242"/>
      <c r="H48" s="271"/>
      <c r="I48" s="233"/>
      <c r="J48" s="252" t="str">
        <f>IFERROR(MIN('MP Calculations'!$E$29/I48,1),"-")</f>
        <v>-</v>
      </c>
      <c r="K48" s="257"/>
      <c r="L48" s="233"/>
      <c r="M48" s="233"/>
      <c r="N48" s="233"/>
      <c r="O48" s="255" t="str">
        <f t="shared" si="1"/>
        <v>-</v>
      </c>
      <c r="P48" s="256" t="str">
        <f t="shared" si="2"/>
        <v>-</v>
      </c>
      <c r="Q48" s="87"/>
      <c r="R48" s="87"/>
    </row>
    <row r="49" spans="3:18" x14ac:dyDescent="0.25">
      <c r="C49" s="233"/>
      <c r="D49" s="249"/>
      <c r="E49" s="236"/>
      <c r="F49" s="250" t="str">
        <f t="shared" si="0"/>
        <v>-</v>
      </c>
      <c r="G49" s="242"/>
      <c r="H49" s="271"/>
      <c r="I49" s="233"/>
      <c r="J49" s="252" t="str">
        <f>IFERROR(MIN('MP Calculations'!$E$29/I49,1),"-")</f>
        <v>-</v>
      </c>
      <c r="K49" s="257"/>
      <c r="L49" s="233"/>
      <c r="M49" s="233"/>
      <c r="N49" s="233"/>
      <c r="O49" s="255" t="str">
        <f t="shared" si="1"/>
        <v>-</v>
      </c>
      <c r="P49" s="256" t="str">
        <f t="shared" si="2"/>
        <v>-</v>
      </c>
      <c r="Q49" s="87"/>
      <c r="R49" s="87"/>
    </row>
    <row r="50" spans="3:18" x14ac:dyDescent="0.25">
      <c r="C50" s="233"/>
      <c r="D50" s="249"/>
      <c r="E50" s="236"/>
      <c r="F50" s="250" t="str">
        <f t="shared" si="0"/>
        <v>-</v>
      </c>
      <c r="G50" s="242"/>
      <c r="H50" s="271"/>
      <c r="I50" s="233"/>
      <c r="J50" s="252" t="str">
        <f>IFERROR(MIN('MP Calculations'!$E$29/I50,1),"-")</f>
        <v>-</v>
      </c>
      <c r="K50" s="257"/>
      <c r="L50" s="233"/>
      <c r="M50" s="233"/>
      <c r="N50" s="233"/>
      <c r="O50" s="255" t="str">
        <f t="shared" si="1"/>
        <v>-</v>
      </c>
      <c r="P50" s="256" t="str">
        <f t="shared" si="2"/>
        <v>-</v>
      </c>
      <c r="Q50" s="87"/>
      <c r="R50" s="87"/>
    </row>
    <row r="51" spans="3:18" x14ac:dyDescent="0.25">
      <c r="C51" s="233"/>
      <c r="D51" s="249"/>
      <c r="E51" s="236"/>
      <c r="F51" s="250" t="str">
        <f t="shared" si="0"/>
        <v>-</v>
      </c>
      <c r="G51" s="242"/>
      <c r="H51" s="271"/>
      <c r="I51" s="233"/>
      <c r="J51" s="252" t="str">
        <f>IFERROR(MIN('MP Calculations'!$E$29/I51,1),"-")</f>
        <v>-</v>
      </c>
      <c r="K51" s="257"/>
      <c r="L51" s="233"/>
      <c r="M51" s="233"/>
      <c r="N51" s="233"/>
      <c r="O51" s="255" t="str">
        <f t="shared" si="1"/>
        <v>-</v>
      </c>
      <c r="P51" s="256" t="str">
        <f t="shared" si="2"/>
        <v>-</v>
      </c>
      <c r="Q51" s="87"/>
      <c r="R51" s="87"/>
    </row>
    <row r="52" spans="3:18" x14ac:dyDescent="0.25">
      <c r="C52" s="233"/>
      <c r="D52" s="249"/>
      <c r="E52" s="236"/>
      <c r="F52" s="250" t="str">
        <f t="shared" si="0"/>
        <v>-</v>
      </c>
      <c r="G52" s="242"/>
      <c r="H52" s="271"/>
      <c r="I52" s="233"/>
      <c r="J52" s="252" t="str">
        <f>IFERROR(MIN('MP Calculations'!$E$29/I52,1),"-")</f>
        <v>-</v>
      </c>
      <c r="K52" s="257"/>
      <c r="L52" s="233"/>
      <c r="M52" s="233"/>
      <c r="N52" s="233"/>
      <c r="O52" s="255" t="str">
        <f t="shared" si="1"/>
        <v>-</v>
      </c>
      <c r="P52" s="256" t="str">
        <f t="shared" si="2"/>
        <v>-</v>
      </c>
      <c r="Q52" s="87"/>
      <c r="R52" s="87"/>
    </row>
    <row r="53" spans="3:18" x14ac:dyDescent="0.25">
      <c r="C53" s="233"/>
      <c r="D53" s="249"/>
      <c r="E53" s="236"/>
      <c r="F53" s="250" t="str">
        <f t="shared" si="0"/>
        <v>-</v>
      </c>
      <c r="G53" s="242"/>
      <c r="H53" s="271"/>
      <c r="I53" s="233"/>
      <c r="J53" s="252" t="str">
        <f>IFERROR(MIN('MP Calculations'!$E$29/I53,1),"-")</f>
        <v>-</v>
      </c>
      <c r="K53" s="257"/>
      <c r="L53" s="233"/>
      <c r="M53" s="233"/>
      <c r="N53" s="233"/>
      <c r="O53" s="255" t="str">
        <f t="shared" si="1"/>
        <v>-</v>
      </c>
      <c r="P53" s="256" t="str">
        <f t="shared" si="2"/>
        <v>-</v>
      </c>
      <c r="Q53" s="87"/>
      <c r="R53" s="87"/>
    </row>
    <row r="54" spans="3:18" x14ac:dyDescent="0.25">
      <c r="C54" s="233"/>
      <c r="D54" s="249"/>
      <c r="E54" s="236"/>
      <c r="F54" s="250" t="str">
        <f t="shared" si="0"/>
        <v>-</v>
      </c>
      <c r="G54" s="242"/>
      <c r="H54" s="271"/>
      <c r="I54" s="233"/>
      <c r="J54" s="252" t="str">
        <f>IFERROR(MIN('MP Calculations'!$E$29/I54,1),"-")</f>
        <v>-</v>
      </c>
      <c r="K54" s="257"/>
      <c r="L54" s="233"/>
      <c r="M54" s="233"/>
      <c r="N54" s="233"/>
      <c r="O54" s="255" t="str">
        <f t="shared" si="1"/>
        <v>-</v>
      </c>
      <c r="P54" s="256" t="str">
        <f t="shared" si="2"/>
        <v>-</v>
      </c>
      <c r="Q54" s="87"/>
      <c r="R54" s="87"/>
    </row>
    <row r="55" spans="3:18" x14ac:dyDescent="0.25">
      <c r="C55" s="233"/>
      <c r="D55" s="249"/>
      <c r="E55" s="236"/>
      <c r="F55" s="250" t="str">
        <f t="shared" si="0"/>
        <v>-</v>
      </c>
      <c r="G55" s="242"/>
      <c r="H55" s="271"/>
      <c r="I55" s="233"/>
      <c r="J55" s="252" t="str">
        <f>IFERROR(MIN('MP Calculations'!$E$29/I55,1),"-")</f>
        <v>-</v>
      </c>
      <c r="K55" s="257"/>
      <c r="L55" s="233"/>
      <c r="M55" s="233"/>
      <c r="N55" s="233"/>
      <c r="O55" s="255" t="str">
        <f t="shared" si="1"/>
        <v>-</v>
      </c>
      <c r="P55" s="256" t="str">
        <f t="shared" si="2"/>
        <v>-</v>
      </c>
      <c r="Q55" s="87"/>
      <c r="R55" s="87"/>
    </row>
    <row r="56" spans="3:18" x14ac:dyDescent="0.25">
      <c r="C56" s="233"/>
      <c r="D56" s="249"/>
      <c r="E56" s="236"/>
      <c r="F56" s="250" t="str">
        <f t="shared" si="0"/>
        <v>-</v>
      </c>
      <c r="G56" s="242"/>
      <c r="H56" s="271"/>
      <c r="I56" s="233"/>
      <c r="J56" s="252" t="str">
        <f>IFERROR(MIN('MP Calculations'!$E$29/I56,1),"-")</f>
        <v>-</v>
      </c>
      <c r="K56" s="257"/>
      <c r="L56" s="233"/>
      <c r="M56" s="233"/>
      <c r="N56" s="233"/>
      <c r="O56" s="255" t="str">
        <f t="shared" si="1"/>
        <v>-</v>
      </c>
      <c r="P56" s="256" t="str">
        <f t="shared" si="2"/>
        <v>-</v>
      </c>
      <c r="Q56" s="87"/>
      <c r="R56" s="87"/>
    </row>
    <row r="57" spans="3:18" x14ac:dyDescent="0.25">
      <c r="C57" s="233"/>
      <c r="D57" s="249"/>
      <c r="E57" s="236"/>
      <c r="F57" s="250" t="str">
        <f t="shared" si="0"/>
        <v>-</v>
      </c>
      <c r="G57" s="242"/>
      <c r="H57" s="271"/>
      <c r="I57" s="233"/>
      <c r="J57" s="252" t="str">
        <f>IFERROR(MIN('MP Calculations'!$E$29/I57,1),"-")</f>
        <v>-</v>
      </c>
      <c r="K57" s="257"/>
      <c r="L57" s="233"/>
      <c r="M57" s="233"/>
      <c r="N57" s="233"/>
      <c r="O57" s="255" t="str">
        <f t="shared" si="1"/>
        <v>-</v>
      </c>
      <c r="P57" s="256" t="str">
        <f t="shared" si="2"/>
        <v>-</v>
      </c>
      <c r="Q57" s="87"/>
      <c r="R57" s="87"/>
    </row>
    <row r="58" spans="3:18" x14ac:dyDescent="0.25">
      <c r="C58" s="233"/>
      <c r="D58" s="249"/>
      <c r="E58" s="236"/>
      <c r="F58" s="250" t="str">
        <f t="shared" si="0"/>
        <v>-</v>
      </c>
      <c r="G58" s="242"/>
      <c r="H58" s="271"/>
      <c r="I58" s="233"/>
      <c r="J58" s="252" t="str">
        <f>IFERROR(MIN('MP Calculations'!$E$29/I58,1),"-")</f>
        <v>-</v>
      </c>
      <c r="K58" s="257"/>
      <c r="L58" s="233"/>
      <c r="M58" s="233"/>
      <c r="N58" s="233"/>
      <c r="O58" s="255" t="str">
        <f t="shared" si="1"/>
        <v>-</v>
      </c>
      <c r="P58" s="256" t="str">
        <f t="shared" si="2"/>
        <v>-</v>
      </c>
      <c r="Q58" s="87"/>
      <c r="R58" s="87"/>
    </row>
    <row r="59" spans="3:18" x14ac:dyDescent="0.25">
      <c r="C59" s="233"/>
      <c r="D59" s="249"/>
      <c r="E59" s="236"/>
      <c r="F59" s="250" t="str">
        <f t="shared" si="0"/>
        <v>-</v>
      </c>
      <c r="G59" s="242"/>
      <c r="H59" s="271"/>
      <c r="I59" s="233"/>
      <c r="J59" s="252" t="str">
        <f>IFERROR(MIN('MP Calculations'!$E$29/I59,1),"-")</f>
        <v>-</v>
      </c>
      <c r="K59" s="257"/>
      <c r="L59" s="233"/>
      <c r="M59" s="233"/>
      <c r="N59" s="233"/>
      <c r="O59" s="255" t="str">
        <f t="shared" si="1"/>
        <v>-</v>
      </c>
      <c r="P59" s="256" t="str">
        <f t="shared" si="2"/>
        <v>-</v>
      </c>
      <c r="Q59" s="87"/>
      <c r="R59" s="87"/>
    </row>
    <row r="60" spans="3:18" x14ac:dyDescent="0.25">
      <c r="C60" s="233"/>
      <c r="D60" s="249"/>
      <c r="E60" s="236"/>
      <c r="F60" s="250" t="str">
        <f t="shared" si="0"/>
        <v>-</v>
      </c>
      <c r="G60" s="242"/>
      <c r="H60" s="271"/>
      <c r="I60" s="233"/>
      <c r="J60" s="252" t="str">
        <f>IFERROR(MIN('MP Calculations'!$E$29/I60,1),"-")</f>
        <v>-</v>
      </c>
      <c r="K60" s="257"/>
      <c r="L60" s="233"/>
      <c r="M60" s="233"/>
      <c r="N60" s="233"/>
      <c r="O60" s="255" t="str">
        <f t="shared" si="1"/>
        <v>-</v>
      </c>
      <c r="P60" s="256" t="str">
        <f t="shared" si="2"/>
        <v>-</v>
      </c>
      <c r="Q60" s="87"/>
      <c r="R60" s="87"/>
    </row>
    <row r="61" spans="3:18" x14ac:dyDescent="0.25">
      <c r="C61" s="233"/>
      <c r="D61" s="249"/>
      <c r="E61" s="236"/>
      <c r="F61" s="250" t="str">
        <f t="shared" si="0"/>
        <v>-</v>
      </c>
      <c r="G61" s="242"/>
      <c r="H61" s="271"/>
      <c r="I61" s="233"/>
      <c r="J61" s="252" t="str">
        <f>IFERROR(MIN('MP Calculations'!$E$29/I61,1),"-")</f>
        <v>-</v>
      </c>
      <c r="K61" s="257"/>
      <c r="L61" s="233"/>
      <c r="M61" s="233"/>
      <c r="N61" s="233"/>
      <c r="O61" s="255" t="str">
        <f t="shared" si="1"/>
        <v>-</v>
      </c>
      <c r="P61" s="256" t="str">
        <f t="shared" si="2"/>
        <v>-</v>
      </c>
      <c r="Q61" s="87"/>
      <c r="R61" s="87"/>
    </row>
    <row r="62" spans="3:18" x14ac:dyDescent="0.25">
      <c r="C62" s="233"/>
      <c r="D62" s="249"/>
      <c r="E62" s="236"/>
      <c r="F62" s="250" t="str">
        <f t="shared" si="0"/>
        <v>-</v>
      </c>
      <c r="G62" s="242"/>
      <c r="H62" s="271"/>
      <c r="I62" s="233"/>
      <c r="J62" s="252" t="str">
        <f>IFERROR(MIN('MP Calculations'!$E$29/I62,1),"-")</f>
        <v>-</v>
      </c>
      <c r="K62" s="257"/>
      <c r="L62" s="233"/>
      <c r="M62" s="233"/>
      <c r="N62" s="233"/>
      <c r="O62" s="255" t="str">
        <f t="shared" si="1"/>
        <v>-</v>
      </c>
      <c r="P62" s="256" t="str">
        <f t="shared" si="2"/>
        <v>-</v>
      </c>
      <c r="Q62" s="87"/>
      <c r="R62" s="87"/>
    </row>
    <row r="63" spans="3:18" x14ac:dyDescent="0.25">
      <c r="C63" s="233"/>
      <c r="D63" s="249"/>
      <c r="E63" s="236"/>
      <c r="F63" s="250" t="str">
        <f t="shared" si="0"/>
        <v>-</v>
      </c>
      <c r="G63" s="242"/>
      <c r="H63" s="271"/>
      <c r="I63" s="233"/>
      <c r="J63" s="252" t="str">
        <f>IFERROR(MIN('MP Calculations'!$E$29/I63,1),"-")</f>
        <v>-</v>
      </c>
      <c r="K63" s="257"/>
      <c r="L63" s="233"/>
      <c r="M63" s="233"/>
      <c r="N63" s="233"/>
      <c r="O63" s="255" t="str">
        <f t="shared" si="1"/>
        <v>-</v>
      </c>
      <c r="P63" s="256" t="str">
        <f t="shared" si="2"/>
        <v>-</v>
      </c>
      <c r="Q63" s="87"/>
      <c r="R63" s="87"/>
    </row>
    <row r="64" spans="3:18" x14ac:dyDescent="0.25">
      <c r="C64" s="233"/>
      <c r="D64" s="249"/>
      <c r="E64" s="236"/>
      <c r="F64" s="250" t="str">
        <f t="shared" si="0"/>
        <v>-</v>
      </c>
      <c r="G64" s="242"/>
      <c r="H64" s="271"/>
      <c r="I64" s="233"/>
      <c r="J64" s="252" t="str">
        <f>IFERROR(MIN('MP Calculations'!$E$29/I64,1),"-")</f>
        <v>-</v>
      </c>
      <c r="K64" s="257"/>
      <c r="L64" s="233"/>
      <c r="M64" s="233"/>
      <c r="N64" s="233"/>
      <c r="O64" s="255" t="str">
        <f t="shared" si="1"/>
        <v>-</v>
      </c>
      <c r="P64" s="256" t="str">
        <f t="shared" si="2"/>
        <v>-</v>
      </c>
      <c r="Q64" s="87"/>
      <c r="R64" s="87"/>
    </row>
    <row r="65" spans="3:18" x14ac:dyDescent="0.25">
      <c r="C65" s="233"/>
      <c r="D65" s="249"/>
      <c r="E65" s="236"/>
      <c r="F65" s="250" t="str">
        <f t="shared" si="0"/>
        <v>-</v>
      </c>
      <c r="G65" s="242"/>
      <c r="H65" s="271"/>
      <c r="I65" s="233"/>
      <c r="J65" s="252" t="str">
        <f>IFERROR(MIN('MP Calculations'!$E$29/I65,1),"-")</f>
        <v>-</v>
      </c>
      <c r="K65" s="257"/>
      <c r="L65" s="233"/>
      <c r="M65" s="233"/>
      <c r="N65" s="233"/>
      <c r="O65" s="255" t="str">
        <f t="shared" si="1"/>
        <v>-</v>
      </c>
      <c r="P65" s="256" t="str">
        <f t="shared" si="2"/>
        <v>-</v>
      </c>
      <c r="Q65" s="87"/>
      <c r="R65" s="87"/>
    </row>
    <row r="66" spans="3:18" x14ac:dyDescent="0.25">
      <c r="C66" s="233"/>
      <c r="D66" s="249"/>
      <c r="E66" s="236"/>
      <c r="F66" s="250" t="str">
        <f t="shared" si="0"/>
        <v>-</v>
      </c>
      <c r="G66" s="242"/>
      <c r="H66" s="271"/>
      <c r="I66" s="233"/>
      <c r="J66" s="252" t="str">
        <f>IFERROR(MIN('MP Calculations'!$E$29/I66,1),"-")</f>
        <v>-</v>
      </c>
      <c r="K66" s="257"/>
      <c r="L66" s="233"/>
      <c r="M66" s="233"/>
      <c r="N66" s="233"/>
      <c r="O66" s="255" t="str">
        <f t="shared" si="1"/>
        <v>-</v>
      </c>
      <c r="P66" s="256" t="str">
        <f t="shared" si="2"/>
        <v>-</v>
      </c>
      <c r="Q66" s="87"/>
      <c r="R66" s="87"/>
    </row>
    <row r="67" spans="3:18" x14ac:dyDescent="0.25">
      <c r="C67" s="233"/>
      <c r="D67" s="249"/>
      <c r="E67" s="236"/>
      <c r="F67" s="250" t="str">
        <f t="shared" si="0"/>
        <v>-</v>
      </c>
      <c r="G67" s="242"/>
      <c r="H67" s="271"/>
      <c r="I67" s="233"/>
      <c r="J67" s="252" t="str">
        <f>IFERROR(MIN('MP Calculations'!$E$29/I67,1),"-")</f>
        <v>-</v>
      </c>
      <c r="K67" s="257"/>
      <c r="L67" s="233"/>
      <c r="M67" s="233"/>
      <c r="N67" s="233"/>
      <c r="O67" s="255" t="str">
        <f t="shared" si="1"/>
        <v>-</v>
      </c>
      <c r="P67" s="256" t="str">
        <f t="shared" si="2"/>
        <v>-</v>
      </c>
      <c r="Q67" s="87"/>
      <c r="R67" s="87"/>
    </row>
    <row r="68" spans="3:18" x14ac:dyDescent="0.25">
      <c r="C68" s="233"/>
      <c r="D68" s="249"/>
      <c r="E68" s="236"/>
      <c r="F68" s="250" t="str">
        <f t="shared" si="0"/>
        <v>-</v>
      </c>
      <c r="G68" s="242"/>
      <c r="H68" s="271"/>
      <c r="I68" s="233"/>
      <c r="J68" s="252" t="str">
        <f>IFERROR(MIN('MP Calculations'!$E$29/I68,1),"-")</f>
        <v>-</v>
      </c>
      <c r="K68" s="257"/>
      <c r="L68" s="233"/>
      <c r="M68" s="233"/>
      <c r="N68" s="233"/>
      <c r="O68" s="255" t="str">
        <f t="shared" si="1"/>
        <v>-</v>
      </c>
      <c r="P68" s="256" t="str">
        <f t="shared" si="2"/>
        <v>-</v>
      </c>
      <c r="Q68" s="87"/>
      <c r="R68" s="87"/>
    </row>
    <row r="69" spans="3:18" x14ac:dyDescent="0.25">
      <c r="C69" s="233"/>
      <c r="D69" s="249"/>
      <c r="E69" s="236"/>
      <c r="F69" s="250" t="str">
        <f t="shared" si="0"/>
        <v>-</v>
      </c>
      <c r="G69" s="242"/>
      <c r="H69" s="271"/>
      <c r="I69" s="233"/>
      <c r="J69" s="252" t="str">
        <f>IFERROR(MIN('MP Calculations'!$E$29/I69,1),"-")</f>
        <v>-</v>
      </c>
      <c r="K69" s="257"/>
      <c r="L69" s="233"/>
      <c r="M69" s="233"/>
      <c r="N69" s="233"/>
      <c r="O69" s="255" t="str">
        <f t="shared" si="1"/>
        <v>-</v>
      </c>
      <c r="P69" s="256" t="str">
        <f t="shared" si="2"/>
        <v>-</v>
      </c>
      <c r="Q69" s="87"/>
      <c r="R69" s="87"/>
    </row>
    <row r="70" spans="3:18" x14ac:dyDescent="0.25">
      <c r="C70" s="233"/>
      <c r="D70" s="249"/>
      <c r="E70" s="236"/>
      <c r="F70" s="250" t="str">
        <f t="shared" si="0"/>
        <v>-</v>
      </c>
      <c r="G70" s="242"/>
      <c r="H70" s="271"/>
      <c r="I70" s="233"/>
      <c r="J70" s="252" t="str">
        <f>IFERROR(MIN('MP Calculations'!$E$29/I70,1),"-")</f>
        <v>-</v>
      </c>
      <c r="K70" s="257"/>
      <c r="L70" s="233"/>
      <c r="M70" s="233"/>
      <c r="N70" s="233"/>
      <c r="O70" s="255" t="str">
        <f t="shared" si="1"/>
        <v>-</v>
      </c>
      <c r="P70" s="256" t="str">
        <f t="shared" si="2"/>
        <v>-</v>
      </c>
      <c r="Q70" s="87"/>
      <c r="R70" s="87"/>
    </row>
    <row r="71" spans="3:18" x14ac:dyDescent="0.25">
      <c r="C71" s="233"/>
      <c r="D71" s="249"/>
      <c r="E71" s="236"/>
      <c r="F71" s="250" t="str">
        <f t="shared" si="0"/>
        <v>-</v>
      </c>
      <c r="G71" s="242"/>
      <c r="H71" s="271"/>
      <c r="I71" s="233"/>
      <c r="J71" s="252" t="str">
        <f>IFERROR(MIN('MP Calculations'!$E$29/I71,1),"-")</f>
        <v>-</v>
      </c>
      <c r="K71" s="257"/>
      <c r="L71" s="233"/>
      <c r="M71" s="233"/>
      <c r="N71" s="233"/>
      <c r="O71" s="255" t="str">
        <f t="shared" si="1"/>
        <v>-</v>
      </c>
      <c r="P71" s="256" t="str">
        <f t="shared" si="2"/>
        <v>-</v>
      </c>
      <c r="Q71" s="87"/>
      <c r="R71" s="87"/>
    </row>
    <row r="72" spans="3:18" x14ac:dyDescent="0.25">
      <c r="C72" s="233"/>
      <c r="D72" s="249"/>
      <c r="E72" s="236"/>
      <c r="F72" s="250" t="str">
        <f t="shared" si="0"/>
        <v>-</v>
      </c>
      <c r="G72" s="242"/>
      <c r="H72" s="271"/>
      <c r="I72" s="233"/>
      <c r="J72" s="252" t="str">
        <f>IFERROR(MIN('MP Calculations'!$E$29/I72,1),"-")</f>
        <v>-</v>
      </c>
      <c r="K72" s="257"/>
      <c r="L72" s="233"/>
      <c r="M72" s="233"/>
      <c r="N72" s="233"/>
      <c r="O72" s="255" t="str">
        <f t="shared" si="1"/>
        <v>-</v>
      </c>
      <c r="P72" s="256" t="str">
        <f t="shared" si="2"/>
        <v>-</v>
      </c>
      <c r="Q72" s="87"/>
      <c r="R72" s="87"/>
    </row>
    <row r="73" spans="3:18" x14ac:dyDescent="0.25">
      <c r="C73" s="233"/>
      <c r="D73" s="249"/>
      <c r="E73" s="236"/>
      <c r="F73" s="250" t="str">
        <f t="shared" si="0"/>
        <v>-</v>
      </c>
      <c r="G73" s="242"/>
      <c r="H73" s="271"/>
      <c r="I73" s="233"/>
      <c r="J73" s="252" t="str">
        <f>IFERROR(MIN('MP Calculations'!$E$29/I73,1),"-")</f>
        <v>-</v>
      </c>
      <c r="K73" s="257"/>
      <c r="L73" s="233"/>
      <c r="M73" s="233"/>
      <c r="N73" s="233"/>
      <c r="O73" s="255" t="str">
        <f t="shared" si="1"/>
        <v>-</v>
      </c>
      <c r="P73" s="256" t="str">
        <f t="shared" si="2"/>
        <v>-</v>
      </c>
      <c r="Q73" s="87"/>
      <c r="R73" s="87"/>
    </row>
    <row r="74" spans="3:18" x14ac:dyDescent="0.25">
      <c r="C74" s="233"/>
      <c r="D74" s="249"/>
      <c r="E74" s="236"/>
      <c r="F74" s="250" t="str">
        <f t="shared" si="0"/>
        <v>-</v>
      </c>
      <c r="G74" s="242"/>
      <c r="H74" s="271"/>
      <c r="I74" s="233"/>
      <c r="J74" s="252" t="str">
        <f>IFERROR(MIN('MP Calculations'!$E$29/I74,1),"-")</f>
        <v>-</v>
      </c>
      <c r="K74" s="257"/>
      <c r="L74" s="233"/>
      <c r="M74" s="233"/>
      <c r="N74" s="233"/>
      <c r="O74" s="255" t="str">
        <f t="shared" si="1"/>
        <v>-</v>
      </c>
      <c r="P74" s="256" t="str">
        <f t="shared" si="2"/>
        <v>-</v>
      </c>
      <c r="Q74" s="87"/>
      <c r="R74" s="87"/>
    </row>
    <row r="75" spans="3:18" x14ac:dyDescent="0.25">
      <c r="C75" s="233"/>
      <c r="D75" s="249"/>
      <c r="E75" s="236"/>
      <c r="F75" s="250" t="str">
        <f t="shared" si="0"/>
        <v>-</v>
      </c>
      <c r="G75" s="242"/>
      <c r="H75" s="271"/>
      <c r="I75" s="233"/>
      <c r="J75" s="252" t="str">
        <f>IFERROR(MIN('MP Calculations'!$E$29/I75,1),"-")</f>
        <v>-</v>
      </c>
      <c r="K75" s="257"/>
      <c r="L75" s="233"/>
      <c r="M75" s="233"/>
      <c r="N75" s="233"/>
      <c r="O75" s="255" t="str">
        <f t="shared" si="1"/>
        <v>-</v>
      </c>
      <c r="P75" s="256" t="str">
        <f t="shared" si="2"/>
        <v>-</v>
      </c>
      <c r="Q75" s="87"/>
      <c r="R75" s="87"/>
    </row>
    <row r="76" spans="3:18" x14ac:dyDescent="0.25">
      <c r="C76" s="233"/>
      <c r="D76" s="249"/>
      <c r="E76" s="236"/>
      <c r="F76" s="250" t="str">
        <f t="shared" si="0"/>
        <v>-</v>
      </c>
      <c r="G76" s="242"/>
      <c r="H76" s="271"/>
      <c r="I76" s="233"/>
      <c r="J76" s="252" t="str">
        <f>IFERROR(MIN('MP Calculations'!$E$29/I76,1),"-")</f>
        <v>-</v>
      </c>
      <c r="K76" s="257"/>
      <c r="L76" s="233"/>
      <c r="M76" s="233"/>
      <c r="N76" s="233"/>
      <c r="O76" s="255" t="str">
        <f t="shared" si="1"/>
        <v>-</v>
      </c>
      <c r="P76" s="256" t="str">
        <f t="shared" si="2"/>
        <v>-</v>
      </c>
      <c r="Q76" s="87"/>
      <c r="R76" s="87"/>
    </row>
    <row r="77" spans="3:18" x14ac:dyDescent="0.25">
      <c r="C77" s="233"/>
      <c r="D77" s="249"/>
      <c r="E77" s="236"/>
      <c r="F77" s="250" t="str">
        <f t="shared" si="0"/>
        <v>-</v>
      </c>
      <c r="G77" s="242"/>
      <c r="H77" s="271"/>
      <c r="I77" s="233"/>
      <c r="J77" s="252" t="str">
        <f>IFERROR(MIN('MP Calculations'!$E$29/I77,1),"-")</f>
        <v>-</v>
      </c>
      <c r="K77" s="257"/>
      <c r="L77" s="233"/>
      <c r="M77" s="233"/>
      <c r="N77" s="233"/>
      <c r="O77" s="255" t="str">
        <f t="shared" si="1"/>
        <v>-</v>
      </c>
      <c r="P77" s="256" t="str">
        <f t="shared" si="2"/>
        <v>-</v>
      </c>
      <c r="Q77" s="87"/>
      <c r="R77" s="87"/>
    </row>
    <row r="78" spans="3:18" x14ac:dyDescent="0.25">
      <c r="C78" s="233"/>
      <c r="D78" s="249"/>
      <c r="E78" s="236"/>
      <c r="F78" s="250" t="str">
        <f t="shared" si="0"/>
        <v>-</v>
      </c>
      <c r="G78" s="242"/>
      <c r="H78" s="271"/>
      <c r="I78" s="233"/>
      <c r="J78" s="252" t="str">
        <f>IFERROR(MIN('MP Calculations'!$E$29/I78,1),"-")</f>
        <v>-</v>
      </c>
      <c r="K78" s="257"/>
      <c r="L78" s="233"/>
      <c r="M78" s="233"/>
      <c r="N78" s="233"/>
      <c r="O78" s="255" t="str">
        <f t="shared" si="1"/>
        <v>-</v>
      </c>
      <c r="P78" s="256" t="str">
        <f t="shared" si="2"/>
        <v>-</v>
      </c>
      <c r="Q78" s="87"/>
      <c r="R78" s="87"/>
    </row>
    <row r="79" spans="3:18" x14ac:dyDescent="0.25">
      <c r="C79" s="233"/>
      <c r="D79" s="249"/>
      <c r="E79" s="236"/>
      <c r="F79" s="250" t="str">
        <f t="shared" si="0"/>
        <v>-</v>
      </c>
      <c r="G79" s="242"/>
      <c r="H79" s="271"/>
      <c r="I79" s="233"/>
      <c r="J79" s="252" t="str">
        <f>IFERROR(MIN('MP Calculations'!$E$29/I79,1),"-")</f>
        <v>-</v>
      </c>
      <c r="K79" s="257"/>
      <c r="L79" s="233"/>
      <c r="M79" s="233"/>
      <c r="N79" s="233"/>
      <c r="O79" s="255" t="str">
        <f t="shared" si="1"/>
        <v>-</v>
      </c>
      <c r="P79" s="256" t="str">
        <f t="shared" si="2"/>
        <v>-</v>
      </c>
      <c r="Q79" s="87"/>
      <c r="R79" s="87"/>
    </row>
    <row r="80" spans="3:18" x14ac:dyDescent="0.25">
      <c r="C80" s="233"/>
      <c r="D80" s="249"/>
      <c r="E80" s="236"/>
      <c r="F80" s="250" t="str">
        <f t="shared" si="0"/>
        <v>-</v>
      </c>
      <c r="G80" s="242"/>
      <c r="H80" s="271"/>
      <c r="I80" s="233"/>
      <c r="J80" s="252" t="str">
        <f>IFERROR(MIN('MP Calculations'!$E$29/I80,1),"-")</f>
        <v>-</v>
      </c>
      <c r="K80" s="257"/>
      <c r="L80" s="233"/>
      <c r="M80" s="233"/>
      <c r="N80" s="233"/>
      <c r="O80" s="255" t="str">
        <f t="shared" si="1"/>
        <v>-</v>
      </c>
      <c r="P80" s="256" t="str">
        <f t="shared" si="2"/>
        <v>-</v>
      </c>
      <c r="Q80" s="87"/>
      <c r="R80" s="87"/>
    </row>
    <row r="81" spans="3:18" x14ac:dyDescent="0.25">
      <c r="C81" s="233"/>
      <c r="D81" s="249"/>
      <c r="E81" s="236"/>
      <c r="F81" s="250" t="str">
        <f t="shared" si="0"/>
        <v>-</v>
      </c>
      <c r="G81" s="242"/>
      <c r="H81" s="271"/>
      <c r="I81" s="233"/>
      <c r="J81" s="252" t="str">
        <f>IFERROR(MIN('MP Calculations'!$E$29/I81,1),"-")</f>
        <v>-</v>
      </c>
      <c r="K81" s="257"/>
      <c r="L81" s="233"/>
      <c r="M81" s="233"/>
      <c r="N81" s="233"/>
      <c r="O81" s="255" t="str">
        <f t="shared" si="1"/>
        <v>-</v>
      </c>
      <c r="P81" s="256" t="str">
        <f t="shared" si="2"/>
        <v>-</v>
      </c>
      <c r="Q81" s="87"/>
      <c r="R81" s="87"/>
    </row>
    <row r="82" spans="3:18" x14ac:dyDescent="0.25">
      <c r="C82" s="233"/>
      <c r="D82" s="249"/>
      <c r="E82" s="236"/>
      <c r="F82" s="250" t="str">
        <f t="shared" si="0"/>
        <v>-</v>
      </c>
      <c r="G82" s="242"/>
      <c r="H82" s="271"/>
      <c r="I82" s="233"/>
      <c r="J82" s="252" t="str">
        <f>IFERROR(MIN('MP Calculations'!$E$29/I82,1),"-")</f>
        <v>-</v>
      </c>
      <c r="K82" s="257"/>
      <c r="L82" s="233"/>
      <c r="M82" s="233"/>
      <c r="N82" s="233"/>
      <c r="O82" s="255" t="str">
        <f t="shared" si="1"/>
        <v>-</v>
      </c>
      <c r="P82" s="256" t="str">
        <f t="shared" si="2"/>
        <v>-</v>
      </c>
      <c r="Q82" s="87"/>
      <c r="R82" s="87"/>
    </row>
    <row r="83" spans="3:18" x14ac:dyDescent="0.25">
      <c r="C83" s="233"/>
      <c r="D83" s="249"/>
      <c r="E83" s="236"/>
      <c r="F83" s="250" t="str">
        <f t="shared" si="0"/>
        <v>-</v>
      </c>
      <c r="G83" s="242"/>
      <c r="H83" s="271"/>
      <c r="I83" s="233"/>
      <c r="J83" s="252" t="str">
        <f>IFERROR(MIN('MP Calculations'!$E$29/I83,1),"-")</f>
        <v>-</v>
      </c>
      <c r="K83" s="257"/>
      <c r="L83" s="233"/>
      <c r="M83" s="233"/>
      <c r="N83" s="233"/>
      <c r="O83" s="255" t="str">
        <f t="shared" si="1"/>
        <v>-</v>
      </c>
      <c r="P83" s="256" t="str">
        <f t="shared" si="2"/>
        <v>-</v>
      </c>
      <c r="Q83" s="87"/>
      <c r="R83" s="87"/>
    </row>
    <row r="84" spans="3:18" x14ac:dyDescent="0.25">
      <c r="C84" s="233"/>
      <c r="D84" s="249"/>
      <c r="E84" s="236"/>
      <c r="F84" s="250" t="str">
        <f t="shared" si="0"/>
        <v>-</v>
      </c>
      <c r="G84" s="242"/>
      <c r="H84" s="271"/>
      <c r="I84" s="233"/>
      <c r="J84" s="252" t="str">
        <f>IFERROR(MIN('MP Calculations'!$E$29/I84,1),"-")</f>
        <v>-</v>
      </c>
      <c r="K84" s="257"/>
      <c r="L84" s="233"/>
      <c r="M84" s="233"/>
      <c r="N84" s="233"/>
      <c r="O84" s="255" t="str">
        <f t="shared" si="1"/>
        <v>-</v>
      </c>
      <c r="P84" s="256" t="str">
        <f t="shared" si="2"/>
        <v>-</v>
      </c>
      <c r="Q84" s="87"/>
      <c r="R84" s="87"/>
    </row>
    <row r="85" spans="3:18" x14ac:dyDescent="0.25">
      <c r="C85" s="233"/>
      <c r="D85" s="249"/>
      <c r="E85" s="236"/>
      <c r="F85" s="250" t="str">
        <f t="shared" si="0"/>
        <v>-</v>
      </c>
      <c r="G85" s="242"/>
      <c r="H85" s="271"/>
      <c r="I85" s="233"/>
      <c r="J85" s="252" t="str">
        <f>IFERROR(MIN('MP Calculations'!$E$29/I85,1),"-")</f>
        <v>-</v>
      </c>
      <c r="K85" s="257"/>
      <c r="L85" s="233"/>
      <c r="M85" s="233"/>
      <c r="N85" s="233"/>
      <c r="O85" s="255" t="str">
        <f t="shared" si="1"/>
        <v>-</v>
      </c>
      <c r="P85" s="256" t="str">
        <f t="shared" si="2"/>
        <v>-</v>
      </c>
      <c r="Q85" s="87"/>
      <c r="R85" s="87"/>
    </row>
    <row r="86" spans="3:18" x14ac:dyDescent="0.25">
      <c r="C86" s="233"/>
      <c r="D86" s="249"/>
      <c r="E86" s="236"/>
      <c r="F86" s="250" t="str">
        <f t="shared" si="0"/>
        <v>-</v>
      </c>
      <c r="G86" s="242"/>
      <c r="H86" s="271"/>
      <c r="I86" s="233"/>
      <c r="J86" s="252" t="str">
        <f>IFERROR(MIN('MP Calculations'!$E$29/I86,1),"-")</f>
        <v>-</v>
      </c>
      <c r="K86" s="257"/>
      <c r="L86" s="233"/>
      <c r="M86" s="233"/>
      <c r="N86" s="233"/>
      <c r="O86" s="255" t="str">
        <f t="shared" si="1"/>
        <v>-</v>
      </c>
      <c r="P86" s="256" t="str">
        <f t="shared" si="2"/>
        <v>-</v>
      </c>
      <c r="Q86" s="87"/>
      <c r="R86" s="87"/>
    </row>
    <row r="87" spans="3:18" x14ac:dyDescent="0.25">
      <c r="C87" s="233"/>
      <c r="D87" s="249"/>
      <c r="E87" s="236"/>
      <c r="F87" s="250" t="str">
        <f t="shared" ref="F87:F218" si="3">IF(E87="","-",IF(E87&lt;$E$15,"ERROR - date outside of range",IF(MONTH(E87)&gt;=7,YEAR(E87)&amp;"-"&amp;RIGHT(YEAR(E87),2)+1,YEAR(E87)-1&amp;"-"&amp;RIGHT(YEAR(E87),2))))</f>
        <v>-</v>
      </c>
      <c r="G87" s="242"/>
      <c r="H87" s="271"/>
      <c r="I87" s="233"/>
      <c r="J87" s="252" t="str">
        <f>IFERROR(MIN('MP Calculations'!$E$29/I87,1),"-")</f>
        <v>-</v>
      </c>
      <c r="K87" s="257"/>
      <c r="L87" s="233"/>
      <c r="M87" s="233"/>
      <c r="N87" s="233"/>
      <c r="O87" s="255" t="str">
        <f t="shared" ref="O87:O150" si="4">IF(N87="","-",L87*N87)</f>
        <v>-</v>
      </c>
      <c r="P87" s="256" t="str">
        <f t="shared" ref="P87:P218" si="5">IF(O87="-","-",IF(E87&lt;$E$15,0,O87*J87))</f>
        <v>-</v>
      </c>
      <c r="Q87" s="87"/>
      <c r="R87" s="87"/>
    </row>
    <row r="88" spans="3:18" x14ac:dyDescent="0.25">
      <c r="C88" s="233"/>
      <c r="D88" s="249"/>
      <c r="E88" s="236"/>
      <c r="F88" s="250" t="str">
        <f t="shared" si="3"/>
        <v>-</v>
      </c>
      <c r="G88" s="242"/>
      <c r="H88" s="271"/>
      <c r="I88" s="233"/>
      <c r="J88" s="252" t="str">
        <f>IFERROR(MIN('MP Calculations'!$E$29/I88,1),"-")</f>
        <v>-</v>
      </c>
      <c r="K88" s="257"/>
      <c r="L88" s="233"/>
      <c r="M88" s="233"/>
      <c r="N88" s="233"/>
      <c r="O88" s="255" t="str">
        <f t="shared" si="4"/>
        <v>-</v>
      </c>
      <c r="P88" s="256" t="str">
        <f t="shared" si="5"/>
        <v>-</v>
      </c>
      <c r="Q88" s="87"/>
      <c r="R88" s="87"/>
    </row>
    <row r="89" spans="3:18" x14ac:dyDescent="0.25">
      <c r="C89" s="233"/>
      <c r="D89" s="249"/>
      <c r="E89" s="236"/>
      <c r="F89" s="250" t="str">
        <f t="shared" si="3"/>
        <v>-</v>
      </c>
      <c r="G89" s="242"/>
      <c r="H89" s="271"/>
      <c r="I89" s="233"/>
      <c r="J89" s="252" t="str">
        <f>IFERROR(MIN('MP Calculations'!$E$29/I89,1),"-")</f>
        <v>-</v>
      </c>
      <c r="K89" s="257"/>
      <c r="L89" s="233"/>
      <c r="M89" s="233"/>
      <c r="N89" s="233"/>
      <c r="O89" s="255" t="str">
        <f t="shared" si="4"/>
        <v>-</v>
      </c>
      <c r="P89" s="256" t="str">
        <f t="shared" si="5"/>
        <v>-</v>
      </c>
      <c r="Q89" s="87"/>
      <c r="R89" s="87"/>
    </row>
    <row r="90" spans="3:18" x14ac:dyDescent="0.25">
      <c r="C90" s="233"/>
      <c r="D90" s="249"/>
      <c r="E90" s="236"/>
      <c r="F90" s="250" t="str">
        <f t="shared" si="3"/>
        <v>-</v>
      </c>
      <c r="G90" s="242"/>
      <c r="H90" s="271"/>
      <c r="I90" s="233"/>
      <c r="J90" s="252" t="str">
        <f>IFERROR(MIN('MP Calculations'!$E$29/I90,1),"-")</f>
        <v>-</v>
      </c>
      <c r="K90" s="257"/>
      <c r="L90" s="233"/>
      <c r="M90" s="233"/>
      <c r="N90" s="233"/>
      <c r="O90" s="255" t="str">
        <f t="shared" si="4"/>
        <v>-</v>
      </c>
      <c r="P90" s="256" t="str">
        <f t="shared" si="5"/>
        <v>-</v>
      </c>
      <c r="Q90" s="87"/>
      <c r="R90" s="87"/>
    </row>
    <row r="91" spans="3:18" x14ac:dyDescent="0.25">
      <c r="C91" s="233"/>
      <c r="D91" s="249"/>
      <c r="E91" s="236"/>
      <c r="F91" s="250" t="str">
        <f t="shared" si="3"/>
        <v>-</v>
      </c>
      <c r="G91" s="242"/>
      <c r="H91" s="271"/>
      <c r="I91" s="233"/>
      <c r="J91" s="252" t="str">
        <f>IFERROR(MIN('MP Calculations'!$E$29/I91,1),"-")</f>
        <v>-</v>
      </c>
      <c r="K91" s="257"/>
      <c r="L91" s="233"/>
      <c r="M91" s="233"/>
      <c r="N91" s="233"/>
      <c r="O91" s="255" t="str">
        <f t="shared" si="4"/>
        <v>-</v>
      </c>
      <c r="P91" s="256" t="str">
        <f t="shared" si="5"/>
        <v>-</v>
      </c>
      <c r="Q91" s="87"/>
      <c r="R91" s="87"/>
    </row>
    <row r="92" spans="3:18" x14ac:dyDescent="0.25">
      <c r="C92" s="233"/>
      <c r="D92" s="249"/>
      <c r="E92" s="236"/>
      <c r="F92" s="250" t="str">
        <f t="shared" si="3"/>
        <v>-</v>
      </c>
      <c r="G92" s="242"/>
      <c r="H92" s="271"/>
      <c r="I92" s="233"/>
      <c r="J92" s="252" t="str">
        <f>IFERROR(MIN('MP Calculations'!$E$29/I92,1),"-")</f>
        <v>-</v>
      </c>
      <c r="K92" s="257"/>
      <c r="L92" s="233"/>
      <c r="M92" s="233"/>
      <c r="N92" s="233"/>
      <c r="O92" s="255" t="str">
        <f t="shared" si="4"/>
        <v>-</v>
      </c>
      <c r="P92" s="256" t="str">
        <f t="shared" si="5"/>
        <v>-</v>
      </c>
      <c r="Q92" s="87"/>
      <c r="R92" s="87"/>
    </row>
    <row r="93" spans="3:18" x14ac:dyDescent="0.25">
      <c r="C93" s="233"/>
      <c r="D93" s="249"/>
      <c r="E93" s="236"/>
      <c r="F93" s="250" t="str">
        <f t="shared" si="3"/>
        <v>-</v>
      </c>
      <c r="G93" s="242"/>
      <c r="H93" s="271"/>
      <c r="I93" s="233"/>
      <c r="J93" s="252" t="str">
        <f>IFERROR(MIN('MP Calculations'!$E$29/I93,1),"-")</f>
        <v>-</v>
      </c>
      <c r="K93" s="257"/>
      <c r="L93" s="233"/>
      <c r="M93" s="233"/>
      <c r="N93" s="233"/>
      <c r="O93" s="255" t="str">
        <f t="shared" si="4"/>
        <v>-</v>
      </c>
      <c r="P93" s="256" t="str">
        <f t="shared" si="5"/>
        <v>-</v>
      </c>
      <c r="Q93" s="87"/>
      <c r="R93" s="87"/>
    </row>
    <row r="94" spans="3:18" x14ac:dyDescent="0.25">
      <c r="C94" s="233"/>
      <c r="D94" s="249"/>
      <c r="E94" s="236"/>
      <c r="F94" s="250" t="str">
        <f t="shared" si="3"/>
        <v>-</v>
      </c>
      <c r="G94" s="242"/>
      <c r="H94" s="271"/>
      <c r="I94" s="233"/>
      <c r="J94" s="252" t="str">
        <f>IFERROR(MIN('MP Calculations'!$E$29/I94,1),"-")</f>
        <v>-</v>
      </c>
      <c r="K94" s="257"/>
      <c r="L94" s="233"/>
      <c r="M94" s="233"/>
      <c r="N94" s="233"/>
      <c r="O94" s="255" t="str">
        <f t="shared" si="4"/>
        <v>-</v>
      </c>
      <c r="P94" s="256" t="str">
        <f t="shared" si="5"/>
        <v>-</v>
      </c>
      <c r="Q94" s="87"/>
      <c r="R94" s="87"/>
    </row>
    <row r="95" spans="3:18" x14ac:dyDescent="0.25">
      <c r="C95" s="233"/>
      <c r="D95" s="249"/>
      <c r="E95" s="236"/>
      <c r="F95" s="250" t="str">
        <f t="shared" si="3"/>
        <v>-</v>
      </c>
      <c r="G95" s="242"/>
      <c r="H95" s="271"/>
      <c r="I95" s="233"/>
      <c r="J95" s="252" t="str">
        <f>IFERROR(MIN('MP Calculations'!$E$29/I95,1),"-")</f>
        <v>-</v>
      </c>
      <c r="K95" s="257"/>
      <c r="L95" s="233"/>
      <c r="M95" s="233"/>
      <c r="N95" s="233"/>
      <c r="O95" s="255" t="str">
        <f t="shared" si="4"/>
        <v>-</v>
      </c>
      <c r="P95" s="256" t="str">
        <f t="shared" si="5"/>
        <v>-</v>
      </c>
      <c r="Q95" s="87"/>
      <c r="R95" s="87"/>
    </row>
    <row r="96" spans="3:18" x14ac:dyDescent="0.25">
      <c r="C96" s="233"/>
      <c r="D96" s="249"/>
      <c r="E96" s="236"/>
      <c r="F96" s="250" t="str">
        <f t="shared" si="3"/>
        <v>-</v>
      </c>
      <c r="G96" s="242"/>
      <c r="H96" s="271"/>
      <c r="I96" s="233"/>
      <c r="J96" s="252" t="str">
        <f>IFERROR(MIN('MP Calculations'!$E$29/I96,1),"-")</f>
        <v>-</v>
      </c>
      <c r="K96" s="257"/>
      <c r="L96" s="233"/>
      <c r="M96" s="233"/>
      <c r="N96" s="233"/>
      <c r="O96" s="255" t="str">
        <f t="shared" si="4"/>
        <v>-</v>
      </c>
      <c r="P96" s="256" t="str">
        <f t="shared" si="5"/>
        <v>-</v>
      </c>
      <c r="Q96" s="87"/>
      <c r="R96" s="87"/>
    </row>
    <row r="97" spans="3:18" x14ac:dyDescent="0.25">
      <c r="C97" s="233"/>
      <c r="D97" s="249"/>
      <c r="E97" s="236"/>
      <c r="F97" s="250" t="str">
        <f t="shared" si="3"/>
        <v>-</v>
      </c>
      <c r="G97" s="242"/>
      <c r="H97" s="271"/>
      <c r="I97" s="233"/>
      <c r="J97" s="252" t="str">
        <f>IFERROR(MIN('MP Calculations'!$E$29/I97,1),"-")</f>
        <v>-</v>
      </c>
      <c r="K97" s="257"/>
      <c r="L97" s="233"/>
      <c r="M97" s="233"/>
      <c r="N97" s="233"/>
      <c r="O97" s="255" t="str">
        <f t="shared" si="4"/>
        <v>-</v>
      </c>
      <c r="P97" s="256" t="str">
        <f t="shared" si="5"/>
        <v>-</v>
      </c>
      <c r="Q97" s="87"/>
      <c r="R97" s="87"/>
    </row>
    <row r="98" spans="3:18" x14ac:dyDescent="0.25">
      <c r="C98" s="233"/>
      <c r="D98" s="249"/>
      <c r="E98" s="236"/>
      <c r="F98" s="250" t="str">
        <f t="shared" si="3"/>
        <v>-</v>
      </c>
      <c r="G98" s="242"/>
      <c r="H98" s="271"/>
      <c r="I98" s="233"/>
      <c r="J98" s="252" t="str">
        <f>IFERROR(MIN('MP Calculations'!$E$29/I98,1),"-")</f>
        <v>-</v>
      </c>
      <c r="K98" s="257"/>
      <c r="L98" s="233"/>
      <c r="M98" s="233"/>
      <c r="N98" s="233"/>
      <c r="O98" s="255" t="str">
        <f t="shared" si="4"/>
        <v>-</v>
      </c>
      <c r="P98" s="256" t="str">
        <f t="shared" si="5"/>
        <v>-</v>
      </c>
      <c r="Q98" s="87"/>
      <c r="R98" s="87"/>
    </row>
    <row r="99" spans="3:18" x14ac:dyDescent="0.25">
      <c r="C99" s="233"/>
      <c r="D99" s="249"/>
      <c r="E99" s="236"/>
      <c r="F99" s="250" t="str">
        <f t="shared" si="3"/>
        <v>-</v>
      </c>
      <c r="G99" s="242"/>
      <c r="H99" s="271"/>
      <c r="I99" s="233"/>
      <c r="J99" s="252" t="str">
        <f>IFERROR(MIN('MP Calculations'!$E$29/I99,1),"-")</f>
        <v>-</v>
      </c>
      <c r="K99" s="257"/>
      <c r="L99" s="233"/>
      <c r="M99" s="233"/>
      <c r="N99" s="233"/>
      <c r="O99" s="255" t="str">
        <f t="shared" si="4"/>
        <v>-</v>
      </c>
      <c r="P99" s="256" t="str">
        <f t="shared" si="5"/>
        <v>-</v>
      </c>
      <c r="Q99" s="87"/>
      <c r="R99" s="87"/>
    </row>
    <row r="100" spans="3:18" x14ac:dyDescent="0.25">
      <c r="C100" s="233"/>
      <c r="D100" s="249"/>
      <c r="E100" s="236"/>
      <c r="F100" s="250" t="str">
        <f t="shared" si="3"/>
        <v>-</v>
      </c>
      <c r="G100" s="242"/>
      <c r="H100" s="271"/>
      <c r="I100" s="233"/>
      <c r="J100" s="252" t="str">
        <f>IFERROR(MIN('MP Calculations'!$E$29/I100,1),"-")</f>
        <v>-</v>
      </c>
      <c r="K100" s="257"/>
      <c r="L100" s="233"/>
      <c r="M100" s="233"/>
      <c r="N100" s="233"/>
      <c r="O100" s="255" t="str">
        <f t="shared" si="4"/>
        <v>-</v>
      </c>
      <c r="P100" s="256" t="str">
        <f t="shared" si="5"/>
        <v>-</v>
      </c>
      <c r="Q100" s="87"/>
      <c r="R100" s="87"/>
    </row>
    <row r="101" spans="3:18" x14ac:dyDescent="0.25">
      <c r="C101" s="233"/>
      <c r="D101" s="249"/>
      <c r="E101" s="236"/>
      <c r="F101" s="250" t="str">
        <f t="shared" si="3"/>
        <v>-</v>
      </c>
      <c r="G101" s="242"/>
      <c r="H101" s="271"/>
      <c r="I101" s="233"/>
      <c r="J101" s="252" t="str">
        <f>IFERROR(MIN('MP Calculations'!$E$29/I101,1),"-")</f>
        <v>-</v>
      </c>
      <c r="K101" s="257"/>
      <c r="L101" s="233"/>
      <c r="M101" s="233"/>
      <c r="N101" s="233"/>
      <c r="O101" s="255" t="str">
        <f t="shared" si="4"/>
        <v>-</v>
      </c>
      <c r="P101" s="256" t="str">
        <f t="shared" si="5"/>
        <v>-</v>
      </c>
      <c r="Q101" s="87"/>
      <c r="R101" s="87"/>
    </row>
    <row r="102" spans="3:18" x14ac:dyDescent="0.25">
      <c r="C102" s="233"/>
      <c r="D102" s="249"/>
      <c r="E102" s="236"/>
      <c r="F102" s="250" t="str">
        <f t="shared" si="3"/>
        <v>-</v>
      </c>
      <c r="G102" s="242"/>
      <c r="H102" s="271"/>
      <c r="I102" s="233"/>
      <c r="J102" s="252" t="str">
        <f>IFERROR(MIN('MP Calculations'!$E$29/I102,1),"-")</f>
        <v>-</v>
      </c>
      <c r="K102" s="257"/>
      <c r="L102" s="233"/>
      <c r="M102" s="233"/>
      <c r="N102" s="233"/>
      <c r="O102" s="255" t="str">
        <f t="shared" si="4"/>
        <v>-</v>
      </c>
      <c r="P102" s="256" t="str">
        <f t="shared" si="5"/>
        <v>-</v>
      </c>
      <c r="Q102" s="87"/>
      <c r="R102" s="87"/>
    </row>
    <row r="103" spans="3:18" x14ac:dyDescent="0.25">
      <c r="C103" s="233"/>
      <c r="D103" s="249"/>
      <c r="E103" s="236"/>
      <c r="F103" s="250" t="str">
        <f t="shared" si="3"/>
        <v>-</v>
      </c>
      <c r="G103" s="242"/>
      <c r="H103" s="271"/>
      <c r="I103" s="233"/>
      <c r="J103" s="252" t="str">
        <f>IFERROR(MIN('MP Calculations'!$E$29/I103,1),"-")</f>
        <v>-</v>
      </c>
      <c r="K103" s="257"/>
      <c r="L103" s="233"/>
      <c r="M103" s="233"/>
      <c r="N103" s="233"/>
      <c r="O103" s="255" t="str">
        <f t="shared" si="4"/>
        <v>-</v>
      </c>
      <c r="P103" s="256" t="str">
        <f t="shared" si="5"/>
        <v>-</v>
      </c>
      <c r="Q103" s="87"/>
      <c r="R103" s="87"/>
    </row>
    <row r="104" spans="3:18" x14ac:dyDescent="0.25">
      <c r="C104" s="233"/>
      <c r="D104" s="249"/>
      <c r="E104" s="236"/>
      <c r="F104" s="250" t="str">
        <f t="shared" si="3"/>
        <v>-</v>
      </c>
      <c r="G104" s="242"/>
      <c r="H104" s="271"/>
      <c r="I104" s="233"/>
      <c r="J104" s="252" t="str">
        <f>IFERROR(MIN('MP Calculations'!$E$29/I104,1),"-")</f>
        <v>-</v>
      </c>
      <c r="K104" s="257"/>
      <c r="L104" s="233"/>
      <c r="M104" s="233"/>
      <c r="N104" s="233"/>
      <c r="O104" s="255" t="str">
        <f t="shared" si="4"/>
        <v>-</v>
      </c>
      <c r="P104" s="256" t="str">
        <f t="shared" si="5"/>
        <v>-</v>
      </c>
      <c r="Q104" s="87"/>
      <c r="R104" s="87"/>
    </row>
    <row r="105" spans="3:18" x14ac:dyDescent="0.25">
      <c r="C105" s="233"/>
      <c r="D105" s="249"/>
      <c r="E105" s="236"/>
      <c r="F105" s="250" t="str">
        <f t="shared" si="3"/>
        <v>-</v>
      </c>
      <c r="G105" s="242"/>
      <c r="H105" s="271"/>
      <c r="I105" s="233"/>
      <c r="J105" s="252" t="str">
        <f>IFERROR(MIN('MP Calculations'!$E$29/I105,1),"-")</f>
        <v>-</v>
      </c>
      <c r="K105" s="257"/>
      <c r="L105" s="233"/>
      <c r="M105" s="233"/>
      <c r="N105" s="233"/>
      <c r="O105" s="255" t="str">
        <f t="shared" si="4"/>
        <v>-</v>
      </c>
      <c r="P105" s="256" t="str">
        <f t="shared" si="5"/>
        <v>-</v>
      </c>
      <c r="Q105" s="87"/>
      <c r="R105" s="87"/>
    </row>
    <row r="106" spans="3:18" x14ac:dyDescent="0.25">
      <c r="C106" s="233"/>
      <c r="D106" s="249"/>
      <c r="E106" s="236"/>
      <c r="F106" s="250" t="str">
        <f t="shared" si="3"/>
        <v>-</v>
      </c>
      <c r="G106" s="242"/>
      <c r="H106" s="271"/>
      <c r="I106" s="233"/>
      <c r="J106" s="252" t="str">
        <f>IFERROR(MIN('MP Calculations'!$E$29/I106,1),"-")</f>
        <v>-</v>
      </c>
      <c r="K106" s="257"/>
      <c r="L106" s="233"/>
      <c r="M106" s="233"/>
      <c r="N106" s="233"/>
      <c r="O106" s="255" t="str">
        <f t="shared" si="4"/>
        <v>-</v>
      </c>
      <c r="P106" s="256" t="str">
        <f t="shared" si="5"/>
        <v>-</v>
      </c>
      <c r="Q106" s="87"/>
      <c r="R106" s="87"/>
    </row>
    <row r="107" spans="3:18" x14ac:dyDescent="0.25">
      <c r="C107" s="233"/>
      <c r="D107" s="249"/>
      <c r="E107" s="236"/>
      <c r="F107" s="250" t="str">
        <f t="shared" si="3"/>
        <v>-</v>
      </c>
      <c r="G107" s="242"/>
      <c r="H107" s="271"/>
      <c r="I107" s="233"/>
      <c r="J107" s="252" t="str">
        <f>IFERROR(MIN('MP Calculations'!$E$29/I107,1),"-")</f>
        <v>-</v>
      </c>
      <c r="K107" s="257"/>
      <c r="L107" s="233"/>
      <c r="M107" s="233"/>
      <c r="N107" s="233"/>
      <c r="O107" s="255" t="str">
        <f t="shared" si="4"/>
        <v>-</v>
      </c>
      <c r="P107" s="256" t="str">
        <f t="shared" si="5"/>
        <v>-</v>
      </c>
      <c r="Q107" s="87"/>
      <c r="R107" s="87"/>
    </row>
    <row r="108" spans="3:18" x14ac:dyDescent="0.25">
      <c r="C108" s="233"/>
      <c r="D108" s="249"/>
      <c r="E108" s="236"/>
      <c r="F108" s="250" t="str">
        <f t="shared" si="3"/>
        <v>-</v>
      </c>
      <c r="G108" s="242"/>
      <c r="H108" s="271"/>
      <c r="I108" s="233"/>
      <c r="J108" s="252" t="str">
        <f>IFERROR(MIN('MP Calculations'!$E$29/I108,1),"-")</f>
        <v>-</v>
      </c>
      <c r="K108" s="257"/>
      <c r="L108" s="233"/>
      <c r="M108" s="233"/>
      <c r="N108" s="233"/>
      <c r="O108" s="255" t="str">
        <f t="shared" si="4"/>
        <v>-</v>
      </c>
      <c r="P108" s="256" t="str">
        <f t="shared" si="5"/>
        <v>-</v>
      </c>
      <c r="Q108" s="87"/>
      <c r="R108" s="87"/>
    </row>
    <row r="109" spans="3:18" x14ac:dyDescent="0.25">
      <c r="C109" s="233"/>
      <c r="D109" s="249"/>
      <c r="E109" s="236"/>
      <c r="F109" s="250" t="str">
        <f t="shared" si="3"/>
        <v>-</v>
      </c>
      <c r="G109" s="242"/>
      <c r="H109" s="271"/>
      <c r="I109" s="233"/>
      <c r="J109" s="252" t="str">
        <f>IFERROR(MIN('MP Calculations'!$E$29/I109,1),"-")</f>
        <v>-</v>
      </c>
      <c r="K109" s="257"/>
      <c r="L109" s="233"/>
      <c r="M109" s="233"/>
      <c r="N109" s="233"/>
      <c r="O109" s="255" t="str">
        <f t="shared" si="4"/>
        <v>-</v>
      </c>
      <c r="P109" s="256" t="str">
        <f t="shared" si="5"/>
        <v>-</v>
      </c>
      <c r="Q109" s="87"/>
      <c r="R109" s="87"/>
    </row>
    <row r="110" spans="3:18" x14ac:dyDescent="0.25">
      <c r="C110" s="233"/>
      <c r="D110" s="249"/>
      <c r="E110" s="236"/>
      <c r="F110" s="250" t="str">
        <f t="shared" si="3"/>
        <v>-</v>
      </c>
      <c r="G110" s="242"/>
      <c r="H110" s="271"/>
      <c r="I110" s="233"/>
      <c r="J110" s="252" t="str">
        <f>IFERROR(MIN('MP Calculations'!$E$29/I110,1),"-")</f>
        <v>-</v>
      </c>
      <c r="K110" s="257"/>
      <c r="L110" s="233"/>
      <c r="M110" s="233"/>
      <c r="N110" s="233"/>
      <c r="O110" s="255" t="str">
        <f t="shared" si="4"/>
        <v>-</v>
      </c>
      <c r="P110" s="256" t="str">
        <f t="shared" si="5"/>
        <v>-</v>
      </c>
      <c r="Q110" s="87"/>
      <c r="R110" s="87"/>
    </row>
    <row r="111" spans="3:18" x14ac:dyDescent="0.25">
      <c r="C111" s="233"/>
      <c r="D111" s="249"/>
      <c r="E111" s="236"/>
      <c r="F111" s="250" t="str">
        <f t="shared" si="3"/>
        <v>-</v>
      </c>
      <c r="G111" s="242"/>
      <c r="H111" s="271"/>
      <c r="I111" s="233"/>
      <c r="J111" s="252" t="str">
        <f>IFERROR(MIN('MP Calculations'!$E$29/I111,1),"-")</f>
        <v>-</v>
      </c>
      <c r="K111" s="257"/>
      <c r="L111" s="233"/>
      <c r="M111" s="233"/>
      <c r="N111" s="233"/>
      <c r="O111" s="255" t="str">
        <f t="shared" si="4"/>
        <v>-</v>
      </c>
      <c r="P111" s="256" t="str">
        <f t="shared" si="5"/>
        <v>-</v>
      </c>
      <c r="Q111" s="87"/>
      <c r="R111" s="87"/>
    </row>
    <row r="112" spans="3:18" x14ac:dyDescent="0.25">
      <c r="C112" s="233"/>
      <c r="D112" s="249"/>
      <c r="E112" s="236"/>
      <c r="F112" s="250" t="str">
        <f t="shared" si="3"/>
        <v>-</v>
      </c>
      <c r="G112" s="242"/>
      <c r="H112" s="271"/>
      <c r="I112" s="233"/>
      <c r="J112" s="252" t="str">
        <f>IFERROR(MIN('MP Calculations'!$E$29/I112,1),"-")</f>
        <v>-</v>
      </c>
      <c r="K112" s="257"/>
      <c r="L112" s="233"/>
      <c r="M112" s="233"/>
      <c r="N112" s="233"/>
      <c r="O112" s="255" t="str">
        <f t="shared" si="4"/>
        <v>-</v>
      </c>
      <c r="P112" s="256" t="str">
        <f t="shared" si="5"/>
        <v>-</v>
      </c>
      <c r="Q112" s="87"/>
      <c r="R112" s="87"/>
    </row>
    <row r="113" spans="3:18" x14ac:dyDescent="0.25">
      <c r="C113" s="233"/>
      <c r="D113" s="249"/>
      <c r="E113" s="236"/>
      <c r="F113" s="250" t="str">
        <f t="shared" si="3"/>
        <v>-</v>
      </c>
      <c r="G113" s="242"/>
      <c r="H113" s="271"/>
      <c r="I113" s="233"/>
      <c r="J113" s="252" t="str">
        <f>IFERROR(MIN('MP Calculations'!$E$29/I113,1),"-")</f>
        <v>-</v>
      </c>
      <c r="K113" s="257"/>
      <c r="L113" s="233"/>
      <c r="M113" s="233"/>
      <c r="N113" s="233"/>
      <c r="O113" s="255" t="str">
        <f t="shared" si="4"/>
        <v>-</v>
      </c>
      <c r="P113" s="256" t="str">
        <f t="shared" si="5"/>
        <v>-</v>
      </c>
      <c r="Q113" s="87"/>
      <c r="R113" s="87"/>
    </row>
    <row r="114" spans="3:18" x14ac:dyDescent="0.25">
      <c r="C114" s="233"/>
      <c r="D114" s="249"/>
      <c r="E114" s="236"/>
      <c r="F114" s="250" t="str">
        <f t="shared" si="3"/>
        <v>-</v>
      </c>
      <c r="G114" s="242"/>
      <c r="H114" s="271"/>
      <c r="I114" s="233"/>
      <c r="J114" s="252" t="str">
        <f>IFERROR(MIN('MP Calculations'!$E$29/I114,1),"-")</f>
        <v>-</v>
      </c>
      <c r="K114" s="257"/>
      <c r="L114" s="233"/>
      <c r="M114" s="233"/>
      <c r="N114" s="233"/>
      <c r="O114" s="255" t="str">
        <f t="shared" si="4"/>
        <v>-</v>
      </c>
      <c r="P114" s="256" t="str">
        <f t="shared" si="5"/>
        <v>-</v>
      </c>
      <c r="Q114" s="87"/>
      <c r="R114" s="87"/>
    </row>
    <row r="115" spans="3:18" x14ac:dyDescent="0.25">
      <c r="C115" s="233"/>
      <c r="D115" s="249"/>
      <c r="E115" s="236"/>
      <c r="F115" s="250" t="str">
        <f t="shared" si="3"/>
        <v>-</v>
      </c>
      <c r="G115" s="242"/>
      <c r="H115" s="271"/>
      <c r="I115" s="233"/>
      <c r="J115" s="252" t="str">
        <f>IFERROR(MIN('MP Calculations'!$E$29/I115,1),"-")</f>
        <v>-</v>
      </c>
      <c r="K115" s="257"/>
      <c r="L115" s="233"/>
      <c r="M115" s="233"/>
      <c r="N115" s="233"/>
      <c r="O115" s="255" t="str">
        <f t="shared" si="4"/>
        <v>-</v>
      </c>
      <c r="P115" s="256" t="str">
        <f t="shared" si="5"/>
        <v>-</v>
      </c>
      <c r="Q115" s="87"/>
      <c r="R115" s="87"/>
    </row>
    <row r="116" spans="3:18" x14ac:dyDescent="0.25">
      <c r="C116" s="233"/>
      <c r="D116" s="249"/>
      <c r="E116" s="236"/>
      <c r="F116" s="250" t="str">
        <f t="shared" si="3"/>
        <v>-</v>
      </c>
      <c r="G116" s="242"/>
      <c r="H116" s="271"/>
      <c r="I116" s="233"/>
      <c r="J116" s="252" t="str">
        <f>IFERROR(MIN('MP Calculations'!$E$29/I116,1),"-")</f>
        <v>-</v>
      </c>
      <c r="K116" s="257"/>
      <c r="L116" s="233"/>
      <c r="M116" s="233"/>
      <c r="N116" s="233"/>
      <c r="O116" s="255" t="str">
        <f t="shared" si="4"/>
        <v>-</v>
      </c>
      <c r="P116" s="256" t="str">
        <f t="shared" si="5"/>
        <v>-</v>
      </c>
      <c r="Q116" s="87"/>
      <c r="R116" s="87"/>
    </row>
    <row r="117" spans="3:18" x14ac:dyDescent="0.25">
      <c r="C117" s="233"/>
      <c r="D117" s="249"/>
      <c r="E117" s="236"/>
      <c r="F117" s="250" t="str">
        <f t="shared" si="3"/>
        <v>-</v>
      </c>
      <c r="G117" s="242"/>
      <c r="H117" s="271"/>
      <c r="I117" s="233"/>
      <c r="J117" s="252" t="str">
        <f>IFERROR(MIN('MP Calculations'!$E$29/I117,1),"-")</f>
        <v>-</v>
      </c>
      <c r="K117" s="257"/>
      <c r="L117" s="233"/>
      <c r="M117" s="233"/>
      <c r="N117" s="233"/>
      <c r="O117" s="255" t="str">
        <f t="shared" si="4"/>
        <v>-</v>
      </c>
      <c r="P117" s="256" t="str">
        <f t="shared" si="5"/>
        <v>-</v>
      </c>
      <c r="Q117" s="87"/>
      <c r="R117" s="87"/>
    </row>
    <row r="118" spans="3:18" x14ac:dyDescent="0.25">
      <c r="C118" s="233"/>
      <c r="D118" s="249"/>
      <c r="E118" s="236"/>
      <c r="F118" s="250" t="str">
        <f t="shared" si="3"/>
        <v>-</v>
      </c>
      <c r="G118" s="242"/>
      <c r="H118" s="271"/>
      <c r="I118" s="233"/>
      <c r="J118" s="252" t="str">
        <f>IFERROR(MIN('MP Calculations'!$E$29/I118,1),"-")</f>
        <v>-</v>
      </c>
      <c r="K118" s="257"/>
      <c r="L118" s="233"/>
      <c r="M118" s="233"/>
      <c r="N118" s="233"/>
      <c r="O118" s="255" t="str">
        <f t="shared" si="4"/>
        <v>-</v>
      </c>
      <c r="P118" s="256" t="str">
        <f t="shared" si="5"/>
        <v>-</v>
      </c>
      <c r="Q118" s="87"/>
      <c r="R118" s="87"/>
    </row>
    <row r="119" spans="3:18" x14ac:dyDescent="0.25">
      <c r="C119" s="233"/>
      <c r="D119" s="249"/>
      <c r="E119" s="236"/>
      <c r="F119" s="250" t="str">
        <f t="shared" si="3"/>
        <v>-</v>
      </c>
      <c r="G119" s="242"/>
      <c r="H119" s="271"/>
      <c r="I119" s="233"/>
      <c r="J119" s="252" t="str">
        <f>IFERROR(MIN('MP Calculations'!$E$29/I119,1),"-")</f>
        <v>-</v>
      </c>
      <c r="K119" s="257"/>
      <c r="L119" s="233"/>
      <c r="M119" s="233"/>
      <c r="N119" s="233"/>
      <c r="O119" s="255" t="str">
        <f t="shared" si="4"/>
        <v>-</v>
      </c>
      <c r="P119" s="256" t="str">
        <f t="shared" si="5"/>
        <v>-</v>
      </c>
      <c r="Q119" s="87"/>
      <c r="R119" s="87"/>
    </row>
    <row r="120" spans="3:18" x14ac:dyDescent="0.25">
      <c r="C120" s="233"/>
      <c r="D120" s="249"/>
      <c r="E120" s="236"/>
      <c r="F120" s="250" t="str">
        <f t="shared" ref="F120:F183" si="6">IF(E120="","-",IF(E120&lt;$E$15,"ERROR - date outside of range",IF(MONTH(E120)&gt;=7,YEAR(E120)&amp;"-"&amp;RIGHT(YEAR(E120),2)+1,YEAR(E120)-1&amp;"-"&amp;RIGHT(YEAR(E120),2))))</f>
        <v>-</v>
      </c>
      <c r="G120" s="242"/>
      <c r="H120" s="271"/>
      <c r="I120" s="233"/>
      <c r="J120" s="252" t="str">
        <f>IFERROR(MIN('MP Calculations'!$E$29/I120,1),"-")</f>
        <v>-</v>
      </c>
      <c r="K120" s="257"/>
      <c r="L120" s="233"/>
      <c r="M120" s="233"/>
      <c r="N120" s="233"/>
      <c r="O120" s="255" t="str">
        <f t="shared" si="4"/>
        <v>-</v>
      </c>
      <c r="P120" s="256" t="str">
        <f t="shared" ref="P120:P183" si="7">IF(O120="-","-",IF(E120&lt;$E$15,0,O120*J120))</f>
        <v>-</v>
      </c>
      <c r="Q120" s="87"/>
      <c r="R120" s="87"/>
    </row>
    <row r="121" spans="3:18" x14ac:dyDescent="0.25">
      <c r="C121" s="233"/>
      <c r="D121" s="249"/>
      <c r="E121" s="236"/>
      <c r="F121" s="250" t="str">
        <f t="shared" si="6"/>
        <v>-</v>
      </c>
      <c r="G121" s="242"/>
      <c r="H121" s="271"/>
      <c r="I121" s="233"/>
      <c r="J121" s="252" t="str">
        <f>IFERROR(MIN('MP Calculations'!$E$29/I121,1),"-")</f>
        <v>-</v>
      </c>
      <c r="K121" s="257"/>
      <c r="L121" s="233"/>
      <c r="M121" s="233"/>
      <c r="N121" s="233"/>
      <c r="O121" s="255" t="str">
        <f t="shared" si="4"/>
        <v>-</v>
      </c>
      <c r="P121" s="256" t="str">
        <f t="shared" si="7"/>
        <v>-</v>
      </c>
      <c r="Q121" s="87"/>
      <c r="R121" s="87"/>
    </row>
    <row r="122" spans="3:18" x14ac:dyDescent="0.25">
      <c r="C122" s="233"/>
      <c r="D122" s="249"/>
      <c r="E122" s="236"/>
      <c r="F122" s="250" t="str">
        <f t="shared" si="6"/>
        <v>-</v>
      </c>
      <c r="G122" s="242"/>
      <c r="H122" s="271"/>
      <c r="I122" s="233"/>
      <c r="J122" s="252" t="str">
        <f>IFERROR(MIN('MP Calculations'!$E$29/I122,1),"-")</f>
        <v>-</v>
      </c>
      <c r="K122" s="257"/>
      <c r="L122" s="233"/>
      <c r="M122" s="233"/>
      <c r="N122" s="233"/>
      <c r="O122" s="255" t="str">
        <f t="shared" si="4"/>
        <v>-</v>
      </c>
      <c r="P122" s="256" t="str">
        <f t="shared" si="7"/>
        <v>-</v>
      </c>
      <c r="Q122" s="87"/>
      <c r="R122" s="87"/>
    </row>
    <row r="123" spans="3:18" x14ac:dyDescent="0.25">
      <c r="C123" s="233"/>
      <c r="D123" s="249"/>
      <c r="E123" s="236"/>
      <c r="F123" s="250" t="str">
        <f t="shared" si="6"/>
        <v>-</v>
      </c>
      <c r="G123" s="242"/>
      <c r="H123" s="271"/>
      <c r="I123" s="233"/>
      <c r="J123" s="252" t="str">
        <f>IFERROR(MIN('MP Calculations'!$E$29/I123,1),"-")</f>
        <v>-</v>
      </c>
      <c r="K123" s="257"/>
      <c r="L123" s="233"/>
      <c r="M123" s="233"/>
      <c r="N123" s="233"/>
      <c r="O123" s="255" t="str">
        <f t="shared" si="4"/>
        <v>-</v>
      </c>
      <c r="P123" s="256" t="str">
        <f t="shared" si="7"/>
        <v>-</v>
      </c>
      <c r="Q123" s="87"/>
      <c r="R123" s="87"/>
    </row>
    <row r="124" spans="3:18" x14ac:dyDescent="0.25">
      <c r="C124" s="233"/>
      <c r="D124" s="249"/>
      <c r="E124" s="236"/>
      <c r="F124" s="250" t="str">
        <f t="shared" si="6"/>
        <v>-</v>
      </c>
      <c r="G124" s="242"/>
      <c r="H124" s="271"/>
      <c r="I124" s="233"/>
      <c r="J124" s="252" t="str">
        <f>IFERROR(MIN('MP Calculations'!$E$29/I124,1),"-")</f>
        <v>-</v>
      </c>
      <c r="K124" s="257"/>
      <c r="L124" s="233"/>
      <c r="M124" s="233"/>
      <c r="N124" s="233"/>
      <c r="O124" s="255" t="str">
        <f t="shared" si="4"/>
        <v>-</v>
      </c>
      <c r="P124" s="256" t="str">
        <f t="shared" si="7"/>
        <v>-</v>
      </c>
      <c r="Q124" s="87"/>
      <c r="R124" s="87"/>
    </row>
    <row r="125" spans="3:18" x14ac:dyDescent="0.25">
      <c r="C125" s="233"/>
      <c r="D125" s="249"/>
      <c r="E125" s="236"/>
      <c r="F125" s="250" t="str">
        <f t="shared" si="6"/>
        <v>-</v>
      </c>
      <c r="G125" s="242"/>
      <c r="H125" s="271"/>
      <c r="I125" s="233"/>
      <c r="J125" s="252" t="str">
        <f>IFERROR(MIN('MP Calculations'!$E$29/I125,1),"-")</f>
        <v>-</v>
      </c>
      <c r="K125" s="257"/>
      <c r="L125" s="233"/>
      <c r="M125" s="233"/>
      <c r="N125" s="233"/>
      <c r="O125" s="255" t="str">
        <f t="shared" si="4"/>
        <v>-</v>
      </c>
      <c r="P125" s="256" t="str">
        <f t="shared" si="7"/>
        <v>-</v>
      </c>
      <c r="Q125" s="87"/>
      <c r="R125" s="87"/>
    </row>
    <row r="126" spans="3:18" x14ac:dyDescent="0.25">
      <c r="C126" s="233"/>
      <c r="D126" s="249"/>
      <c r="E126" s="236"/>
      <c r="F126" s="250" t="str">
        <f t="shared" si="6"/>
        <v>-</v>
      </c>
      <c r="G126" s="242"/>
      <c r="H126" s="271"/>
      <c r="I126" s="233"/>
      <c r="J126" s="252" t="str">
        <f>IFERROR(MIN('MP Calculations'!$E$29/I126,1),"-")</f>
        <v>-</v>
      </c>
      <c r="K126" s="257"/>
      <c r="L126" s="233"/>
      <c r="M126" s="233"/>
      <c r="N126" s="233"/>
      <c r="O126" s="255" t="str">
        <f t="shared" si="4"/>
        <v>-</v>
      </c>
      <c r="P126" s="256" t="str">
        <f t="shared" si="7"/>
        <v>-</v>
      </c>
      <c r="Q126" s="87"/>
      <c r="R126" s="87"/>
    </row>
    <row r="127" spans="3:18" x14ac:dyDescent="0.25">
      <c r="C127" s="233"/>
      <c r="D127" s="249"/>
      <c r="E127" s="236"/>
      <c r="F127" s="250" t="str">
        <f t="shared" si="6"/>
        <v>-</v>
      </c>
      <c r="G127" s="242"/>
      <c r="H127" s="271"/>
      <c r="I127" s="233"/>
      <c r="J127" s="252" t="str">
        <f>IFERROR(MIN('MP Calculations'!$E$29/I127,1),"-")</f>
        <v>-</v>
      </c>
      <c r="K127" s="257"/>
      <c r="L127" s="233"/>
      <c r="M127" s="233"/>
      <c r="N127" s="233"/>
      <c r="O127" s="255" t="str">
        <f t="shared" si="4"/>
        <v>-</v>
      </c>
      <c r="P127" s="256" t="str">
        <f t="shared" si="7"/>
        <v>-</v>
      </c>
      <c r="Q127" s="87"/>
      <c r="R127" s="87"/>
    </row>
    <row r="128" spans="3:18" x14ac:dyDescent="0.25">
      <c r="C128" s="233"/>
      <c r="D128" s="249"/>
      <c r="E128" s="236"/>
      <c r="F128" s="250" t="str">
        <f t="shared" si="6"/>
        <v>-</v>
      </c>
      <c r="G128" s="242"/>
      <c r="H128" s="271"/>
      <c r="I128" s="233"/>
      <c r="J128" s="252" t="str">
        <f>IFERROR(MIN('MP Calculations'!$E$29/I128,1),"-")</f>
        <v>-</v>
      </c>
      <c r="K128" s="257"/>
      <c r="L128" s="233"/>
      <c r="M128" s="233"/>
      <c r="N128" s="233"/>
      <c r="O128" s="255" t="str">
        <f t="shared" si="4"/>
        <v>-</v>
      </c>
      <c r="P128" s="256" t="str">
        <f t="shared" si="7"/>
        <v>-</v>
      </c>
      <c r="Q128" s="87"/>
      <c r="R128" s="87"/>
    </row>
    <row r="129" spans="3:18" x14ac:dyDescent="0.25">
      <c r="C129" s="233"/>
      <c r="D129" s="249"/>
      <c r="E129" s="236"/>
      <c r="F129" s="250" t="str">
        <f t="shared" si="6"/>
        <v>-</v>
      </c>
      <c r="G129" s="242"/>
      <c r="H129" s="271"/>
      <c r="I129" s="233"/>
      <c r="J129" s="252" t="str">
        <f>IFERROR(MIN('MP Calculations'!$E$29/I129,1),"-")</f>
        <v>-</v>
      </c>
      <c r="K129" s="257"/>
      <c r="L129" s="233"/>
      <c r="M129" s="233"/>
      <c r="N129" s="233"/>
      <c r="O129" s="255" t="str">
        <f t="shared" si="4"/>
        <v>-</v>
      </c>
      <c r="P129" s="256" t="str">
        <f t="shared" si="7"/>
        <v>-</v>
      </c>
      <c r="Q129" s="87"/>
      <c r="R129" s="87"/>
    </row>
    <row r="130" spans="3:18" x14ac:dyDescent="0.25">
      <c r="C130" s="233"/>
      <c r="D130" s="249"/>
      <c r="E130" s="236"/>
      <c r="F130" s="250" t="str">
        <f t="shared" si="6"/>
        <v>-</v>
      </c>
      <c r="G130" s="242"/>
      <c r="H130" s="271"/>
      <c r="I130" s="233"/>
      <c r="J130" s="252" t="str">
        <f>IFERROR(MIN('MP Calculations'!$E$29/I130,1),"-")</f>
        <v>-</v>
      </c>
      <c r="K130" s="257"/>
      <c r="L130" s="233"/>
      <c r="M130" s="233"/>
      <c r="N130" s="233"/>
      <c r="O130" s="255" t="str">
        <f t="shared" si="4"/>
        <v>-</v>
      </c>
      <c r="P130" s="256" t="str">
        <f t="shared" si="7"/>
        <v>-</v>
      </c>
      <c r="Q130" s="87"/>
      <c r="R130" s="87"/>
    </row>
    <row r="131" spans="3:18" x14ac:dyDescent="0.25">
      <c r="C131" s="233"/>
      <c r="D131" s="249"/>
      <c r="E131" s="236"/>
      <c r="F131" s="250" t="str">
        <f t="shared" si="6"/>
        <v>-</v>
      </c>
      <c r="G131" s="242"/>
      <c r="H131" s="271"/>
      <c r="I131" s="233"/>
      <c r="J131" s="252" t="str">
        <f>IFERROR(MIN('MP Calculations'!$E$29/I131,1),"-")</f>
        <v>-</v>
      </c>
      <c r="K131" s="257"/>
      <c r="L131" s="233"/>
      <c r="M131" s="233"/>
      <c r="N131" s="233"/>
      <c r="O131" s="255" t="str">
        <f t="shared" si="4"/>
        <v>-</v>
      </c>
      <c r="P131" s="256" t="str">
        <f t="shared" si="7"/>
        <v>-</v>
      </c>
      <c r="Q131" s="87"/>
      <c r="R131" s="87"/>
    </row>
    <row r="132" spans="3:18" x14ac:dyDescent="0.25">
      <c r="C132" s="233"/>
      <c r="D132" s="249"/>
      <c r="E132" s="236"/>
      <c r="F132" s="250" t="str">
        <f t="shared" si="6"/>
        <v>-</v>
      </c>
      <c r="G132" s="242"/>
      <c r="H132" s="271"/>
      <c r="I132" s="233"/>
      <c r="J132" s="252" t="str">
        <f>IFERROR(MIN('MP Calculations'!$E$29/I132,1),"-")</f>
        <v>-</v>
      </c>
      <c r="K132" s="257"/>
      <c r="L132" s="233"/>
      <c r="M132" s="233"/>
      <c r="N132" s="233"/>
      <c r="O132" s="255" t="str">
        <f t="shared" si="4"/>
        <v>-</v>
      </c>
      <c r="P132" s="256" t="str">
        <f t="shared" si="7"/>
        <v>-</v>
      </c>
      <c r="Q132" s="87"/>
      <c r="R132" s="87"/>
    </row>
    <row r="133" spans="3:18" x14ac:dyDescent="0.25">
      <c r="C133" s="233"/>
      <c r="D133" s="249"/>
      <c r="E133" s="236"/>
      <c r="F133" s="250" t="str">
        <f t="shared" si="6"/>
        <v>-</v>
      </c>
      <c r="G133" s="242"/>
      <c r="H133" s="271"/>
      <c r="I133" s="233"/>
      <c r="J133" s="252" t="str">
        <f>IFERROR(MIN('MP Calculations'!$E$29/I133,1),"-")</f>
        <v>-</v>
      </c>
      <c r="K133" s="257"/>
      <c r="L133" s="233"/>
      <c r="M133" s="233"/>
      <c r="N133" s="233"/>
      <c r="O133" s="255" t="str">
        <f t="shared" si="4"/>
        <v>-</v>
      </c>
      <c r="P133" s="256" t="str">
        <f t="shared" si="7"/>
        <v>-</v>
      </c>
      <c r="Q133" s="87"/>
      <c r="R133" s="87"/>
    </row>
    <row r="134" spans="3:18" x14ac:dyDescent="0.25">
      <c r="C134" s="233"/>
      <c r="D134" s="249"/>
      <c r="E134" s="236"/>
      <c r="F134" s="250" t="str">
        <f t="shared" si="6"/>
        <v>-</v>
      </c>
      <c r="G134" s="242"/>
      <c r="H134" s="271"/>
      <c r="I134" s="233"/>
      <c r="J134" s="252" t="str">
        <f>IFERROR(MIN('MP Calculations'!$E$29/I134,1),"-")</f>
        <v>-</v>
      </c>
      <c r="K134" s="257"/>
      <c r="L134" s="233"/>
      <c r="M134" s="233"/>
      <c r="N134" s="233"/>
      <c r="O134" s="255" t="str">
        <f t="shared" si="4"/>
        <v>-</v>
      </c>
      <c r="P134" s="256" t="str">
        <f t="shared" si="7"/>
        <v>-</v>
      </c>
      <c r="Q134" s="87"/>
      <c r="R134" s="87"/>
    </row>
    <row r="135" spans="3:18" x14ac:dyDescent="0.25">
      <c r="C135" s="233"/>
      <c r="D135" s="249"/>
      <c r="E135" s="236"/>
      <c r="F135" s="250" t="str">
        <f t="shared" si="6"/>
        <v>-</v>
      </c>
      <c r="G135" s="242"/>
      <c r="H135" s="271"/>
      <c r="I135" s="233"/>
      <c r="J135" s="252" t="str">
        <f>IFERROR(MIN('MP Calculations'!$E$29/I135,1),"-")</f>
        <v>-</v>
      </c>
      <c r="K135" s="257"/>
      <c r="L135" s="233"/>
      <c r="M135" s="233"/>
      <c r="N135" s="233"/>
      <c r="O135" s="255" t="str">
        <f t="shared" si="4"/>
        <v>-</v>
      </c>
      <c r="P135" s="256" t="str">
        <f t="shared" si="7"/>
        <v>-</v>
      </c>
      <c r="Q135" s="87"/>
      <c r="R135" s="87"/>
    </row>
    <row r="136" spans="3:18" x14ac:dyDescent="0.25">
      <c r="C136" s="233"/>
      <c r="D136" s="249"/>
      <c r="E136" s="236"/>
      <c r="F136" s="250" t="str">
        <f t="shared" si="6"/>
        <v>-</v>
      </c>
      <c r="G136" s="242"/>
      <c r="H136" s="271"/>
      <c r="I136" s="233"/>
      <c r="J136" s="252" t="str">
        <f>IFERROR(MIN('MP Calculations'!$E$29/I136,1),"-")</f>
        <v>-</v>
      </c>
      <c r="K136" s="257"/>
      <c r="L136" s="233"/>
      <c r="M136" s="233"/>
      <c r="N136" s="233"/>
      <c r="O136" s="255" t="str">
        <f t="shared" si="4"/>
        <v>-</v>
      </c>
      <c r="P136" s="256" t="str">
        <f t="shared" si="7"/>
        <v>-</v>
      </c>
      <c r="Q136" s="87"/>
      <c r="R136" s="87"/>
    </row>
    <row r="137" spans="3:18" x14ac:dyDescent="0.25">
      <c r="C137" s="233"/>
      <c r="D137" s="249"/>
      <c r="E137" s="236"/>
      <c r="F137" s="250" t="str">
        <f t="shared" si="6"/>
        <v>-</v>
      </c>
      <c r="G137" s="242"/>
      <c r="H137" s="271"/>
      <c r="I137" s="233"/>
      <c r="J137" s="252" t="str">
        <f>IFERROR(MIN('MP Calculations'!$E$29/I137,1),"-")</f>
        <v>-</v>
      </c>
      <c r="K137" s="257"/>
      <c r="L137" s="233"/>
      <c r="M137" s="233"/>
      <c r="N137" s="233"/>
      <c r="O137" s="255" t="str">
        <f t="shared" si="4"/>
        <v>-</v>
      </c>
      <c r="P137" s="256" t="str">
        <f t="shared" si="7"/>
        <v>-</v>
      </c>
      <c r="Q137" s="87"/>
      <c r="R137" s="87"/>
    </row>
    <row r="138" spans="3:18" x14ac:dyDescent="0.25">
      <c r="C138" s="233"/>
      <c r="D138" s="249"/>
      <c r="E138" s="236"/>
      <c r="F138" s="250" t="str">
        <f t="shared" si="6"/>
        <v>-</v>
      </c>
      <c r="G138" s="242"/>
      <c r="H138" s="271"/>
      <c r="I138" s="233"/>
      <c r="J138" s="252" t="str">
        <f>IFERROR(MIN('MP Calculations'!$E$29/I138,1),"-")</f>
        <v>-</v>
      </c>
      <c r="K138" s="257"/>
      <c r="L138" s="233"/>
      <c r="M138" s="233"/>
      <c r="N138" s="233"/>
      <c r="O138" s="255" t="str">
        <f t="shared" si="4"/>
        <v>-</v>
      </c>
      <c r="P138" s="256" t="str">
        <f t="shared" si="7"/>
        <v>-</v>
      </c>
      <c r="Q138" s="87"/>
      <c r="R138" s="87"/>
    </row>
    <row r="139" spans="3:18" x14ac:dyDescent="0.25">
      <c r="C139" s="233"/>
      <c r="D139" s="249"/>
      <c r="E139" s="236"/>
      <c r="F139" s="250" t="str">
        <f t="shared" si="6"/>
        <v>-</v>
      </c>
      <c r="G139" s="242"/>
      <c r="H139" s="271"/>
      <c r="I139" s="233"/>
      <c r="J139" s="252" t="str">
        <f>IFERROR(MIN('MP Calculations'!$E$29/I139,1),"-")</f>
        <v>-</v>
      </c>
      <c r="K139" s="257"/>
      <c r="L139" s="233"/>
      <c r="M139" s="233"/>
      <c r="N139" s="233"/>
      <c r="O139" s="255" t="str">
        <f t="shared" si="4"/>
        <v>-</v>
      </c>
      <c r="P139" s="256" t="str">
        <f t="shared" si="7"/>
        <v>-</v>
      </c>
      <c r="Q139" s="87"/>
      <c r="R139" s="87"/>
    </row>
    <row r="140" spans="3:18" x14ac:dyDescent="0.25">
      <c r="C140" s="233"/>
      <c r="D140" s="249"/>
      <c r="E140" s="236"/>
      <c r="F140" s="250" t="str">
        <f t="shared" si="6"/>
        <v>-</v>
      </c>
      <c r="G140" s="242"/>
      <c r="H140" s="271"/>
      <c r="I140" s="233"/>
      <c r="J140" s="252" t="str">
        <f>IFERROR(MIN('MP Calculations'!$E$29/I140,1),"-")</f>
        <v>-</v>
      </c>
      <c r="K140" s="257"/>
      <c r="L140" s="233"/>
      <c r="M140" s="233"/>
      <c r="N140" s="233"/>
      <c r="O140" s="255" t="str">
        <f t="shared" si="4"/>
        <v>-</v>
      </c>
      <c r="P140" s="256" t="str">
        <f t="shared" si="7"/>
        <v>-</v>
      </c>
      <c r="Q140" s="87"/>
      <c r="R140" s="87"/>
    </row>
    <row r="141" spans="3:18" x14ac:dyDescent="0.25">
      <c r="C141" s="233"/>
      <c r="D141" s="249"/>
      <c r="E141" s="236"/>
      <c r="F141" s="250" t="str">
        <f t="shared" si="6"/>
        <v>-</v>
      </c>
      <c r="G141" s="242"/>
      <c r="H141" s="271"/>
      <c r="I141" s="233"/>
      <c r="J141" s="252" t="str">
        <f>IFERROR(MIN('MP Calculations'!$E$29/I141,1),"-")</f>
        <v>-</v>
      </c>
      <c r="K141" s="257"/>
      <c r="L141" s="233"/>
      <c r="M141" s="233"/>
      <c r="N141" s="233"/>
      <c r="O141" s="255" t="str">
        <f t="shared" si="4"/>
        <v>-</v>
      </c>
      <c r="P141" s="256" t="str">
        <f t="shared" si="7"/>
        <v>-</v>
      </c>
      <c r="Q141" s="87"/>
      <c r="R141" s="87"/>
    </row>
    <row r="142" spans="3:18" x14ac:dyDescent="0.25">
      <c r="C142" s="233"/>
      <c r="D142" s="249"/>
      <c r="E142" s="236"/>
      <c r="F142" s="250" t="str">
        <f t="shared" si="6"/>
        <v>-</v>
      </c>
      <c r="G142" s="242"/>
      <c r="H142" s="271"/>
      <c r="I142" s="233"/>
      <c r="J142" s="252" t="str">
        <f>IFERROR(MIN('MP Calculations'!$E$29/I142,1),"-")</f>
        <v>-</v>
      </c>
      <c r="K142" s="257"/>
      <c r="L142" s="233"/>
      <c r="M142" s="233"/>
      <c r="N142" s="233"/>
      <c r="O142" s="255" t="str">
        <f t="shared" si="4"/>
        <v>-</v>
      </c>
      <c r="P142" s="256" t="str">
        <f t="shared" si="7"/>
        <v>-</v>
      </c>
      <c r="Q142" s="87"/>
      <c r="R142" s="87"/>
    </row>
    <row r="143" spans="3:18" x14ac:dyDescent="0.25">
      <c r="C143" s="233"/>
      <c r="D143" s="249"/>
      <c r="E143" s="236"/>
      <c r="F143" s="250" t="str">
        <f t="shared" si="6"/>
        <v>-</v>
      </c>
      <c r="G143" s="242"/>
      <c r="H143" s="271"/>
      <c r="I143" s="233"/>
      <c r="J143" s="252" t="str">
        <f>IFERROR(MIN('MP Calculations'!$E$29/I143,1),"-")</f>
        <v>-</v>
      </c>
      <c r="K143" s="257"/>
      <c r="L143" s="233"/>
      <c r="M143" s="233"/>
      <c r="N143" s="233"/>
      <c r="O143" s="255" t="str">
        <f t="shared" si="4"/>
        <v>-</v>
      </c>
      <c r="P143" s="256" t="str">
        <f t="shared" si="7"/>
        <v>-</v>
      </c>
      <c r="Q143" s="87"/>
      <c r="R143" s="87"/>
    </row>
    <row r="144" spans="3:18" x14ac:dyDescent="0.25">
      <c r="C144" s="233"/>
      <c r="D144" s="249"/>
      <c r="E144" s="236"/>
      <c r="F144" s="250" t="str">
        <f t="shared" si="6"/>
        <v>-</v>
      </c>
      <c r="G144" s="242"/>
      <c r="H144" s="271"/>
      <c r="I144" s="233"/>
      <c r="J144" s="252" t="str">
        <f>IFERROR(MIN('MP Calculations'!$E$29/I144,1),"-")</f>
        <v>-</v>
      </c>
      <c r="K144" s="257"/>
      <c r="L144" s="233"/>
      <c r="M144" s="233"/>
      <c r="N144" s="233"/>
      <c r="O144" s="255" t="str">
        <f t="shared" si="4"/>
        <v>-</v>
      </c>
      <c r="P144" s="256" t="str">
        <f t="shared" si="7"/>
        <v>-</v>
      </c>
      <c r="Q144" s="87"/>
      <c r="R144" s="87"/>
    </row>
    <row r="145" spans="3:18" x14ac:dyDescent="0.25">
      <c r="C145" s="233"/>
      <c r="D145" s="249"/>
      <c r="E145" s="236"/>
      <c r="F145" s="250" t="str">
        <f t="shared" si="6"/>
        <v>-</v>
      </c>
      <c r="G145" s="242"/>
      <c r="H145" s="271"/>
      <c r="I145" s="233"/>
      <c r="J145" s="252" t="str">
        <f>IFERROR(MIN('MP Calculations'!$E$29/I145,1),"-")</f>
        <v>-</v>
      </c>
      <c r="K145" s="257"/>
      <c r="L145" s="233"/>
      <c r="M145" s="233"/>
      <c r="N145" s="233"/>
      <c r="O145" s="255" t="str">
        <f t="shared" si="4"/>
        <v>-</v>
      </c>
      <c r="P145" s="256" t="str">
        <f t="shared" si="7"/>
        <v>-</v>
      </c>
      <c r="Q145" s="87"/>
      <c r="R145" s="87"/>
    </row>
    <row r="146" spans="3:18" x14ac:dyDescent="0.25">
      <c r="C146" s="233"/>
      <c r="D146" s="249"/>
      <c r="E146" s="236"/>
      <c r="F146" s="250" t="str">
        <f t="shared" si="6"/>
        <v>-</v>
      </c>
      <c r="G146" s="242"/>
      <c r="H146" s="271"/>
      <c r="I146" s="233"/>
      <c r="J146" s="252" t="str">
        <f>IFERROR(MIN('MP Calculations'!$E$29/I146,1),"-")</f>
        <v>-</v>
      </c>
      <c r="K146" s="257"/>
      <c r="L146" s="233"/>
      <c r="M146" s="233"/>
      <c r="N146" s="233"/>
      <c r="O146" s="255" t="str">
        <f t="shared" si="4"/>
        <v>-</v>
      </c>
      <c r="P146" s="256" t="str">
        <f t="shared" si="7"/>
        <v>-</v>
      </c>
      <c r="Q146" s="87"/>
      <c r="R146" s="87"/>
    </row>
    <row r="147" spans="3:18" x14ac:dyDescent="0.25">
      <c r="C147" s="233"/>
      <c r="D147" s="249"/>
      <c r="E147" s="236"/>
      <c r="F147" s="250" t="str">
        <f t="shared" si="6"/>
        <v>-</v>
      </c>
      <c r="G147" s="242"/>
      <c r="H147" s="271"/>
      <c r="I147" s="233"/>
      <c r="J147" s="252" t="str">
        <f>IFERROR(MIN('MP Calculations'!$E$29/I147,1),"-")</f>
        <v>-</v>
      </c>
      <c r="K147" s="257"/>
      <c r="L147" s="233"/>
      <c r="M147" s="233"/>
      <c r="N147" s="233"/>
      <c r="O147" s="255" t="str">
        <f t="shared" si="4"/>
        <v>-</v>
      </c>
      <c r="P147" s="256" t="str">
        <f t="shared" si="7"/>
        <v>-</v>
      </c>
      <c r="Q147" s="87"/>
      <c r="R147" s="87"/>
    </row>
    <row r="148" spans="3:18" x14ac:dyDescent="0.25">
      <c r="C148" s="233"/>
      <c r="D148" s="249"/>
      <c r="E148" s="236"/>
      <c r="F148" s="250" t="str">
        <f t="shared" si="6"/>
        <v>-</v>
      </c>
      <c r="G148" s="242"/>
      <c r="H148" s="271"/>
      <c r="I148" s="233"/>
      <c r="J148" s="252" t="str">
        <f>IFERROR(MIN('MP Calculations'!$E$29/I148,1),"-")</f>
        <v>-</v>
      </c>
      <c r="K148" s="257"/>
      <c r="L148" s="233"/>
      <c r="M148" s="233"/>
      <c r="N148" s="233"/>
      <c r="O148" s="255" t="str">
        <f t="shared" si="4"/>
        <v>-</v>
      </c>
      <c r="P148" s="256" t="str">
        <f t="shared" si="7"/>
        <v>-</v>
      </c>
      <c r="Q148" s="87"/>
      <c r="R148" s="87"/>
    </row>
    <row r="149" spans="3:18" x14ac:dyDescent="0.25">
      <c r="C149" s="233"/>
      <c r="D149" s="249"/>
      <c r="E149" s="236"/>
      <c r="F149" s="250" t="str">
        <f t="shared" si="6"/>
        <v>-</v>
      </c>
      <c r="G149" s="242"/>
      <c r="H149" s="271"/>
      <c r="I149" s="233"/>
      <c r="J149" s="252" t="str">
        <f>IFERROR(MIN('MP Calculations'!$E$29/I149,1),"-")</f>
        <v>-</v>
      </c>
      <c r="K149" s="257"/>
      <c r="L149" s="233"/>
      <c r="M149" s="233"/>
      <c r="N149" s="233"/>
      <c r="O149" s="255" t="str">
        <f t="shared" si="4"/>
        <v>-</v>
      </c>
      <c r="P149" s="256" t="str">
        <f t="shared" si="7"/>
        <v>-</v>
      </c>
      <c r="Q149" s="87"/>
      <c r="R149" s="87"/>
    </row>
    <row r="150" spans="3:18" x14ac:dyDescent="0.25">
      <c r="C150" s="233"/>
      <c r="D150" s="249"/>
      <c r="E150" s="236"/>
      <c r="F150" s="250" t="str">
        <f t="shared" si="6"/>
        <v>-</v>
      </c>
      <c r="G150" s="242"/>
      <c r="H150" s="271"/>
      <c r="I150" s="233"/>
      <c r="J150" s="252" t="str">
        <f>IFERROR(MIN('MP Calculations'!$E$29/I150,1),"-")</f>
        <v>-</v>
      </c>
      <c r="K150" s="257"/>
      <c r="L150" s="233"/>
      <c r="M150" s="233"/>
      <c r="N150" s="233"/>
      <c r="O150" s="255" t="str">
        <f t="shared" si="4"/>
        <v>-</v>
      </c>
      <c r="P150" s="256" t="str">
        <f t="shared" si="7"/>
        <v>-</v>
      </c>
      <c r="Q150" s="87"/>
      <c r="R150" s="87"/>
    </row>
    <row r="151" spans="3:18" x14ac:dyDescent="0.25">
      <c r="C151" s="233"/>
      <c r="D151" s="249"/>
      <c r="E151" s="236"/>
      <c r="F151" s="250" t="str">
        <f t="shared" si="6"/>
        <v>-</v>
      </c>
      <c r="G151" s="242"/>
      <c r="H151" s="271"/>
      <c r="I151" s="233"/>
      <c r="J151" s="252" t="str">
        <f>IFERROR(MIN('MP Calculations'!$E$29/I151,1),"-")</f>
        <v>-</v>
      </c>
      <c r="K151" s="257"/>
      <c r="L151" s="233"/>
      <c r="M151" s="233"/>
      <c r="N151" s="233"/>
      <c r="O151" s="255" t="str">
        <f t="shared" ref="O151:O214" si="8">IF(N151="","-",L151*N151)</f>
        <v>-</v>
      </c>
      <c r="P151" s="256" t="str">
        <f t="shared" si="7"/>
        <v>-</v>
      </c>
      <c r="Q151" s="87"/>
      <c r="R151" s="87"/>
    </row>
    <row r="152" spans="3:18" x14ac:dyDescent="0.25">
      <c r="C152" s="233"/>
      <c r="D152" s="249"/>
      <c r="E152" s="236"/>
      <c r="F152" s="250" t="str">
        <f t="shared" si="6"/>
        <v>-</v>
      </c>
      <c r="G152" s="242"/>
      <c r="H152" s="271"/>
      <c r="I152" s="233"/>
      <c r="J152" s="252" t="str">
        <f>IFERROR(MIN('MP Calculations'!$E$29/I152,1),"-")</f>
        <v>-</v>
      </c>
      <c r="K152" s="257"/>
      <c r="L152" s="233"/>
      <c r="M152" s="233"/>
      <c r="N152" s="233"/>
      <c r="O152" s="255" t="str">
        <f t="shared" si="8"/>
        <v>-</v>
      </c>
      <c r="P152" s="256" t="str">
        <f t="shared" si="7"/>
        <v>-</v>
      </c>
      <c r="Q152" s="87"/>
      <c r="R152" s="87"/>
    </row>
    <row r="153" spans="3:18" x14ac:dyDescent="0.25">
      <c r="C153" s="233"/>
      <c r="D153" s="249"/>
      <c r="E153" s="236"/>
      <c r="F153" s="250" t="str">
        <f t="shared" si="6"/>
        <v>-</v>
      </c>
      <c r="G153" s="242"/>
      <c r="H153" s="271"/>
      <c r="I153" s="233"/>
      <c r="J153" s="252" t="str">
        <f>IFERROR(MIN('MP Calculations'!$E$29/I153,1),"-")</f>
        <v>-</v>
      </c>
      <c r="K153" s="257"/>
      <c r="L153" s="233"/>
      <c r="M153" s="233"/>
      <c r="N153" s="233"/>
      <c r="O153" s="255" t="str">
        <f t="shared" si="8"/>
        <v>-</v>
      </c>
      <c r="P153" s="256" t="str">
        <f t="shared" si="7"/>
        <v>-</v>
      </c>
      <c r="Q153" s="87"/>
      <c r="R153" s="87"/>
    </row>
    <row r="154" spans="3:18" x14ac:dyDescent="0.25">
      <c r="C154" s="233"/>
      <c r="D154" s="249"/>
      <c r="E154" s="236"/>
      <c r="F154" s="250" t="str">
        <f t="shared" si="6"/>
        <v>-</v>
      </c>
      <c r="G154" s="242"/>
      <c r="H154" s="271"/>
      <c r="I154" s="233"/>
      <c r="J154" s="252" t="str">
        <f>IFERROR(MIN('MP Calculations'!$E$29/I154,1),"-")</f>
        <v>-</v>
      </c>
      <c r="K154" s="257"/>
      <c r="L154" s="233"/>
      <c r="M154" s="233"/>
      <c r="N154" s="233"/>
      <c r="O154" s="255" t="str">
        <f t="shared" si="8"/>
        <v>-</v>
      </c>
      <c r="P154" s="256" t="str">
        <f t="shared" si="7"/>
        <v>-</v>
      </c>
      <c r="Q154" s="87"/>
      <c r="R154" s="87"/>
    </row>
    <row r="155" spans="3:18" x14ac:dyDescent="0.25">
      <c r="C155" s="233"/>
      <c r="D155" s="249"/>
      <c r="E155" s="236"/>
      <c r="F155" s="250" t="str">
        <f t="shared" si="6"/>
        <v>-</v>
      </c>
      <c r="G155" s="242"/>
      <c r="H155" s="271"/>
      <c r="I155" s="233"/>
      <c r="J155" s="252" t="str">
        <f>IFERROR(MIN('MP Calculations'!$E$29/I155,1),"-")</f>
        <v>-</v>
      </c>
      <c r="K155" s="257"/>
      <c r="L155" s="233"/>
      <c r="M155" s="233"/>
      <c r="N155" s="233"/>
      <c r="O155" s="255" t="str">
        <f t="shared" si="8"/>
        <v>-</v>
      </c>
      <c r="P155" s="256" t="str">
        <f t="shared" si="7"/>
        <v>-</v>
      </c>
      <c r="Q155" s="87"/>
      <c r="R155" s="87"/>
    </row>
    <row r="156" spans="3:18" x14ac:dyDescent="0.25">
      <c r="C156" s="233"/>
      <c r="D156" s="249"/>
      <c r="E156" s="236"/>
      <c r="F156" s="250" t="str">
        <f t="shared" si="6"/>
        <v>-</v>
      </c>
      <c r="G156" s="242"/>
      <c r="H156" s="271"/>
      <c r="I156" s="233"/>
      <c r="J156" s="252" t="str">
        <f>IFERROR(MIN('MP Calculations'!$E$29/I156,1),"-")</f>
        <v>-</v>
      </c>
      <c r="K156" s="257"/>
      <c r="L156" s="233"/>
      <c r="M156" s="233"/>
      <c r="N156" s="233"/>
      <c r="O156" s="255" t="str">
        <f t="shared" si="8"/>
        <v>-</v>
      </c>
      <c r="P156" s="256" t="str">
        <f t="shared" si="7"/>
        <v>-</v>
      </c>
      <c r="Q156" s="87"/>
      <c r="R156" s="87"/>
    </row>
    <row r="157" spans="3:18" x14ac:dyDescent="0.25">
      <c r="C157" s="233"/>
      <c r="D157" s="249"/>
      <c r="E157" s="236"/>
      <c r="F157" s="250" t="str">
        <f t="shared" si="6"/>
        <v>-</v>
      </c>
      <c r="G157" s="242"/>
      <c r="H157" s="271"/>
      <c r="I157" s="233"/>
      <c r="J157" s="252" t="str">
        <f>IFERROR(MIN('MP Calculations'!$E$29/I157,1),"-")</f>
        <v>-</v>
      </c>
      <c r="K157" s="257"/>
      <c r="L157" s="233"/>
      <c r="M157" s="233"/>
      <c r="N157" s="233"/>
      <c r="O157" s="255" t="str">
        <f t="shared" si="8"/>
        <v>-</v>
      </c>
      <c r="P157" s="256" t="str">
        <f t="shared" si="7"/>
        <v>-</v>
      </c>
      <c r="Q157" s="87"/>
      <c r="R157" s="87"/>
    </row>
    <row r="158" spans="3:18" x14ac:dyDescent="0.25">
      <c r="C158" s="233"/>
      <c r="D158" s="249"/>
      <c r="E158" s="236"/>
      <c r="F158" s="250" t="str">
        <f t="shared" si="6"/>
        <v>-</v>
      </c>
      <c r="G158" s="242"/>
      <c r="H158" s="271"/>
      <c r="I158" s="233"/>
      <c r="J158" s="252" t="str">
        <f>IFERROR(MIN('MP Calculations'!$E$29/I158,1),"-")</f>
        <v>-</v>
      </c>
      <c r="K158" s="257"/>
      <c r="L158" s="233"/>
      <c r="M158" s="233"/>
      <c r="N158" s="233"/>
      <c r="O158" s="255" t="str">
        <f t="shared" si="8"/>
        <v>-</v>
      </c>
      <c r="P158" s="256" t="str">
        <f t="shared" si="7"/>
        <v>-</v>
      </c>
      <c r="Q158" s="87"/>
      <c r="R158" s="87"/>
    </row>
    <row r="159" spans="3:18" x14ac:dyDescent="0.25">
      <c r="C159" s="233"/>
      <c r="D159" s="249"/>
      <c r="E159" s="236"/>
      <c r="F159" s="250" t="str">
        <f t="shared" si="6"/>
        <v>-</v>
      </c>
      <c r="G159" s="242"/>
      <c r="H159" s="271"/>
      <c r="I159" s="233"/>
      <c r="J159" s="252" t="str">
        <f>IFERROR(MIN('MP Calculations'!$E$29/I159,1),"-")</f>
        <v>-</v>
      </c>
      <c r="K159" s="257"/>
      <c r="L159" s="233"/>
      <c r="M159" s="233"/>
      <c r="N159" s="233"/>
      <c r="O159" s="255" t="str">
        <f t="shared" si="8"/>
        <v>-</v>
      </c>
      <c r="P159" s="256" t="str">
        <f t="shared" si="7"/>
        <v>-</v>
      </c>
      <c r="Q159" s="87"/>
      <c r="R159" s="87"/>
    </row>
    <row r="160" spans="3:18" x14ac:dyDescent="0.25">
      <c r="C160" s="233"/>
      <c r="D160" s="249"/>
      <c r="E160" s="236"/>
      <c r="F160" s="250" t="str">
        <f t="shared" si="6"/>
        <v>-</v>
      </c>
      <c r="G160" s="242"/>
      <c r="H160" s="271"/>
      <c r="I160" s="233"/>
      <c r="J160" s="252" t="str">
        <f>IFERROR(MIN('MP Calculations'!$E$29/I160,1),"-")</f>
        <v>-</v>
      </c>
      <c r="K160" s="257"/>
      <c r="L160" s="233"/>
      <c r="M160" s="233"/>
      <c r="N160" s="233"/>
      <c r="O160" s="255" t="str">
        <f t="shared" si="8"/>
        <v>-</v>
      </c>
      <c r="P160" s="256" t="str">
        <f t="shared" si="7"/>
        <v>-</v>
      </c>
      <c r="Q160" s="87"/>
      <c r="R160" s="87"/>
    </row>
    <row r="161" spans="3:18" x14ac:dyDescent="0.25">
      <c r="C161" s="233"/>
      <c r="D161" s="249"/>
      <c r="E161" s="236"/>
      <c r="F161" s="250" t="str">
        <f t="shared" si="6"/>
        <v>-</v>
      </c>
      <c r="G161" s="242"/>
      <c r="H161" s="271"/>
      <c r="I161" s="233"/>
      <c r="J161" s="252" t="str">
        <f>IFERROR(MIN('MP Calculations'!$E$29/I161,1),"-")</f>
        <v>-</v>
      </c>
      <c r="K161" s="257"/>
      <c r="L161" s="233"/>
      <c r="M161" s="233"/>
      <c r="N161" s="233"/>
      <c r="O161" s="255" t="str">
        <f t="shared" si="8"/>
        <v>-</v>
      </c>
      <c r="P161" s="256" t="str">
        <f t="shared" si="7"/>
        <v>-</v>
      </c>
      <c r="Q161" s="87"/>
      <c r="R161" s="87"/>
    </row>
    <row r="162" spans="3:18" x14ac:dyDescent="0.25">
      <c r="C162" s="233"/>
      <c r="D162" s="249"/>
      <c r="E162" s="236"/>
      <c r="F162" s="250" t="str">
        <f t="shared" si="6"/>
        <v>-</v>
      </c>
      <c r="G162" s="242"/>
      <c r="H162" s="271"/>
      <c r="I162" s="233"/>
      <c r="J162" s="252" t="str">
        <f>IFERROR(MIN('MP Calculations'!$E$29/I162,1),"-")</f>
        <v>-</v>
      </c>
      <c r="K162" s="257"/>
      <c r="L162" s="233"/>
      <c r="M162" s="233"/>
      <c r="N162" s="233"/>
      <c r="O162" s="255" t="str">
        <f t="shared" si="8"/>
        <v>-</v>
      </c>
      <c r="P162" s="256" t="str">
        <f t="shared" si="7"/>
        <v>-</v>
      </c>
      <c r="Q162" s="87"/>
      <c r="R162" s="87"/>
    </row>
    <row r="163" spans="3:18" x14ac:dyDescent="0.25">
      <c r="C163" s="233"/>
      <c r="D163" s="249"/>
      <c r="E163" s="236"/>
      <c r="F163" s="250" t="str">
        <f t="shared" si="6"/>
        <v>-</v>
      </c>
      <c r="G163" s="242"/>
      <c r="H163" s="271"/>
      <c r="I163" s="233"/>
      <c r="J163" s="252" t="str">
        <f>IFERROR(MIN('MP Calculations'!$E$29/I163,1),"-")</f>
        <v>-</v>
      </c>
      <c r="K163" s="257"/>
      <c r="L163" s="233"/>
      <c r="M163" s="233"/>
      <c r="N163" s="233"/>
      <c r="O163" s="255" t="str">
        <f t="shared" si="8"/>
        <v>-</v>
      </c>
      <c r="P163" s="256" t="str">
        <f t="shared" si="7"/>
        <v>-</v>
      </c>
      <c r="Q163" s="87"/>
      <c r="R163" s="87"/>
    </row>
    <row r="164" spans="3:18" x14ac:dyDescent="0.25">
      <c r="C164" s="233"/>
      <c r="D164" s="249"/>
      <c r="E164" s="236"/>
      <c r="F164" s="250" t="str">
        <f t="shared" si="6"/>
        <v>-</v>
      </c>
      <c r="G164" s="242"/>
      <c r="H164" s="271"/>
      <c r="I164" s="233"/>
      <c r="J164" s="252" t="str">
        <f>IFERROR(MIN('MP Calculations'!$E$29/I164,1),"-")</f>
        <v>-</v>
      </c>
      <c r="K164" s="257"/>
      <c r="L164" s="233"/>
      <c r="M164" s="233"/>
      <c r="N164" s="233"/>
      <c r="O164" s="255" t="str">
        <f t="shared" si="8"/>
        <v>-</v>
      </c>
      <c r="P164" s="256" t="str">
        <f t="shared" si="7"/>
        <v>-</v>
      </c>
      <c r="Q164" s="87"/>
      <c r="R164" s="87"/>
    </row>
    <row r="165" spans="3:18" x14ac:dyDescent="0.25">
      <c r="C165" s="233"/>
      <c r="D165" s="249"/>
      <c r="E165" s="236"/>
      <c r="F165" s="250" t="str">
        <f t="shared" si="6"/>
        <v>-</v>
      </c>
      <c r="G165" s="242"/>
      <c r="H165" s="271"/>
      <c r="I165" s="233"/>
      <c r="J165" s="252" t="str">
        <f>IFERROR(MIN('MP Calculations'!$E$29/I165,1),"-")</f>
        <v>-</v>
      </c>
      <c r="K165" s="257"/>
      <c r="L165" s="233"/>
      <c r="M165" s="233"/>
      <c r="N165" s="233"/>
      <c r="O165" s="255" t="str">
        <f t="shared" si="8"/>
        <v>-</v>
      </c>
      <c r="P165" s="256" t="str">
        <f t="shared" si="7"/>
        <v>-</v>
      </c>
      <c r="Q165" s="87"/>
      <c r="R165" s="87"/>
    </row>
    <row r="166" spans="3:18" x14ac:dyDescent="0.25">
      <c r="C166" s="233"/>
      <c r="D166" s="249"/>
      <c r="E166" s="236"/>
      <c r="F166" s="250" t="str">
        <f t="shared" si="6"/>
        <v>-</v>
      </c>
      <c r="G166" s="242"/>
      <c r="H166" s="271"/>
      <c r="I166" s="233"/>
      <c r="J166" s="252" t="str">
        <f>IFERROR(MIN('MP Calculations'!$E$29/I166,1),"-")</f>
        <v>-</v>
      </c>
      <c r="K166" s="257"/>
      <c r="L166" s="233"/>
      <c r="M166" s="233"/>
      <c r="N166" s="233"/>
      <c r="O166" s="255" t="str">
        <f t="shared" si="8"/>
        <v>-</v>
      </c>
      <c r="P166" s="256" t="str">
        <f t="shared" si="7"/>
        <v>-</v>
      </c>
      <c r="Q166" s="87"/>
      <c r="R166" s="87"/>
    </row>
    <row r="167" spans="3:18" x14ac:dyDescent="0.25">
      <c r="C167" s="233"/>
      <c r="D167" s="249"/>
      <c r="E167" s="236"/>
      <c r="F167" s="250" t="str">
        <f t="shared" si="6"/>
        <v>-</v>
      </c>
      <c r="G167" s="242"/>
      <c r="H167" s="271"/>
      <c r="I167" s="233"/>
      <c r="J167" s="252" t="str">
        <f>IFERROR(MIN('MP Calculations'!$E$29/I167,1),"-")</f>
        <v>-</v>
      </c>
      <c r="K167" s="257"/>
      <c r="L167" s="233"/>
      <c r="M167" s="233"/>
      <c r="N167" s="233"/>
      <c r="O167" s="255" t="str">
        <f t="shared" si="8"/>
        <v>-</v>
      </c>
      <c r="P167" s="256" t="str">
        <f t="shared" si="7"/>
        <v>-</v>
      </c>
      <c r="Q167" s="87"/>
      <c r="R167" s="87"/>
    </row>
    <row r="168" spans="3:18" x14ac:dyDescent="0.25">
      <c r="C168" s="233"/>
      <c r="D168" s="249"/>
      <c r="E168" s="236"/>
      <c r="F168" s="250" t="str">
        <f t="shared" si="6"/>
        <v>-</v>
      </c>
      <c r="G168" s="242"/>
      <c r="H168" s="271"/>
      <c r="I168" s="233"/>
      <c r="J168" s="252" t="str">
        <f>IFERROR(MIN('MP Calculations'!$E$29/I168,1),"-")</f>
        <v>-</v>
      </c>
      <c r="K168" s="257"/>
      <c r="L168" s="233"/>
      <c r="M168" s="233"/>
      <c r="N168" s="233"/>
      <c r="O168" s="255" t="str">
        <f t="shared" si="8"/>
        <v>-</v>
      </c>
      <c r="P168" s="256" t="str">
        <f t="shared" si="7"/>
        <v>-</v>
      </c>
      <c r="Q168" s="87"/>
      <c r="R168" s="87"/>
    </row>
    <row r="169" spans="3:18" x14ac:dyDescent="0.25">
      <c r="C169" s="233"/>
      <c r="D169" s="249"/>
      <c r="E169" s="236"/>
      <c r="F169" s="250" t="str">
        <f t="shared" si="6"/>
        <v>-</v>
      </c>
      <c r="G169" s="242"/>
      <c r="H169" s="271"/>
      <c r="I169" s="233"/>
      <c r="J169" s="252" t="str">
        <f>IFERROR(MIN('MP Calculations'!$E$29/I169,1),"-")</f>
        <v>-</v>
      </c>
      <c r="K169" s="257"/>
      <c r="L169" s="233"/>
      <c r="M169" s="233"/>
      <c r="N169" s="233"/>
      <c r="O169" s="255" t="str">
        <f t="shared" si="8"/>
        <v>-</v>
      </c>
      <c r="P169" s="256" t="str">
        <f t="shared" si="7"/>
        <v>-</v>
      </c>
      <c r="Q169" s="87"/>
      <c r="R169" s="87"/>
    </row>
    <row r="170" spans="3:18" x14ac:dyDescent="0.25">
      <c r="C170" s="233"/>
      <c r="D170" s="249"/>
      <c r="E170" s="236"/>
      <c r="F170" s="250" t="str">
        <f t="shared" si="6"/>
        <v>-</v>
      </c>
      <c r="G170" s="242"/>
      <c r="H170" s="271"/>
      <c r="I170" s="233"/>
      <c r="J170" s="252" t="str">
        <f>IFERROR(MIN('MP Calculations'!$E$29/I170,1),"-")</f>
        <v>-</v>
      </c>
      <c r="K170" s="257"/>
      <c r="L170" s="233"/>
      <c r="M170" s="233"/>
      <c r="N170" s="233"/>
      <c r="O170" s="255" t="str">
        <f t="shared" si="8"/>
        <v>-</v>
      </c>
      <c r="P170" s="256" t="str">
        <f t="shared" si="7"/>
        <v>-</v>
      </c>
      <c r="Q170" s="87"/>
      <c r="R170" s="87"/>
    </row>
    <row r="171" spans="3:18" x14ac:dyDescent="0.25">
      <c r="C171" s="233"/>
      <c r="D171" s="249"/>
      <c r="E171" s="236"/>
      <c r="F171" s="250" t="str">
        <f t="shared" si="6"/>
        <v>-</v>
      </c>
      <c r="G171" s="242"/>
      <c r="H171" s="271"/>
      <c r="I171" s="233"/>
      <c r="J171" s="252" t="str">
        <f>IFERROR(MIN('MP Calculations'!$E$29/I171,1),"-")</f>
        <v>-</v>
      </c>
      <c r="K171" s="257"/>
      <c r="L171" s="233"/>
      <c r="M171" s="233"/>
      <c r="N171" s="233"/>
      <c r="O171" s="255" t="str">
        <f t="shared" si="8"/>
        <v>-</v>
      </c>
      <c r="P171" s="256" t="str">
        <f t="shared" si="7"/>
        <v>-</v>
      </c>
      <c r="Q171" s="87"/>
      <c r="R171" s="87"/>
    </row>
    <row r="172" spans="3:18" x14ac:dyDescent="0.25">
      <c r="C172" s="233"/>
      <c r="D172" s="249"/>
      <c r="E172" s="236"/>
      <c r="F172" s="250" t="str">
        <f t="shared" si="6"/>
        <v>-</v>
      </c>
      <c r="G172" s="242"/>
      <c r="H172" s="271"/>
      <c r="I172" s="233"/>
      <c r="J172" s="252" t="str">
        <f>IFERROR(MIN('MP Calculations'!$E$29/I172,1),"-")</f>
        <v>-</v>
      </c>
      <c r="K172" s="257"/>
      <c r="L172" s="233"/>
      <c r="M172" s="233"/>
      <c r="N172" s="233"/>
      <c r="O172" s="255" t="str">
        <f t="shared" si="8"/>
        <v>-</v>
      </c>
      <c r="P172" s="256" t="str">
        <f t="shared" si="7"/>
        <v>-</v>
      </c>
      <c r="Q172" s="87"/>
      <c r="R172" s="87"/>
    </row>
    <row r="173" spans="3:18" x14ac:dyDescent="0.25">
      <c r="C173" s="233"/>
      <c r="D173" s="249"/>
      <c r="E173" s="236"/>
      <c r="F173" s="250" t="str">
        <f t="shared" si="6"/>
        <v>-</v>
      </c>
      <c r="G173" s="242"/>
      <c r="H173" s="271"/>
      <c r="I173" s="233"/>
      <c r="J173" s="252" t="str">
        <f>IFERROR(MIN('MP Calculations'!$E$29/I173,1),"-")</f>
        <v>-</v>
      </c>
      <c r="K173" s="257"/>
      <c r="L173" s="233"/>
      <c r="M173" s="233"/>
      <c r="N173" s="233"/>
      <c r="O173" s="255" t="str">
        <f t="shared" si="8"/>
        <v>-</v>
      </c>
      <c r="P173" s="256" t="str">
        <f t="shared" si="7"/>
        <v>-</v>
      </c>
      <c r="Q173" s="87"/>
      <c r="R173" s="87"/>
    </row>
    <row r="174" spans="3:18" x14ac:dyDescent="0.25">
      <c r="C174" s="233"/>
      <c r="D174" s="249"/>
      <c r="E174" s="236"/>
      <c r="F174" s="250" t="str">
        <f t="shared" si="6"/>
        <v>-</v>
      </c>
      <c r="G174" s="242"/>
      <c r="H174" s="271"/>
      <c r="I174" s="233"/>
      <c r="J174" s="252" t="str">
        <f>IFERROR(MIN('MP Calculations'!$E$29/I174,1),"-")</f>
        <v>-</v>
      </c>
      <c r="K174" s="257"/>
      <c r="L174" s="233"/>
      <c r="M174" s="233"/>
      <c r="N174" s="233"/>
      <c r="O174" s="255" t="str">
        <f t="shared" si="8"/>
        <v>-</v>
      </c>
      <c r="P174" s="256" t="str">
        <f t="shared" si="7"/>
        <v>-</v>
      </c>
      <c r="Q174" s="87"/>
      <c r="R174" s="87"/>
    </row>
    <row r="175" spans="3:18" x14ac:dyDescent="0.25">
      <c r="C175" s="233"/>
      <c r="D175" s="249"/>
      <c r="E175" s="236"/>
      <c r="F175" s="250" t="str">
        <f t="shared" si="6"/>
        <v>-</v>
      </c>
      <c r="G175" s="242"/>
      <c r="H175" s="271"/>
      <c r="I175" s="233"/>
      <c r="J175" s="252" t="str">
        <f>IFERROR(MIN('MP Calculations'!$E$29/I175,1),"-")</f>
        <v>-</v>
      </c>
      <c r="K175" s="257"/>
      <c r="L175" s="233"/>
      <c r="M175" s="233"/>
      <c r="N175" s="233"/>
      <c r="O175" s="255" t="str">
        <f t="shared" si="8"/>
        <v>-</v>
      </c>
      <c r="P175" s="256" t="str">
        <f t="shared" si="7"/>
        <v>-</v>
      </c>
      <c r="Q175" s="87"/>
      <c r="R175" s="87"/>
    </row>
    <row r="176" spans="3:18" x14ac:dyDescent="0.25">
      <c r="C176" s="233"/>
      <c r="D176" s="249"/>
      <c r="E176" s="236"/>
      <c r="F176" s="250" t="str">
        <f t="shared" si="6"/>
        <v>-</v>
      </c>
      <c r="G176" s="242"/>
      <c r="H176" s="271"/>
      <c r="I176" s="233"/>
      <c r="J176" s="252" t="str">
        <f>IFERROR(MIN('MP Calculations'!$E$29/I176,1),"-")</f>
        <v>-</v>
      </c>
      <c r="K176" s="257"/>
      <c r="L176" s="233"/>
      <c r="M176" s="233"/>
      <c r="N176" s="233"/>
      <c r="O176" s="255" t="str">
        <f t="shared" si="8"/>
        <v>-</v>
      </c>
      <c r="P176" s="256" t="str">
        <f t="shared" si="7"/>
        <v>-</v>
      </c>
      <c r="Q176" s="87"/>
      <c r="R176" s="87"/>
    </row>
    <row r="177" spans="3:18" x14ac:dyDescent="0.25">
      <c r="C177" s="233"/>
      <c r="D177" s="249"/>
      <c r="E177" s="236"/>
      <c r="F177" s="250" t="str">
        <f t="shared" si="6"/>
        <v>-</v>
      </c>
      <c r="G177" s="242"/>
      <c r="H177" s="271"/>
      <c r="I177" s="233"/>
      <c r="J177" s="252" t="str">
        <f>IFERROR(MIN('MP Calculations'!$E$29/I177,1),"-")</f>
        <v>-</v>
      </c>
      <c r="K177" s="257"/>
      <c r="L177" s="233"/>
      <c r="M177" s="233"/>
      <c r="N177" s="233"/>
      <c r="O177" s="255" t="str">
        <f t="shared" si="8"/>
        <v>-</v>
      </c>
      <c r="P177" s="256" t="str">
        <f t="shared" si="7"/>
        <v>-</v>
      </c>
      <c r="Q177" s="87"/>
      <c r="R177" s="87"/>
    </row>
    <row r="178" spans="3:18" x14ac:dyDescent="0.25">
      <c r="C178" s="233"/>
      <c r="D178" s="249"/>
      <c r="E178" s="236"/>
      <c r="F178" s="250" t="str">
        <f t="shared" si="6"/>
        <v>-</v>
      </c>
      <c r="G178" s="242"/>
      <c r="H178" s="271"/>
      <c r="I178" s="233"/>
      <c r="J178" s="252" t="str">
        <f>IFERROR(MIN('MP Calculations'!$E$29/I178,1),"-")</f>
        <v>-</v>
      </c>
      <c r="K178" s="257"/>
      <c r="L178" s="233"/>
      <c r="M178" s="233"/>
      <c r="N178" s="233"/>
      <c r="O178" s="255" t="str">
        <f t="shared" si="8"/>
        <v>-</v>
      </c>
      <c r="P178" s="256" t="str">
        <f t="shared" si="7"/>
        <v>-</v>
      </c>
      <c r="Q178" s="87"/>
      <c r="R178" s="87"/>
    </row>
    <row r="179" spans="3:18" x14ac:dyDescent="0.25">
      <c r="C179" s="233"/>
      <c r="D179" s="249"/>
      <c r="E179" s="236"/>
      <c r="F179" s="250" t="str">
        <f t="shared" si="6"/>
        <v>-</v>
      </c>
      <c r="G179" s="242"/>
      <c r="H179" s="271"/>
      <c r="I179" s="233"/>
      <c r="J179" s="252" t="str">
        <f>IFERROR(MIN('MP Calculations'!$E$29/I179,1),"-")</f>
        <v>-</v>
      </c>
      <c r="K179" s="257"/>
      <c r="L179" s="233"/>
      <c r="M179" s="233"/>
      <c r="N179" s="233"/>
      <c r="O179" s="255" t="str">
        <f t="shared" si="8"/>
        <v>-</v>
      </c>
      <c r="P179" s="256" t="str">
        <f t="shared" si="7"/>
        <v>-</v>
      </c>
      <c r="Q179" s="87"/>
      <c r="R179" s="87"/>
    </row>
    <row r="180" spans="3:18" x14ac:dyDescent="0.25">
      <c r="C180" s="233"/>
      <c r="D180" s="249"/>
      <c r="E180" s="236"/>
      <c r="F180" s="250" t="str">
        <f t="shared" si="6"/>
        <v>-</v>
      </c>
      <c r="G180" s="242"/>
      <c r="H180" s="271"/>
      <c r="I180" s="233"/>
      <c r="J180" s="252" t="str">
        <f>IFERROR(MIN('MP Calculations'!$E$29/I180,1),"-")</f>
        <v>-</v>
      </c>
      <c r="K180" s="257"/>
      <c r="L180" s="233"/>
      <c r="M180" s="233"/>
      <c r="N180" s="233"/>
      <c r="O180" s="255" t="str">
        <f t="shared" si="8"/>
        <v>-</v>
      </c>
      <c r="P180" s="256" t="str">
        <f t="shared" si="7"/>
        <v>-</v>
      </c>
      <c r="Q180" s="87"/>
      <c r="R180" s="87"/>
    </row>
    <row r="181" spans="3:18" x14ac:dyDescent="0.25">
      <c r="C181" s="233"/>
      <c r="D181" s="249"/>
      <c r="E181" s="236"/>
      <c r="F181" s="250" t="str">
        <f t="shared" si="6"/>
        <v>-</v>
      </c>
      <c r="G181" s="242"/>
      <c r="H181" s="271"/>
      <c r="I181" s="233"/>
      <c r="J181" s="252" t="str">
        <f>IFERROR(MIN('MP Calculations'!$E$29/I181,1),"-")</f>
        <v>-</v>
      </c>
      <c r="K181" s="257"/>
      <c r="L181" s="233"/>
      <c r="M181" s="233"/>
      <c r="N181" s="233"/>
      <c r="O181" s="255" t="str">
        <f t="shared" si="8"/>
        <v>-</v>
      </c>
      <c r="P181" s="256" t="str">
        <f t="shared" si="7"/>
        <v>-</v>
      </c>
      <c r="Q181" s="87"/>
      <c r="R181" s="87"/>
    </row>
    <row r="182" spans="3:18" x14ac:dyDescent="0.25">
      <c r="C182" s="233"/>
      <c r="D182" s="249"/>
      <c r="E182" s="236"/>
      <c r="F182" s="250" t="str">
        <f t="shared" si="6"/>
        <v>-</v>
      </c>
      <c r="G182" s="242"/>
      <c r="H182" s="271"/>
      <c r="I182" s="233"/>
      <c r="J182" s="252" t="str">
        <f>IFERROR(MIN('MP Calculations'!$E$29/I182,1),"-")</f>
        <v>-</v>
      </c>
      <c r="K182" s="257"/>
      <c r="L182" s="233"/>
      <c r="M182" s="233"/>
      <c r="N182" s="233"/>
      <c r="O182" s="255" t="str">
        <f t="shared" si="8"/>
        <v>-</v>
      </c>
      <c r="P182" s="256" t="str">
        <f t="shared" si="7"/>
        <v>-</v>
      </c>
      <c r="Q182" s="87"/>
      <c r="R182" s="87"/>
    </row>
    <row r="183" spans="3:18" x14ac:dyDescent="0.25">
      <c r="C183" s="233"/>
      <c r="D183" s="249"/>
      <c r="E183" s="236"/>
      <c r="F183" s="250" t="str">
        <f t="shared" si="6"/>
        <v>-</v>
      </c>
      <c r="G183" s="242"/>
      <c r="H183" s="271"/>
      <c r="I183" s="233"/>
      <c r="J183" s="252" t="str">
        <f>IFERROR(MIN('MP Calculations'!$E$29/I183,1),"-")</f>
        <v>-</v>
      </c>
      <c r="K183" s="257"/>
      <c r="L183" s="233"/>
      <c r="M183" s="233"/>
      <c r="N183" s="233"/>
      <c r="O183" s="255" t="str">
        <f t="shared" si="8"/>
        <v>-</v>
      </c>
      <c r="P183" s="256" t="str">
        <f t="shared" si="7"/>
        <v>-</v>
      </c>
      <c r="Q183" s="87"/>
      <c r="R183" s="87"/>
    </row>
    <row r="184" spans="3:18" x14ac:dyDescent="0.25">
      <c r="C184" s="233"/>
      <c r="D184" s="249"/>
      <c r="E184" s="236"/>
      <c r="F184" s="250" t="str">
        <f t="shared" ref="F184:F217" si="9">IF(E184="","-",IF(E184&lt;$E$15,"ERROR - date outside of range",IF(MONTH(E184)&gt;=7,YEAR(E184)&amp;"-"&amp;RIGHT(YEAR(E184),2)+1,YEAR(E184)-1&amp;"-"&amp;RIGHT(YEAR(E184),2))))</f>
        <v>-</v>
      </c>
      <c r="G184" s="242"/>
      <c r="H184" s="271"/>
      <c r="I184" s="233"/>
      <c r="J184" s="252" t="str">
        <f>IFERROR(MIN('MP Calculations'!$E$29/I184,1),"-")</f>
        <v>-</v>
      </c>
      <c r="K184" s="257"/>
      <c r="L184" s="233"/>
      <c r="M184" s="233"/>
      <c r="N184" s="233"/>
      <c r="O184" s="255" t="str">
        <f t="shared" si="8"/>
        <v>-</v>
      </c>
      <c r="P184" s="256" t="str">
        <f t="shared" ref="P184:P217" si="10">IF(O184="-","-",IF(E184&lt;$E$15,0,O184*J184))</f>
        <v>-</v>
      </c>
      <c r="Q184" s="87"/>
      <c r="R184" s="87"/>
    </row>
    <row r="185" spans="3:18" x14ac:dyDescent="0.25">
      <c r="C185" s="233"/>
      <c r="D185" s="249"/>
      <c r="E185" s="236"/>
      <c r="F185" s="250" t="str">
        <f t="shared" si="9"/>
        <v>-</v>
      </c>
      <c r="G185" s="242"/>
      <c r="H185" s="271"/>
      <c r="I185" s="233"/>
      <c r="J185" s="252" t="str">
        <f>IFERROR(MIN('MP Calculations'!$E$29/I185,1),"-")</f>
        <v>-</v>
      </c>
      <c r="K185" s="257"/>
      <c r="L185" s="233"/>
      <c r="M185" s="233"/>
      <c r="N185" s="233"/>
      <c r="O185" s="255" t="str">
        <f t="shared" si="8"/>
        <v>-</v>
      </c>
      <c r="P185" s="256" t="str">
        <f t="shared" si="10"/>
        <v>-</v>
      </c>
      <c r="Q185" s="87"/>
      <c r="R185" s="87"/>
    </row>
    <row r="186" spans="3:18" x14ac:dyDescent="0.25">
      <c r="C186" s="233"/>
      <c r="D186" s="249"/>
      <c r="E186" s="236"/>
      <c r="F186" s="250" t="str">
        <f t="shared" si="9"/>
        <v>-</v>
      </c>
      <c r="G186" s="242"/>
      <c r="H186" s="271"/>
      <c r="I186" s="233"/>
      <c r="J186" s="252" t="str">
        <f>IFERROR(MIN('MP Calculations'!$E$29/I186,1),"-")</f>
        <v>-</v>
      </c>
      <c r="K186" s="257"/>
      <c r="L186" s="233"/>
      <c r="M186" s="233"/>
      <c r="N186" s="233"/>
      <c r="O186" s="255" t="str">
        <f t="shared" si="8"/>
        <v>-</v>
      </c>
      <c r="P186" s="256" t="str">
        <f t="shared" si="10"/>
        <v>-</v>
      </c>
      <c r="Q186" s="87"/>
      <c r="R186" s="87"/>
    </row>
    <row r="187" spans="3:18" x14ac:dyDescent="0.25">
      <c r="C187" s="233"/>
      <c r="D187" s="249"/>
      <c r="E187" s="236"/>
      <c r="F187" s="250" t="str">
        <f t="shared" si="9"/>
        <v>-</v>
      </c>
      <c r="G187" s="242"/>
      <c r="H187" s="271"/>
      <c r="I187" s="233"/>
      <c r="J187" s="252" t="str">
        <f>IFERROR(MIN('MP Calculations'!$E$29/I187,1),"-")</f>
        <v>-</v>
      </c>
      <c r="K187" s="257"/>
      <c r="L187" s="233"/>
      <c r="M187" s="233"/>
      <c r="N187" s="233"/>
      <c r="O187" s="255" t="str">
        <f t="shared" si="8"/>
        <v>-</v>
      </c>
      <c r="P187" s="256" t="str">
        <f t="shared" si="10"/>
        <v>-</v>
      </c>
      <c r="Q187" s="87"/>
      <c r="R187" s="87"/>
    </row>
    <row r="188" spans="3:18" x14ac:dyDescent="0.25">
      <c r="C188" s="233"/>
      <c r="D188" s="249"/>
      <c r="E188" s="236"/>
      <c r="F188" s="250" t="str">
        <f t="shared" si="9"/>
        <v>-</v>
      </c>
      <c r="G188" s="242"/>
      <c r="H188" s="271"/>
      <c r="I188" s="233"/>
      <c r="J188" s="252" t="str">
        <f>IFERROR(MIN('MP Calculations'!$E$29/I188,1),"-")</f>
        <v>-</v>
      </c>
      <c r="K188" s="257"/>
      <c r="L188" s="233"/>
      <c r="M188" s="233"/>
      <c r="N188" s="233"/>
      <c r="O188" s="255" t="str">
        <f t="shared" si="8"/>
        <v>-</v>
      </c>
      <c r="P188" s="256" t="str">
        <f t="shared" si="10"/>
        <v>-</v>
      </c>
      <c r="Q188" s="87"/>
      <c r="R188" s="87"/>
    </row>
    <row r="189" spans="3:18" x14ac:dyDescent="0.25">
      <c r="C189" s="233"/>
      <c r="D189" s="249"/>
      <c r="E189" s="236"/>
      <c r="F189" s="250" t="str">
        <f t="shared" si="9"/>
        <v>-</v>
      </c>
      <c r="G189" s="242"/>
      <c r="H189" s="271"/>
      <c r="I189" s="233"/>
      <c r="J189" s="252" t="str">
        <f>IFERROR(MIN('MP Calculations'!$E$29/I189,1),"-")</f>
        <v>-</v>
      </c>
      <c r="K189" s="257"/>
      <c r="L189" s="233"/>
      <c r="M189" s="233"/>
      <c r="N189" s="233"/>
      <c r="O189" s="255" t="str">
        <f t="shared" si="8"/>
        <v>-</v>
      </c>
      <c r="P189" s="256" t="str">
        <f t="shared" si="10"/>
        <v>-</v>
      </c>
      <c r="Q189" s="87"/>
      <c r="R189" s="87"/>
    </row>
    <row r="190" spans="3:18" x14ac:dyDescent="0.25">
      <c r="C190" s="233"/>
      <c r="D190" s="249"/>
      <c r="E190" s="236"/>
      <c r="F190" s="250" t="str">
        <f t="shared" si="9"/>
        <v>-</v>
      </c>
      <c r="G190" s="242"/>
      <c r="H190" s="271"/>
      <c r="I190" s="233"/>
      <c r="J190" s="252" t="str">
        <f>IFERROR(MIN('MP Calculations'!$E$29/I190,1),"-")</f>
        <v>-</v>
      </c>
      <c r="K190" s="257"/>
      <c r="L190" s="233"/>
      <c r="M190" s="233"/>
      <c r="N190" s="233"/>
      <c r="O190" s="255" t="str">
        <f t="shared" si="8"/>
        <v>-</v>
      </c>
      <c r="P190" s="256" t="str">
        <f t="shared" si="10"/>
        <v>-</v>
      </c>
      <c r="Q190" s="87"/>
      <c r="R190" s="87"/>
    </row>
    <row r="191" spans="3:18" x14ac:dyDescent="0.25">
      <c r="C191" s="233"/>
      <c r="D191" s="249"/>
      <c r="E191" s="236"/>
      <c r="F191" s="250" t="str">
        <f t="shared" si="9"/>
        <v>-</v>
      </c>
      <c r="G191" s="242"/>
      <c r="H191" s="271"/>
      <c r="I191" s="233"/>
      <c r="J191" s="252" t="str">
        <f>IFERROR(MIN('MP Calculations'!$E$29/I191,1),"-")</f>
        <v>-</v>
      </c>
      <c r="K191" s="257"/>
      <c r="L191" s="233"/>
      <c r="M191" s="233"/>
      <c r="N191" s="233"/>
      <c r="O191" s="255" t="str">
        <f t="shared" si="8"/>
        <v>-</v>
      </c>
      <c r="P191" s="256" t="str">
        <f t="shared" si="10"/>
        <v>-</v>
      </c>
      <c r="Q191" s="87"/>
      <c r="R191" s="87"/>
    </row>
    <row r="192" spans="3:18" x14ac:dyDescent="0.25">
      <c r="C192" s="233"/>
      <c r="D192" s="249"/>
      <c r="E192" s="236"/>
      <c r="F192" s="250" t="str">
        <f t="shared" si="9"/>
        <v>-</v>
      </c>
      <c r="G192" s="242"/>
      <c r="H192" s="271"/>
      <c r="I192" s="233"/>
      <c r="J192" s="252" t="str">
        <f>IFERROR(MIN('MP Calculations'!$E$29/I192,1),"-")</f>
        <v>-</v>
      </c>
      <c r="K192" s="257"/>
      <c r="L192" s="233"/>
      <c r="M192" s="233"/>
      <c r="N192" s="233"/>
      <c r="O192" s="255" t="str">
        <f t="shared" si="8"/>
        <v>-</v>
      </c>
      <c r="P192" s="256" t="str">
        <f t="shared" si="10"/>
        <v>-</v>
      </c>
      <c r="Q192" s="87"/>
      <c r="R192" s="87"/>
    </row>
    <row r="193" spans="3:18" x14ac:dyDescent="0.25">
      <c r="C193" s="233"/>
      <c r="D193" s="249"/>
      <c r="E193" s="236"/>
      <c r="F193" s="250" t="str">
        <f t="shared" si="9"/>
        <v>-</v>
      </c>
      <c r="G193" s="242"/>
      <c r="H193" s="271"/>
      <c r="I193" s="233"/>
      <c r="J193" s="252" t="str">
        <f>IFERROR(MIN('MP Calculations'!$E$29/I193,1),"-")</f>
        <v>-</v>
      </c>
      <c r="K193" s="257"/>
      <c r="L193" s="233"/>
      <c r="M193" s="233"/>
      <c r="N193" s="233"/>
      <c r="O193" s="255" t="str">
        <f t="shared" si="8"/>
        <v>-</v>
      </c>
      <c r="P193" s="256" t="str">
        <f t="shared" si="10"/>
        <v>-</v>
      </c>
      <c r="Q193" s="87"/>
      <c r="R193" s="87"/>
    </row>
    <row r="194" spans="3:18" x14ac:dyDescent="0.25">
      <c r="C194" s="233"/>
      <c r="D194" s="249"/>
      <c r="E194" s="236"/>
      <c r="F194" s="250" t="str">
        <f t="shared" si="9"/>
        <v>-</v>
      </c>
      <c r="G194" s="242"/>
      <c r="H194" s="271"/>
      <c r="I194" s="233"/>
      <c r="J194" s="252" t="str">
        <f>IFERROR(MIN('MP Calculations'!$E$29/I194,1),"-")</f>
        <v>-</v>
      </c>
      <c r="K194" s="257"/>
      <c r="L194" s="233"/>
      <c r="M194" s="233"/>
      <c r="N194" s="233"/>
      <c r="O194" s="255" t="str">
        <f t="shared" si="8"/>
        <v>-</v>
      </c>
      <c r="P194" s="256" t="str">
        <f t="shared" si="10"/>
        <v>-</v>
      </c>
      <c r="Q194" s="87"/>
      <c r="R194" s="87"/>
    </row>
    <row r="195" spans="3:18" x14ac:dyDescent="0.25">
      <c r="C195" s="233"/>
      <c r="D195" s="249"/>
      <c r="E195" s="236"/>
      <c r="F195" s="250" t="str">
        <f t="shared" si="9"/>
        <v>-</v>
      </c>
      <c r="G195" s="242"/>
      <c r="H195" s="271"/>
      <c r="I195" s="233"/>
      <c r="J195" s="252" t="str">
        <f>IFERROR(MIN('MP Calculations'!$E$29/I195,1),"-")</f>
        <v>-</v>
      </c>
      <c r="K195" s="257"/>
      <c r="L195" s="233"/>
      <c r="M195" s="233"/>
      <c r="N195" s="233"/>
      <c r="O195" s="255" t="str">
        <f t="shared" si="8"/>
        <v>-</v>
      </c>
      <c r="P195" s="256" t="str">
        <f t="shared" si="10"/>
        <v>-</v>
      </c>
      <c r="Q195" s="87"/>
      <c r="R195" s="87"/>
    </row>
    <row r="196" spans="3:18" x14ac:dyDescent="0.25">
      <c r="C196" s="233"/>
      <c r="D196" s="249"/>
      <c r="E196" s="236"/>
      <c r="F196" s="250" t="str">
        <f t="shared" si="9"/>
        <v>-</v>
      </c>
      <c r="G196" s="242"/>
      <c r="H196" s="271"/>
      <c r="I196" s="233"/>
      <c r="J196" s="252" t="str">
        <f>IFERROR(MIN('MP Calculations'!$E$29/I196,1),"-")</f>
        <v>-</v>
      </c>
      <c r="K196" s="257"/>
      <c r="L196" s="233"/>
      <c r="M196" s="233"/>
      <c r="N196" s="233"/>
      <c r="O196" s="255" t="str">
        <f t="shared" si="8"/>
        <v>-</v>
      </c>
      <c r="P196" s="256" t="str">
        <f t="shared" si="10"/>
        <v>-</v>
      </c>
      <c r="Q196" s="87"/>
      <c r="R196" s="87"/>
    </row>
    <row r="197" spans="3:18" x14ac:dyDescent="0.25">
      <c r="C197" s="233"/>
      <c r="D197" s="249"/>
      <c r="E197" s="236"/>
      <c r="F197" s="250" t="str">
        <f t="shared" si="9"/>
        <v>-</v>
      </c>
      <c r="G197" s="242"/>
      <c r="H197" s="271"/>
      <c r="I197" s="233"/>
      <c r="J197" s="252" t="str">
        <f>IFERROR(MIN('MP Calculations'!$E$29/I197,1),"-")</f>
        <v>-</v>
      </c>
      <c r="K197" s="257"/>
      <c r="L197" s="233"/>
      <c r="M197" s="233"/>
      <c r="N197" s="233"/>
      <c r="O197" s="255" t="str">
        <f t="shared" si="8"/>
        <v>-</v>
      </c>
      <c r="P197" s="256" t="str">
        <f t="shared" si="10"/>
        <v>-</v>
      </c>
      <c r="Q197" s="87"/>
      <c r="R197" s="87"/>
    </row>
    <row r="198" spans="3:18" x14ac:dyDescent="0.25">
      <c r="C198" s="233"/>
      <c r="D198" s="249"/>
      <c r="E198" s="236"/>
      <c r="F198" s="250" t="str">
        <f t="shared" si="9"/>
        <v>-</v>
      </c>
      <c r="G198" s="242"/>
      <c r="H198" s="271"/>
      <c r="I198" s="233"/>
      <c r="J198" s="252" t="str">
        <f>IFERROR(MIN('MP Calculations'!$E$29/I198,1),"-")</f>
        <v>-</v>
      </c>
      <c r="K198" s="257"/>
      <c r="L198" s="233"/>
      <c r="M198" s="233"/>
      <c r="N198" s="233"/>
      <c r="O198" s="255" t="str">
        <f t="shared" si="8"/>
        <v>-</v>
      </c>
      <c r="P198" s="256" t="str">
        <f t="shared" si="10"/>
        <v>-</v>
      </c>
      <c r="Q198" s="87"/>
      <c r="R198" s="87"/>
    </row>
    <row r="199" spans="3:18" x14ac:dyDescent="0.25">
      <c r="C199" s="233"/>
      <c r="D199" s="249"/>
      <c r="E199" s="236"/>
      <c r="F199" s="250" t="str">
        <f t="shared" si="9"/>
        <v>-</v>
      </c>
      <c r="G199" s="242"/>
      <c r="H199" s="271"/>
      <c r="I199" s="233"/>
      <c r="J199" s="252" t="str">
        <f>IFERROR(MIN('MP Calculations'!$E$29/I199,1),"-")</f>
        <v>-</v>
      </c>
      <c r="K199" s="257"/>
      <c r="L199" s="233"/>
      <c r="M199" s="233"/>
      <c r="N199" s="233"/>
      <c r="O199" s="255" t="str">
        <f t="shared" si="8"/>
        <v>-</v>
      </c>
      <c r="P199" s="256" t="str">
        <f t="shared" si="10"/>
        <v>-</v>
      </c>
      <c r="Q199" s="87"/>
      <c r="R199" s="87"/>
    </row>
    <row r="200" spans="3:18" x14ac:dyDescent="0.25">
      <c r="C200" s="233"/>
      <c r="D200" s="249"/>
      <c r="E200" s="236"/>
      <c r="F200" s="250" t="str">
        <f t="shared" si="9"/>
        <v>-</v>
      </c>
      <c r="G200" s="242"/>
      <c r="H200" s="271"/>
      <c r="I200" s="233"/>
      <c r="J200" s="252" t="str">
        <f>IFERROR(MIN('MP Calculations'!$E$29/I200,1),"-")</f>
        <v>-</v>
      </c>
      <c r="K200" s="257"/>
      <c r="L200" s="233"/>
      <c r="M200" s="233"/>
      <c r="N200" s="233"/>
      <c r="O200" s="255" t="str">
        <f t="shared" si="8"/>
        <v>-</v>
      </c>
      <c r="P200" s="256" t="str">
        <f t="shared" si="10"/>
        <v>-</v>
      </c>
      <c r="Q200" s="87"/>
      <c r="R200" s="87"/>
    </row>
    <row r="201" spans="3:18" x14ac:dyDescent="0.25">
      <c r="C201" s="233"/>
      <c r="D201" s="249"/>
      <c r="E201" s="236"/>
      <c r="F201" s="250" t="str">
        <f t="shared" si="9"/>
        <v>-</v>
      </c>
      <c r="G201" s="242"/>
      <c r="H201" s="271"/>
      <c r="I201" s="233"/>
      <c r="J201" s="252" t="str">
        <f>IFERROR(MIN('MP Calculations'!$E$29/I201,1),"-")</f>
        <v>-</v>
      </c>
      <c r="K201" s="257"/>
      <c r="L201" s="233"/>
      <c r="M201" s="233"/>
      <c r="N201" s="233"/>
      <c r="O201" s="255" t="str">
        <f t="shared" si="8"/>
        <v>-</v>
      </c>
      <c r="P201" s="256" t="str">
        <f t="shared" si="10"/>
        <v>-</v>
      </c>
      <c r="Q201" s="87"/>
      <c r="R201" s="87"/>
    </row>
    <row r="202" spans="3:18" x14ac:dyDescent="0.25">
      <c r="C202" s="233"/>
      <c r="D202" s="249"/>
      <c r="E202" s="236"/>
      <c r="F202" s="250" t="str">
        <f t="shared" si="9"/>
        <v>-</v>
      </c>
      <c r="G202" s="242"/>
      <c r="H202" s="271"/>
      <c r="I202" s="233"/>
      <c r="J202" s="252" t="str">
        <f>IFERROR(MIN('MP Calculations'!$E$29/I202,1),"-")</f>
        <v>-</v>
      </c>
      <c r="K202" s="257"/>
      <c r="L202" s="233"/>
      <c r="M202" s="233"/>
      <c r="N202" s="233"/>
      <c r="O202" s="255" t="str">
        <f t="shared" si="8"/>
        <v>-</v>
      </c>
      <c r="P202" s="256" t="str">
        <f t="shared" si="10"/>
        <v>-</v>
      </c>
      <c r="Q202" s="87"/>
      <c r="R202" s="87"/>
    </row>
    <row r="203" spans="3:18" x14ac:dyDescent="0.25">
      <c r="C203" s="233"/>
      <c r="D203" s="249"/>
      <c r="E203" s="236"/>
      <c r="F203" s="250" t="str">
        <f t="shared" si="9"/>
        <v>-</v>
      </c>
      <c r="G203" s="242"/>
      <c r="H203" s="271"/>
      <c r="I203" s="233"/>
      <c r="J203" s="252" t="str">
        <f>IFERROR(MIN('MP Calculations'!$E$29/I203,1),"-")</f>
        <v>-</v>
      </c>
      <c r="K203" s="257"/>
      <c r="L203" s="233"/>
      <c r="M203" s="233"/>
      <c r="N203" s="233"/>
      <c r="O203" s="255" t="str">
        <f t="shared" si="8"/>
        <v>-</v>
      </c>
      <c r="P203" s="256" t="str">
        <f t="shared" si="10"/>
        <v>-</v>
      </c>
      <c r="Q203" s="87"/>
      <c r="R203" s="87"/>
    </row>
    <row r="204" spans="3:18" x14ac:dyDescent="0.25">
      <c r="C204" s="233"/>
      <c r="D204" s="249"/>
      <c r="E204" s="236"/>
      <c r="F204" s="250" t="str">
        <f t="shared" si="9"/>
        <v>-</v>
      </c>
      <c r="G204" s="242"/>
      <c r="H204" s="271"/>
      <c r="I204" s="233"/>
      <c r="J204" s="252" t="str">
        <f>IFERROR(MIN('MP Calculations'!$E$29/I204,1),"-")</f>
        <v>-</v>
      </c>
      <c r="K204" s="257"/>
      <c r="L204" s="233"/>
      <c r="M204" s="233"/>
      <c r="N204" s="233"/>
      <c r="O204" s="255" t="str">
        <f t="shared" si="8"/>
        <v>-</v>
      </c>
      <c r="P204" s="256" t="str">
        <f t="shared" si="10"/>
        <v>-</v>
      </c>
      <c r="Q204" s="87"/>
      <c r="R204" s="87"/>
    </row>
    <row r="205" spans="3:18" x14ac:dyDescent="0.25">
      <c r="C205" s="233"/>
      <c r="D205" s="249"/>
      <c r="E205" s="236"/>
      <c r="F205" s="250" t="str">
        <f t="shared" si="9"/>
        <v>-</v>
      </c>
      <c r="G205" s="242"/>
      <c r="H205" s="271"/>
      <c r="I205" s="233"/>
      <c r="J205" s="252" t="str">
        <f>IFERROR(MIN('MP Calculations'!$E$29/I205,1),"-")</f>
        <v>-</v>
      </c>
      <c r="K205" s="257"/>
      <c r="L205" s="233"/>
      <c r="M205" s="233"/>
      <c r="N205" s="233"/>
      <c r="O205" s="255" t="str">
        <f t="shared" si="8"/>
        <v>-</v>
      </c>
      <c r="P205" s="256" t="str">
        <f t="shared" si="10"/>
        <v>-</v>
      </c>
      <c r="Q205" s="87"/>
      <c r="R205" s="87"/>
    </row>
    <row r="206" spans="3:18" x14ac:dyDescent="0.25">
      <c r="C206" s="233"/>
      <c r="D206" s="249"/>
      <c r="E206" s="236"/>
      <c r="F206" s="250" t="str">
        <f t="shared" si="9"/>
        <v>-</v>
      </c>
      <c r="G206" s="242"/>
      <c r="H206" s="271"/>
      <c r="I206" s="233"/>
      <c r="J206" s="252" t="str">
        <f>IFERROR(MIN('MP Calculations'!$E$29/I206,1),"-")</f>
        <v>-</v>
      </c>
      <c r="K206" s="257"/>
      <c r="L206" s="233"/>
      <c r="M206" s="233"/>
      <c r="N206" s="233"/>
      <c r="O206" s="255" t="str">
        <f t="shared" si="8"/>
        <v>-</v>
      </c>
      <c r="P206" s="256" t="str">
        <f t="shared" si="10"/>
        <v>-</v>
      </c>
      <c r="Q206" s="87"/>
      <c r="R206" s="87"/>
    </row>
    <row r="207" spans="3:18" x14ac:dyDescent="0.25">
      <c r="C207" s="233"/>
      <c r="D207" s="249"/>
      <c r="E207" s="236"/>
      <c r="F207" s="250" t="str">
        <f t="shared" si="9"/>
        <v>-</v>
      </c>
      <c r="G207" s="242"/>
      <c r="H207" s="271"/>
      <c r="I207" s="233"/>
      <c r="J207" s="252" t="str">
        <f>IFERROR(MIN('MP Calculations'!$E$29/I207,1),"-")</f>
        <v>-</v>
      </c>
      <c r="K207" s="257"/>
      <c r="L207" s="233"/>
      <c r="M207" s="233"/>
      <c r="N207" s="233"/>
      <c r="O207" s="255" t="str">
        <f t="shared" si="8"/>
        <v>-</v>
      </c>
      <c r="P207" s="256" t="str">
        <f t="shared" si="10"/>
        <v>-</v>
      </c>
      <c r="Q207" s="87"/>
      <c r="R207" s="87"/>
    </row>
    <row r="208" spans="3:18" x14ac:dyDescent="0.25">
      <c r="C208" s="233"/>
      <c r="D208" s="249"/>
      <c r="E208" s="236"/>
      <c r="F208" s="250" t="str">
        <f t="shared" si="9"/>
        <v>-</v>
      </c>
      <c r="G208" s="242"/>
      <c r="H208" s="271"/>
      <c r="I208" s="233"/>
      <c r="J208" s="252" t="str">
        <f>IFERROR(MIN('MP Calculations'!$E$29/I208,1),"-")</f>
        <v>-</v>
      </c>
      <c r="K208" s="257"/>
      <c r="L208" s="233"/>
      <c r="M208" s="233"/>
      <c r="N208" s="233"/>
      <c r="O208" s="255" t="str">
        <f t="shared" si="8"/>
        <v>-</v>
      </c>
      <c r="P208" s="256" t="str">
        <f t="shared" si="10"/>
        <v>-</v>
      </c>
      <c r="Q208" s="87"/>
      <c r="R208" s="87"/>
    </row>
    <row r="209" spans="3:18" x14ac:dyDescent="0.25">
      <c r="C209" s="233"/>
      <c r="D209" s="249"/>
      <c r="E209" s="236"/>
      <c r="F209" s="250" t="str">
        <f t="shared" si="9"/>
        <v>-</v>
      </c>
      <c r="G209" s="242"/>
      <c r="H209" s="271"/>
      <c r="I209" s="233"/>
      <c r="J209" s="252" t="str">
        <f>IFERROR(MIN('MP Calculations'!$E$29/I209,1),"-")</f>
        <v>-</v>
      </c>
      <c r="K209" s="257"/>
      <c r="L209" s="233"/>
      <c r="M209" s="233"/>
      <c r="N209" s="233"/>
      <c r="O209" s="255" t="str">
        <f t="shared" si="8"/>
        <v>-</v>
      </c>
      <c r="P209" s="256" t="str">
        <f t="shared" si="10"/>
        <v>-</v>
      </c>
      <c r="Q209" s="87"/>
      <c r="R209" s="87"/>
    </row>
    <row r="210" spans="3:18" x14ac:dyDescent="0.25">
      <c r="C210" s="233"/>
      <c r="D210" s="249"/>
      <c r="E210" s="236"/>
      <c r="F210" s="250" t="str">
        <f t="shared" si="9"/>
        <v>-</v>
      </c>
      <c r="G210" s="242"/>
      <c r="H210" s="271"/>
      <c r="I210" s="233"/>
      <c r="J210" s="252" t="str">
        <f>IFERROR(MIN('MP Calculations'!$E$29/I210,1),"-")</f>
        <v>-</v>
      </c>
      <c r="K210" s="257"/>
      <c r="L210" s="233"/>
      <c r="M210" s="233"/>
      <c r="N210" s="233"/>
      <c r="O210" s="255" t="str">
        <f t="shared" si="8"/>
        <v>-</v>
      </c>
      <c r="P210" s="256" t="str">
        <f t="shared" si="10"/>
        <v>-</v>
      </c>
      <c r="Q210" s="87"/>
      <c r="R210" s="87"/>
    </row>
    <row r="211" spans="3:18" x14ac:dyDescent="0.25">
      <c r="C211" s="233"/>
      <c r="D211" s="249"/>
      <c r="E211" s="236"/>
      <c r="F211" s="250" t="str">
        <f t="shared" si="9"/>
        <v>-</v>
      </c>
      <c r="G211" s="242"/>
      <c r="H211" s="271"/>
      <c r="I211" s="233"/>
      <c r="J211" s="252" t="str">
        <f>IFERROR(MIN('MP Calculations'!$E$29/I211,1),"-")</f>
        <v>-</v>
      </c>
      <c r="K211" s="257"/>
      <c r="L211" s="233"/>
      <c r="M211" s="233"/>
      <c r="N211" s="233"/>
      <c r="O211" s="255" t="str">
        <f t="shared" si="8"/>
        <v>-</v>
      </c>
      <c r="P211" s="256" t="str">
        <f t="shared" si="10"/>
        <v>-</v>
      </c>
      <c r="Q211" s="87"/>
      <c r="R211" s="87"/>
    </row>
    <row r="212" spans="3:18" x14ac:dyDescent="0.25">
      <c r="C212" s="233"/>
      <c r="D212" s="249"/>
      <c r="E212" s="236"/>
      <c r="F212" s="250" t="str">
        <f t="shared" si="9"/>
        <v>-</v>
      </c>
      <c r="G212" s="242"/>
      <c r="H212" s="271"/>
      <c r="I212" s="233"/>
      <c r="J212" s="252" t="str">
        <f>IFERROR(MIN('MP Calculations'!$E$29/I212,1),"-")</f>
        <v>-</v>
      </c>
      <c r="K212" s="257"/>
      <c r="L212" s="233"/>
      <c r="M212" s="233"/>
      <c r="N212" s="233"/>
      <c r="O212" s="255" t="str">
        <f t="shared" si="8"/>
        <v>-</v>
      </c>
      <c r="P212" s="256" t="str">
        <f t="shared" si="10"/>
        <v>-</v>
      </c>
      <c r="Q212" s="87"/>
      <c r="R212" s="87"/>
    </row>
    <row r="213" spans="3:18" x14ac:dyDescent="0.25">
      <c r="C213" s="233"/>
      <c r="D213" s="249"/>
      <c r="E213" s="236"/>
      <c r="F213" s="250" t="str">
        <f t="shared" si="9"/>
        <v>-</v>
      </c>
      <c r="G213" s="242"/>
      <c r="H213" s="271"/>
      <c r="I213" s="233"/>
      <c r="J213" s="252" t="str">
        <f>IFERROR(MIN('MP Calculations'!$E$29/I213,1),"-")</f>
        <v>-</v>
      </c>
      <c r="K213" s="257"/>
      <c r="L213" s="233"/>
      <c r="M213" s="233"/>
      <c r="N213" s="233"/>
      <c r="O213" s="255" t="str">
        <f t="shared" si="8"/>
        <v>-</v>
      </c>
      <c r="P213" s="256" t="str">
        <f t="shared" si="10"/>
        <v>-</v>
      </c>
      <c r="Q213" s="87"/>
      <c r="R213" s="87"/>
    </row>
    <row r="214" spans="3:18" x14ac:dyDescent="0.25">
      <c r="C214" s="233"/>
      <c r="D214" s="249"/>
      <c r="E214" s="236"/>
      <c r="F214" s="250" t="str">
        <f t="shared" si="9"/>
        <v>-</v>
      </c>
      <c r="G214" s="242"/>
      <c r="H214" s="271"/>
      <c r="I214" s="233"/>
      <c r="J214" s="252" t="str">
        <f>IFERROR(MIN('MP Calculations'!$E$29/I214,1),"-")</f>
        <v>-</v>
      </c>
      <c r="K214" s="257"/>
      <c r="L214" s="233"/>
      <c r="M214" s="233"/>
      <c r="N214" s="233"/>
      <c r="O214" s="255" t="str">
        <f t="shared" si="8"/>
        <v>-</v>
      </c>
      <c r="P214" s="256" t="str">
        <f t="shared" si="10"/>
        <v>-</v>
      </c>
      <c r="Q214" s="87"/>
      <c r="R214" s="87"/>
    </row>
    <row r="215" spans="3:18" x14ac:dyDescent="0.25">
      <c r="C215" s="233"/>
      <c r="D215" s="249"/>
      <c r="E215" s="236"/>
      <c r="F215" s="250" t="str">
        <f t="shared" si="9"/>
        <v>-</v>
      </c>
      <c r="G215" s="242"/>
      <c r="H215" s="271"/>
      <c r="I215" s="233"/>
      <c r="J215" s="252" t="str">
        <f>IFERROR(MIN('MP Calculations'!$E$29/I215,1),"-")</f>
        <v>-</v>
      </c>
      <c r="K215" s="257"/>
      <c r="L215" s="233"/>
      <c r="M215" s="233"/>
      <c r="N215" s="233"/>
      <c r="O215" s="255" t="str">
        <f t="shared" ref="O215:O218" si="11">IF(N215="","-",L215*N215)</f>
        <v>-</v>
      </c>
      <c r="P215" s="256" t="str">
        <f t="shared" si="10"/>
        <v>-</v>
      </c>
      <c r="Q215" s="87"/>
      <c r="R215" s="87"/>
    </row>
    <row r="216" spans="3:18" x14ac:dyDescent="0.25">
      <c r="C216" s="233"/>
      <c r="D216" s="249"/>
      <c r="E216" s="236"/>
      <c r="F216" s="250" t="str">
        <f t="shared" si="9"/>
        <v>-</v>
      </c>
      <c r="G216" s="242"/>
      <c r="H216" s="271"/>
      <c r="I216" s="233"/>
      <c r="J216" s="252" t="str">
        <f>IFERROR(MIN('MP Calculations'!$E$29/I216,1),"-")</f>
        <v>-</v>
      </c>
      <c r="K216" s="257"/>
      <c r="L216" s="233"/>
      <c r="M216" s="233"/>
      <c r="N216" s="233"/>
      <c r="O216" s="255" t="str">
        <f t="shared" si="11"/>
        <v>-</v>
      </c>
      <c r="P216" s="256" t="str">
        <f t="shared" si="10"/>
        <v>-</v>
      </c>
      <c r="Q216" s="87"/>
      <c r="R216" s="87"/>
    </row>
    <row r="217" spans="3:18" x14ac:dyDescent="0.25">
      <c r="C217" s="233"/>
      <c r="D217" s="249"/>
      <c r="E217" s="236"/>
      <c r="F217" s="250" t="str">
        <f t="shared" si="9"/>
        <v>-</v>
      </c>
      <c r="G217" s="242"/>
      <c r="H217" s="271"/>
      <c r="I217" s="233"/>
      <c r="J217" s="252" t="str">
        <f>IFERROR(MIN('MP Calculations'!$E$29/I217,1),"-")</f>
        <v>-</v>
      </c>
      <c r="K217" s="257"/>
      <c r="L217" s="233"/>
      <c r="M217" s="233"/>
      <c r="N217" s="233"/>
      <c r="O217" s="255" t="str">
        <f t="shared" si="11"/>
        <v>-</v>
      </c>
      <c r="P217" s="256" t="str">
        <f t="shared" si="10"/>
        <v>-</v>
      </c>
      <c r="Q217" s="87"/>
      <c r="R217" s="87"/>
    </row>
    <row r="218" spans="3:18" ht="57.5" x14ac:dyDescent="0.25">
      <c r="C218" s="234"/>
      <c r="D218" s="258" t="str">
        <f ca="1">"Add rows above this point as required and copy formula down.  It is important to add rows above this point as this will ensure the formula on the '"&amp;MID(CELL("filename",'MP Calculations'!$A$1),FIND("]",CELL("filename",'MP Calculations'!$A$1))+1,255)&amp;"' worksheet will incorporate the information included in the additional rows. "</f>
        <v xml:space="preserve">Add rows above this point as required and copy formula down.  It is important to add rows above this point as this will ensure the formula on the 'MP Calculations' worksheet will incorporate the information included in the additional rows. </v>
      </c>
      <c r="E218" s="239"/>
      <c r="F218" s="259" t="str">
        <f t="shared" si="3"/>
        <v>-</v>
      </c>
      <c r="G218" s="242"/>
      <c r="H218" s="260"/>
      <c r="I218" s="264"/>
      <c r="J218" s="262" t="str">
        <f>IFERROR(MIN('MP Calculations'!$E$29/I218,1),"-")</f>
        <v>-</v>
      </c>
      <c r="K218" s="263"/>
      <c r="L218" s="264"/>
      <c r="M218" s="264"/>
      <c r="N218" s="264"/>
      <c r="O218" s="265" t="str">
        <f t="shared" si="11"/>
        <v>-</v>
      </c>
      <c r="P218" s="266" t="str">
        <f t="shared" si="5"/>
        <v>-</v>
      </c>
      <c r="Q218" s="87"/>
      <c r="R218" s="87"/>
    </row>
  </sheetData>
  <conditionalFormatting sqref="F22:F218">
    <cfRule type="containsText" dxfId="3" priority="2" operator="containsText" text="ERROR">
      <formula>NOT(ISERROR(SEARCH("ERROR",F22)))</formula>
    </cfRule>
  </conditionalFormatting>
  <conditionalFormatting sqref="J22:J218">
    <cfRule type="cellIs" dxfId="2" priority="1" operator="equal">
      <formula>1</formula>
    </cfRule>
  </conditionalFormatting>
  <hyperlinks>
    <hyperlink ref="E7" location="'Asset exclusions'!A1" display="'Asset exclusions'!A1" xr:uid="{00000000-0004-0000-0700-000000000000}"/>
  </hyperlink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7" tint="0.79998168889431442"/>
  </sheetPr>
  <dimension ref="C3:AN103"/>
  <sheetViews>
    <sheetView showGridLines="0" zoomScaleNormal="100" workbookViewId="0"/>
  </sheetViews>
  <sheetFormatPr defaultRowHeight="11.5" x14ac:dyDescent="0.25"/>
  <cols>
    <col min="1" max="2" width="2.69921875" customWidth="1"/>
    <col min="3" max="3" width="15.69921875" customWidth="1"/>
    <col min="4" max="4" width="21.09765625" customWidth="1"/>
    <col min="5" max="5" width="2.69921875" customWidth="1"/>
    <col min="6" max="6" width="15.69921875" customWidth="1"/>
    <col min="7" max="7" width="7.69921875" customWidth="1"/>
    <col min="8" max="8" width="2.69921875" customWidth="1"/>
    <col min="9" max="9" width="15.69921875" customWidth="1"/>
    <col min="10" max="10" width="7.69921875" customWidth="1"/>
    <col min="11" max="11" width="2.69921875" customWidth="1"/>
    <col min="12" max="12" width="15.69921875" customWidth="1"/>
    <col min="13" max="13" width="7.69921875" customWidth="1"/>
    <col min="14" max="14" width="2.69921875" customWidth="1"/>
    <col min="15" max="15" width="15.69921875" customWidth="1"/>
    <col min="16" max="16" width="7.69921875" customWidth="1"/>
    <col min="17" max="17" width="2.69921875" customWidth="1"/>
    <col min="18" max="18" width="15.69921875" customWidth="1"/>
    <col min="19" max="19" width="7.69921875" customWidth="1"/>
    <col min="20" max="20" width="2.69921875" customWidth="1"/>
    <col min="21" max="21" width="15.69921875" customWidth="1"/>
    <col min="22" max="22" width="7.69921875" customWidth="1"/>
    <col min="23" max="23" width="2.69921875" customWidth="1"/>
    <col min="24" max="24" width="15.69921875" customWidth="1"/>
    <col min="25" max="25" width="7.69921875" customWidth="1"/>
    <col min="26" max="26" width="2.69921875" customWidth="1"/>
    <col min="27" max="27" width="15.69921875" customWidth="1"/>
    <col min="28" max="28" width="7.69921875" customWidth="1"/>
    <col min="29" max="29" width="2.69921875" customWidth="1"/>
    <col min="30" max="30" width="15.69921875" customWidth="1"/>
    <col min="31" max="31" width="7.69921875" customWidth="1"/>
    <col min="32" max="32" width="2.69921875" customWidth="1"/>
    <col min="33" max="33" width="15.69921875" customWidth="1"/>
    <col min="36" max="36" width="29.59765625" customWidth="1"/>
    <col min="37" max="37" width="23.59765625" customWidth="1"/>
  </cols>
  <sheetData>
    <row r="3" spans="3:40" ht="20" x14ac:dyDescent="0.4">
      <c r="C3" s="64" t="s">
        <v>118</v>
      </c>
    </row>
    <row r="6" spans="3:40" x14ac:dyDescent="0.25">
      <c r="C6" s="50" t="s">
        <v>119</v>
      </c>
      <c r="F6" s="153">
        <f>'General inputs'!H36</f>
        <v>200</v>
      </c>
      <c r="G6" s="201" t="str">
        <f ca="1">"Input entered at "&amp;ADDRESS(ROW('General inputs'!$H$36),COLUMN('General inputs'!$H$36))&amp;" on the '"&amp;MID(CELL("filename",'General inputs'!$A$1),FIND("]",CELL("filename",'General inputs'!$A$1))+1,255)&amp;"' worksheet. "</f>
        <v xml:space="preserve">Input entered at $H$36 on the 'General inputs' worksheet. </v>
      </c>
      <c r="H6" s="87"/>
      <c r="I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row>
    <row r="7" spans="3:40" x14ac:dyDescent="0.25">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row>
    <row r="8" spans="3:40" x14ac:dyDescent="0.25">
      <c r="F8" s="51" t="s">
        <v>20</v>
      </c>
      <c r="G8" s="51"/>
      <c r="H8" s="52"/>
      <c r="I8" s="51" t="s">
        <v>21</v>
      </c>
      <c r="J8" s="51"/>
      <c r="K8" s="52"/>
      <c r="L8" s="230" t="s">
        <v>94</v>
      </c>
      <c r="M8" s="231"/>
      <c r="N8" s="52"/>
      <c r="O8" s="230" t="s">
        <v>96</v>
      </c>
      <c r="P8" s="231"/>
      <c r="Q8" s="52"/>
      <c r="R8" s="230" t="s">
        <v>95</v>
      </c>
      <c r="S8" s="231"/>
      <c r="T8" s="52"/>
      <c r="U8" s="230" t="s">
        <v>120</v>
      </c>
      <c r="V8" s="231"/>
      <c r="W8" s="52"/>
      <c r="X8" s="230" t="s">
        <v>121</v>
      </c>
      <c r="Y8" s="231"/>
      <c r="Z8" s="52"/>
      <c r="AA8" s="230" t="s">
        <v>122</v>
      </c>
      <c r="AB8" s="231"/>
      <c r="AC8" s="52"/>
      <c r="AD8" s="230" t="s">
        <v>123</v>
      </c>
      <c r="AE8" s="231"/>
      <c r="AF8" s="52"/>
      <c r="AG8" s="230" t="s">
        <v>124</v>
      </c>
      <c r="AH8" s="231"/>
    </row>
    <row r="9" spans="3:40" x14ac:dyDescent="0.25">
      <c r="C9" s="50" t="s">
        <v>32</v>
      </c>
      <c r="F9" s="34" t="s">
        <v>33</v>
      </c>
      <c r="G9" s="69">
        <v>200</v>
      </c>
      <c r="H9" s="41"/>
      <c r="I9" s="34" t="s">
        <v>33</v>
      </c>
      <c r="J9" s="69">
        <v>150</v>
      </c>
      <c r="K9" s="41"/>
      <c r="L9" s="67" t="s">
        <v>38</v>
      </c>
      <c r="M9" s="68">
        <v>20000</v>
      </c>
      <c r="N9" s="41"/>
      <c r="O9" s="67" t="s">
        <v>37</v>
      </c>
      <c r="P9" s="68">
        <v>5000</v>
      </c>
      <c r="Q9" s="41"/>
      <c r="R9" s="67" t="s">
        <v>38</v>
      </c>
      <c r="S9" s="68">
        <v>20000</v>
      </c>
      <c r="T9" s="41"/>
      <c r="U9" s="67" t="s">
        <v>37</v>
      </c>
      <c r="V9" s="68">
        <v>5000</v>
      </c>
      <c r="W9" s="41"/>
      <c r="X9" s="67" t="s">
        <v>38</v>
      </c>
      <c r="Y9" s="68">
        <v>20000</v>
      </c>
      <c r="Z9" s="41"/>
      <c r="AA9" s="67" t="s">
        <v>37</v>
      </c>
      <c r="AB9" s="68">
        <v>5000</v>
      </c>
      <c r="AC9" s="41"/>
      <c r="AD9" s="67" t="s">
        <v>38</v>
      </c>
      <c r="AE9" s="68">
        <v>20000</v>
      </c>
      <c r="AF9" s="41"/>
      <c r="AG9" s="67" t="s">
        <v>37</v>
      </c>
      <c r="AH9" s="68">
        <v>5000</v>
      </c>
    </row>
    <row r="11" spans="3:40" ht="34.5" x14ac:dyDescent="0.25">
      <c r="D11" s="200" t="s">
        <v>92</v>
      </c>
      <c r="E11" s="39"/>
      <c r="F11" s="200" t="s">
        <v>144</v>
      </c>
      <c r="G11" s="124" t="s">
        <v>22</v>
      </c>
      <c r="H11" s="124"/>
      <c r="I11" s="123" t="s">
        <v>145</v>
      </c>
      <c r="J11" s="124" t="s">
        <v>22</v>
      </c>
      <c r="K11" s="124"/>
      <c r="L11" s="123" t="str">
        <f>"Annual take-up of "&amp;INDEX($AK$12:$AK$19,MATCH(L9,$AJ$12:$AJ$20,0))&amp;" for "&amp;L8</f>
        <v>Annual take-up of hectares for Schools</v>
      </c>
      <c r="M11" s="124" t="s">
        <v>22</v>
      </c>
      <c r="N11" s="124"/>
      <c r="O11" s="123" t="str">
        <f>"Annual take-up of "&amp;INDEX($AK$12:$AK$19,MATCH(O9,$AJ$12:$AJ$20,0))&amp;" for "&amp;O8</f>
        <v>Annual take-up of properties for Commercial</v>
      </c>
      <c r="P11" s="124" t="s">
        <v>22</v>
      </c>
      <c r="Q11" s="124"/>
      <c r="R11" s="123" t="str">
        <f>"Annual take-up of "&amp;INDEX($AK$12:$AK$19,MATCH(R9,$AJ$12:$AJ$20,0))&amp;" for "&amp;R8</f>
        <v>Annual take-up of hectares for Light industrial</v>
      </c>
      <c r="S11" s="124" t="s">
        <v>22</v>
      </c>
      <c r="T11" s="124"/>
      <c r="U11" s="123" t="str">
        <f>"Annual take-up of "&amp;INDEX($AK$12:$AK$19,MATCH(U9,$AJ$12:$AJ$20,0))&amp;" for "&amp;U8</f>
        <v>Annual take-up of properties for Non-res 4</v>
      </c>
      <c r="V11" s="124" t="s">
        <v>22</v>
      </c>
      <c r="W11" s="124"/>
      <c r="X11" s="123" t="str">
        <f>"Annual take-up of "&amp;INDEX($AK$12:$AK$19,MATCH(X9,$AJ$12:$AJ$20,0))&amp;" for "&amp;X8</f>
        <v>Annual take-up of hectares for Non-res 5</v>
      </c>
      <c r="Y11" s="124" t="s">
        <v>22</v>
      </c>
      <c r="Z11" s="124"/>
      <c r="AA11" s="123" t="str">
        <f>"Annual take-up of "&amp;INDEX($AK$12:$AK$19,MATCH(AA9,$AJ$12:$AJ$20,0))&amp;" for "&amp;AA8</f>
        <v>Annual take-up of properties for Non-res 6</v>
      </c>
      <c r="AB11" s="124" t="s">
        <v>22</v>
      </c>
      <c r="AC11" s="124"/>
      <c r="AD11" s="123" t="str">
        <f>"Annual take-up of "&amp;INDEX($AK$12:$AK$19,MATCH(AD9,$AJ$12:$AJ$20,0))&amp;" for "&amp;AD8</f>
        <v>Annual take-up of hectares for Non-res 7</v>
      </c>
      <c r="AE11" s="124" t="s">
        <v>22</v>
      </c>
      <c r="AF11" s="124"/>
      <c r="AG11" s="123" t="str">
        <f>"Annual take-up of "&amp;INDEX($AK$12:$AK$19,MATCH(AG9,$AJ$12:$AJ$20,0))&amp;" for "&amp;AG8</f>
        <v>Annual take-up of properties for Non-res 8</v>
      </c>
      <c r="AH11" s="124" t="s">
        <v>22</v>
      </c>
      <c r="AI11" s="87"/>
      <c r="AJ11" s="125" t="s">
        <v>39</v>
      </c>
      <c r="AK11" s="95"/>
      <c r="AL11" s="87"/>
      <c r="AM11" s="154"/>
      <c r="AN11" s="95"/>
    </row>
    <row r="12" spans="3:40" ht="12" customHeight="1" x14ac:dyDescent="0.25">
      <c r="C12" s="95" t="str">
        <f>'MP Calculations'!D39</f>
        <v>1995-96</v>
      </c>
      <c r="D12" s="126">
        <f>IF(LEFT($C12,4)*1&lt;LEFT('General inputs'!$I$16,4)+'General inputs'!$H$38,SUM(G12,J12,M12,P12,S12,V12,Y12,AB12,AE12,AH12),"")</f>
        <v>0</v>
      </c>
      <c r="F12" s="53">
        <v>0</v>
      </c>
      <c r="G12" s="126">
        <f>F12*$G$9/$F$6</f>
        <v>0</v>
      </c>
      <c r="H12" s="87"/>
      <c r="I12" s="53">
        <v>0</v>
      </c>
      <c r="J12" s="126">
        <f t="shared" ref="J12:J43" si="0">I12*$J$9/$F$6</f>
        <v>0</v>
      </c>
      <c r="K12" s="87"/>
      <c r="L12" s="53">
        <v>0</v>
      </c>
      <c r="M12" s="126">
        <f t="shared" ref="M12:M43" si="1">L12*$M$9/$F$6</f>
        <v>0</v>
      </c>
      <c r="N12" s="87"/>
      <c r="O12" s="53">
        <v>0</v>
      </c>
      <c r="P12" s="126">
        <f t="shared" ref="P12:P43" si="2">O12*$P$9/$F$6</f>
        <v>0</v>
      </c>
      <c r="Q12" s="87"/>
      <c r="R12" s="53">
        <v>0</v>
      </c>
      <c r="S12" s="126">
        <f t="shared" ref="S12:S43" si="3">R12*$S$9/$F$6</f>
        <v>0</v>
      </c>
      <c r="T12" s="87"/>
      <c r="U12" s="53">
        <v>0</v>
      </c>
      <c r="V12" s="126">
        <f t="shared" ref="V12:V43" si="4">U12*$V$9/$F$6</f>
        <v>0</v>
      </c>
      <c r="W12" s="87"/>
      <c r="X12" s="53">
        <v>0</v>
      </c>
      <c r="Y12" s="126">
        <f t="shared" ref="Y12:Y43" si="5">X12*$Y$9/$F$6</f>
        <v>0</v>
      </c>
      <c r="Z12" s="87"/>
      <c r="AA12" s="53">
        <v>0</v>
      </c>
      <c r="AB12" s="126">
        <f t="shared" ref="AB12:AB43" si="6">AA12*$AB$9/$F$6</f>
        <v>0</v>
      </c>
      <c r="AC12" s="87"/>
      <c r="AD12" s="53">
        <v>0</v>
      </c>
      <c r="AE12" s="126">
        <f t="shared" ref="AE12:AE43" si="7">AD12*$AE$9/$F$6</f>
        <v>0</v>
      </c>
      <c r="AF12" s="87"/>
      <c r="AG12" s="53">
        <v>0</v>
      </c>
      <c r="AH12" s="126">
        <f t="shared" ref="AH12:AH43" si="8">AG12*$AH$9/$F$6</f>
        <v>0</v>
      </c>
      <c r="AI12" s="127">
        <v>1</v>
      </c>
      <c r="AJ12" s="70" t="s">
        <v>37</v>
      </c>
      <c r="AK12" s="70" t="s">
        <v>97</v>
      </c>
    </row>
    <row r="13" spans="3:40" x14ac:dyDescent="0.25">
      <c r="C13" s="95" t="str">
        <f>'MP Calculations'!D40</f>
        <v>1996-97</v>
      </c>
      <c r="D13" s="110">
        <f>IF(LEFT($C13,4)*1&lt;LEFT('General inputs'!$I$16,4)+'General inputs'!$H$38,SUM(G13,J13,M13,P13,S13,V13,Y13,AB13,AE13,AH13),"")</f>
        <v>0</v>
      </c>
      <c r="E13" s="87"/>
      <c r="F13" s="43">
        <v>0</v>
      </c>
      <c r="G13" s="110">
        <f t="shared" ref="G13:G43" si="9">F13*$G$9/$F$6</f>
        <v>0</v>
      </c>
      <c r="H13" s="87"/>
      <c r="I13" s="43">
        <v>0</v>
      </c>
      <c r="J13" s="110">
        <f t="shared" si="0"/>
        <v>0</v>
      </c>
      <c r="K13" s="87"/>
      <c r="L13" s="43">
        <v>0</v>
      </c>
      <c r="M13" s="110">
        <f t="shared" si="1"/>
        <v>0</v>
      </c>
      <c r="N13" s="87"/>
      <c r="O13" s="43">
        <v>0</v>
      </c>
      <c r="P13" s="110">
        <f t="shared" si="2"/>
        <v>0</v>
      </c>
      <c r="Q13" s="87"/>
      <c r="R13" s="43">
        <v>0</v>
      </c>
      <c r="S13" s="110">
        <f t="shared" si="3"/>
        <v>0</v>
      </c>
      <c r="T13" s="87"/>
      <c r="U13" s="43">
        <v>0</v>
      </c>
      <c r="V13" s="110">
        <f t="shared" si="4"/>
        <v>0</v>
      </c>
      <c r="W13" s="87"/>
      <c r="X13" s="43">
        <v>0</v>
      </c>
      <c r="Y13" s="110">
        <f t="shared" si="5"/>
        <v>0</v>
      </c>
      <c r="Z13" s="87"/>
      <c r="AA13" s="43">
        <v>0</v>
      </c>
      <c r="AB13" s="110">
        <f t="shared" si="6"/>
        <v>0</v>
      </c>
      <c r="AC13" s="87"/>
      <c r="AD13" s="43">
        <v>0</v>
      </c>
      <c r="AE13" s="110">
        <f t="shared" si="7"/>
        <v>0</v>
      </c>
      <c r="AF13" s="87"/>
      <c r="AG13" s="43">
        <v>0</v>
      </c>
      <c r="AH13" s="110">
        <f t="shared" si="8"/>
        <v>0</v>
      </c>
      <c r="AI13" s="87">
        <f>AI12+1</f>
        <v>2</v>
      </c>
      <c r="AJ13" s="36" t="s">
        <v>38</v>
      </c>
      <c r="AK13" s="36" t="s">
        <v>98</v>
      </c>
    </row>
    <row r="14" spans="3:40" x14ac:dyDescent="0.25">
      <c r="C14" s="95" t="str">
        <f>'MP Calculations'!D41</f>
        <v>1997-98</v>
      </c>
      <c r="D14" s="110">
        <f>IF(LEFT($C14,4)*1&lt;LEFT('General inputs'!$I$16,4)+'General inputs'!$H$38,SUM(G14,J14,M14,P14,S14,V14,Y14,AB14,AE14,AH14),"")</f>
        <v>0</v>
      </c>
      <c r="E14" s="87"/>
      <c r="F14" s="43">
        <v>0</v>
      </c>
      <c r="G14" s="110">
        <f t="shared" si="9"/>
        <v>0</v>
      </c>
      <c r="H14" s="87"/>
      <c r="I14" s="43">
        <v>0</v>
      </c>
      <c r="J14" s="110">
        <f t="shared" si="0"/>
        <v>0</v>
      </c>
      <c r="K14" s="87"/>
      <c r="L14" s="43">
        <v>0</v>
      </c>
      <c r="M14" s="110">
        <f t="shared" si="1"/>
        <v>0</v>
      </c>
      <c r="N14" s="87"/>
      <c r="O14" s="43">
        <v>0</v>
      </c>
      <c r="P14" s="110">
        <f t="shared" si="2"/>
        <v>0</v>
      </c>
      <c r="Q14" s="87"/>
      <c r="R14" s="43">
        <v>0</v>
      </c>
      <c r="S14" s="110">
        <f t="shared" si="3"/>
        <v>0</v>
      </c>
      <c r="T14" s="87"/>
      <c r="U14" s="43">
        <v>0</v>
      </c>
      <c r="V14" s="110">
        <f t="shared" si="4"/>
        <v>0</v>
      </c>
      <c r="W14" s="87"/>
      <c r="X14" s="43">
        <v>0</v>
      </c>
      <c r="Y14" s="110">
        <f t="shared" si="5"/>
        <v>0</v>
      </c>
      <c r="Z14" s="87"/>
      <c r="AA14" s="43">
        <v>0</v>
      </c>
      <c r="AB14" s="110">
        <f t="shared" si="6"/>
        <v>0</v>
      </c>
      <c r="AC14" s="87"/>
      <c r="AD14" s="43">
        <v>0</v>
      </c>
      <c r="AE14" s="110">
        <f t="shared" si="7"/>
        <v>0</v>
      </c>
      <c r="AF14" s="87"/>
      <c r="AG14" s="43">
        <v>0</v>
      </c>
      <c r="AH14" s="110">
        <f t="shared" si="8"/>
        <v>0</v>
      </c>
      <c r="AI14" s="87">
        <f t="shared" ref="AI14:AI18" si="10">AI13+1</f>
        <v>3</v>
      </c>
      <c r="AJ14" s="36"/>
      <c r="AK14" s="36"/>
    </row>
    <row r="15" spans="3:40" x14ac:dyDescent="0.25">
      <c r="C15" s="95" t="str">
        <f>'MP Calculations'!D42</f>
        <v>1998-99</v>
      </c>
      <c r="D15" s="110">
        <f>IF(LEFT($C15,4)*1&lt;LEFT('General inputs'!$I$16,4)+'General inputs'!$H$38,SUM(G15,J15,M15,P15,S15,V15,Y15,AB15,AE15,AH15),"")</f>
        <v>0</v>
      </c>
      <c r="E15" s="87"/>
      <c r="F15" s="43">
        <v>0</v>
      </c>
      <c r="G15" s="110">
        <f t="shared" si="9"/>
        <v>0</v>
      </c>
      <c r="H15" s="87"/>
      <c r="I15" s="43">
        <v>0</v>
      </c>
      <c r="J15" s="110">
        <f t="shared" si="0"/>
        <v>0</v>
      </c>
      <c r="K15" s="87"/>
      <c r="L15" s="43">
        <v>0</v>
      </c>
      <c r="M15" s="110">
        <f t="shared" si="1"/>
        <v>0</v>
      </c>
      <c r="N15" s="87"/>
      <c r="O15" s="43">
        <v>0</v>
      </c>
      <c r="P15" s="110">
        <f t="shared" si="2"/>
        <v>0</v>
      </c>
      <c r="Q15" s="87"/>
      <c r="R15" s="43">
        <v>0</v>
      </c>
      <c r="S15" s="110">
        <f t="shared" si="3"/>
        <v>0</v>
      </c>
      <c r="T15" s="87"/>
      <c r="U15" s="43">
        <v>0</v>
      </c>
      <c r="V15" s="110">
        <f t="shared" si="4"/>
        <v>0</v>
      </c>
      <c r="W15" s="87"/>
      <c r="X15" s="43">
        <v>0</v>
      </c>
      <c r="Y15" s="110">
        <f t="shared" si="5"/>
        <v>0</v>
      </c>
      <c r="Z15" s="87"/>
      <c r="AA15" s="43">
        <v>0</v>
      </c>
      <c r="AB15" s="110">
        <f t="shared" si="6"/>
        <v>0</v>
      </c>
      <c r="AC15" s="87"/>
      <c r="AD15" s="43">
        <v>0</v>
      </c>
      <c r="AE15" s="110">
        <f t="shared" si="7"/>
        <v>0</v>
      </c>
      <c r="AF15" s="87"/>
      <c r="AG15" s="43">
        <v>0</v>
      </c>
      <c r="AH15" s="110">
        <f t="shared" si="8"/>
        <v>0</v>
      </c>
      <c r="AI15" s="87">
        <f t="shared" si="10"/>
        <v>4</v>
      </c>
      <c r="AJ15" s="36"/>
      <c r="AK15" s="36"/>
      <c r="AL15" s="155" t="str">
        <f>"Provide plural notation for the units of measure entered at "&amp;ADDRESS(ROW($AJ$12),COLUMN($AJ$12))&amp;" to "&amp;ADDRESS(ROW($AJ$18),COLUMN($AJ$18))&amp;"."</f>
        <v>Provide plural notation for the units of measure entered at $AJ$12 to $AJ$18.</v>
      </c>
      <c r="AM15" s="87"/>
      <c r="AN15" s="87"/>
    </row>
    <row r="16" spans="3:40" x14ac:dyDescent="0.25">
      <c r="C16" s="95" t="str">
        <f>'MP Calculations'!D43</f>
        <v>1999-00</v>
      </c>
      <c r="D16" s="110">
        <f>IF(LEFT($C16,4)*1&lt;LEFT('General inputs'!$I$16,4)+'General inputs'!$H$38,SUM(G16,J16,M16,P16,S16,V16,Y16,AB16,AE16,AH16),"")</f>
        <v>0</v>
      </c>
      <c r="E16" s="87"/>
      <c r="F16" s="43">
        <v>0</v>
      </c>
      <c r="G16" s="110">
        <f t="shared" si="9"/>
        <v>0</v>
      </c>
      <c r="H16" s="87"/>
      <c r="I16" s="43">
        <v>0</v>
      </c>
      <c r="J16" s="110">
        <f t="shared" si="0"/>
        <v>0</v>
      </c>
      <c r="K16" s="87"/>
      <c r="L16" s="43">
        <v>0</v>
      </c>
      <c r="M16" s="110">
        <f t="shared" si="1"/>
        <v>0</v>
      </c>
      <c r="N16" s="87"/>
      <c r="O16" s="43">
        <v>0</v>
      </c>
      <c r="P16" s="110">
        <f t="shared" si="2"/>
        <v>0</v>
      </c>
      <c r="Q16" s="87"/>
      <c r="R16" s="43">
        <v>0</v>
      </c>
      <c r="S16" s="110">
        <f t="shared" si="3"/>
        <v>0</v>
      </c>
      <c r="T16" s="87"/>
      <c r="U16" s="43">
        <v>0</v>
      </c>
      <c r="V16" s="110">
        <f t="shared" si="4"/>
        <v>0</v>
      </c>
      <c r="W16" s="87"/>
      <c r="X16" s="43">
        <v>0</v>
      </c>
      <c r="Y16" s="110">
        <f t="shared" si="5"/>
        <v>0</v>
      </c>
      <c r="Z16" s="87"/>
      <c r="AA16" s="43">
        <v>0</v>
      </c>
      <c r="AB16" s="110">
        <f t="shared" si="6"/>
        <v>0</v>
      </c>
      <c r="AC16" s="87"/>
      <c r="AD16" s="43">
        <v>0</v>
      </c>
      <c r="AE16" s="110">
        <f t="shared" si="7"/>
        <v>0</v>
      </c>
      <c r="AF16" s="87"/>
      <c r="AG16" s="43">
        <v>0</v>
      </c>
      <c r="AH16" s="110">
        <f t="shared" si="8"/>
        <v>0</v>
      </c>
      <c r="AI16" s="87">
        <f t="shared" si="10"/>
        <v>5</v>
      </c>
      <c r="AJ16" s="161"/>
      <c r="AK16" s="161"/>
      <c r="AL16" s="155" t="s">
        <v>117</v>
      </c>
      <c r="AM16" s="87"/>
      <c r="AN16" s="87"/>
    </row>
    <row r="17" spans="3:40" x14ac:dyDescent="0.25">
      <c r="C17" s="95" t="str">
        <f>'MP Calculations'!D44</f>
        <v>2000-01</v>
      </c>
      <c r="D17" s="110">
        <f>IF(LEFT($C17,4)*1&lt;LEFT('General inputs'!$I$16,4)+'General inputs'!$H$38,SUM(G17,J17,M17,P17,S17,V17,Y17,AB17,AE17,AH17),"")</f>
        <v>0</v>
      </c>
      <c r="E17" s="87"/>
      <c r="F17" s="43">
        <v>0</v>
      </c>
      <c r="G17" s="110">
        <f t="shared" si="9"/>
        <v>0</v>
      </c>
      <c r="H17" s="87"/>
      <c r="I17" s="43">
        <v>0</v>
      </c>
      <c r="J17" s="110">
        <f t="shared" si="0"/>
        <v>0</v>
      </c>
      <c r="K17" s="87"/>
      <c r="L17" s="43">
        <v>0</v>
      </c>
      <c r="M17" s="110">
        <f t="shared" si="1"/>
        <v>0</v>
      </c>
      <c r="N17" s="87"/>
      <c r="O17" s="43">
        <v>0</v>
      </c>
      <c r="P17" s="110">
        <f t="shared" si="2"/>
        <v>0</v>
      </c>
      <c r="Q17" s="87"/>
      <c r="R17" s="43">
        <v>0</v>
      </c>
      <c r="S17" s="110">
        <f t="shared" si="3"/>
        <v>0</v>
      </c>
      <c r="T17" s="87"/>
      <c r="U17" s="43">
        <v>0</v>
      </c>
      <c r="V17" s="110">
        <f t="shared" si="4"/>
        <v>0</v>
      </c>
      <c r="W17" s="87"/>
      <c r="X17" s="43">
        <v>0</v>
      </c>
      <c r="Y17" s="110">
        <f t="shared" si="5"/>
        <v>0</v>
      </c>
      <c r="Z17" s="87"/>
      <c r="AA17" s="43">
        <v>0</v>
      </c>
      <c r="AB17" s="110">
        <f t="shared" si="6"/>
        <v>0</v>
      </c>
      <c r="AC17" s="87"/>
      <c r="AD17" s="43">
        <v>0</v>
      </c>
      <c r="AE17" s="110">
        <f t="shared" si="7"/>
        <v>0</v>
      </c>
      <c r="AF17" s="87"/>
      <c r="AG17" s="43">
        <v>0</v>
      </c>
      <c r="AH17" s="110">
        <f t="shared" si="8"/>
        <v>0</v>
      </c>
      <c r="AI17" s="87">
        <f t="shared" si="10"/>
        <v>6</v>
      </c>
      <c r="AJ17" s="36"/>
      <c r="AK17" s="36"/>
      <c r="AL17" s="87"/>
      <c r="AM17" s="87"/>
      <c r="AN17" s="87"/>
    </row>
    <row r="18" spans="3:40" x14ac:dyDescent="0.25">
      <c r="C18" s="95" t="str">
        <f>'MP Calculations'!D45</f>
        <v>2001-02</v>
      </c>
      <c r="D18" s="110">
        <f>IF(LEFT($C18,4)*1&lt;LEFT('General inputs'!$I$16,4)+'General inputs'!$H$38,SUM(G18,J18,M18,P18,S18,V18,Y18,AB18,AE18,AH18),"")</f>
        <v>0</v>
      </c>
      <c r="E18" s="87"/>
      <c r="F18" s="43">
        <v>0</v>
      </c>
      <c r="G18" s="110">
        <f t="shared" si="9"/>
        <v>0</v>
      </c>
      <c r="H18" s="87"/>
      <c r="I18" s="43">
        <v>0</v>
      </c>
      <c r="J18" s="110">
        <f t="shared" si="0"/>
        <v>0</v>
      </c>
      <c r="K18" s="87"/>
      <c r="L18" s="43">
        <v>0</v>
      </c>
      <c r="M18" s="110">
        <f t="shared" si="1"/>
        <v>0</v>
      </c>
      <c r="N18" s="87"/>
      <c r="O18" s="43">
        <v>0</v>
      </c>
      <c r="P18" s="110">
        <f t="shared" si="2"/>
        <v>0</v>
      </c>
      <c r="Q18" s="87"/>
      <c r="R18" s="43">
        <v>0</v>
      </c>
      <c r="S18" s="110">
        <f t="shared" si="3"/>
        <v>0</v>
      </c>
      <c r="T18" s="87"/>
      <c r="U18" s="43">
        <v>0</v>
      </c>
      <c r="V18" s="110">
        <f t="shared" si="4"/>
        <v>0</v>
      </c>
      <c r="W18" s="87"/>
      <c r="X18" s="43">
        <v>0</v>
      </c>
      <c r="Y18" s="110">
        <f t="shared" si="5"/>
        <v>0</v>
      </c>
      <c r="Z18" s="87"/>
      <c r="AA18" s="43">
        <v>0</v>
      </c>
      <c r="AB18" s="110">
        <f t="shared" si="6"/>
        <v>0</v>
      </c>
      <c r="AC18" s="87"/>
      <c r="AD18" s="43">
        <v>0</v>
      </c>
      <c r="AE18" s="110">
        <f t="shared" si="7"/>
        <v>0</v>
      </c>
      <c r="AF18" s="87"/>
      <c r="AG18" s="43">
        <v>0</v>
      </c>
      <c r="AH18" s="110">
        <f t="shared" si="8"/>
        <v>0</v>
      </c>
      <c r="AI18" s="87">
        <f t="shared" si="10"/>
        <v>7</v>
      </c>
      <c r="AJ18" s="36"/>
      <c r="AK18" s="36"/>
      <c r="AL18" s="87"/>
      <c r="AM18" s="87"/>
      <c r="AN18" s="87"/>
    </row>
    <row r="19" spans="3:40" x14ac:dyDescent="0.25">
      <c r="C19" s="95" t="str">
        <f>'MP Calculations'!D46</f>
        <v>2002-03</v>
      </c>
      <c r="D19" s="110">
        <f>IF(LEFT($C19,4)*1&lt;LEFT('General inputs'!$I$16,4)+'General inputs'!$H$38,SUM(G19,J19,M19,P19,S19,V19,Y19,AB19,AE19,AH19),"")</f>
        <v>0</v>
      </c>
      <c r="E19" s="87"/>
      <c r="F19" s="43">
        <v>0</v>
      </c>
      <c r="G19" s="110">
        <f t="shared" si="9"/>
        <v>0</v>
      </c>
      <c r="H19" s="87"/>
      <c r="I19" s="43">
        <v>0</v>
      </c>
      <c r="J19" s="110">
        <f t="shared" si="0"/>
        <v>0</v>
      </c>
      <c r="K19" s="87"/>
      <c r="L19" s="43">
        <v>0</v>
      </c>
      <c r="M19" s="110">
        <f>L19*$M$9/$F$6</f>
        <v>0</v>
      </c>
      <c r="N19" s="87"/>
      <c r="O19" s="43">
        <v>0</v>
      </c>
      <c r="P19" s="110">
        <f t="shared" si="2"/>
        <v>0</v>
      </c>
      <c r="Q19" s="87"/>
      <c r="R19" s="43">
        <v>0</v>
      </c>
      <c r="S19" s="110">
        <f t="shared" si="3"/>
        <v>0</v>
      </c>
      <c r="T19" s="87"/>
      <c r="U19" s="43">
        <v>0</v>
      </c>
      <c r="V19" s="110">
        <f t="shared" si="4"/>
        <v>0</v>
      </c>
      <c r="W19" s="87"/>
      <c r="X19" s="43">
        <v>0</v>
      </c>
      <c r="Y19" s="110">
        <f t="shared" si="5"/>
        <v>0</v>
      </c>
      <c r="Z19" s="87"/>
      <c r="AA19" s="43">
        <v>0</v>
      </c>
      <c r="AB19" s="110">
        <f t="shared" si="6"/>
        <v>0</v>
      </c>
      <c r="AC19" s="87"/>
      <c r="AD19" s="43">
        <v>0</v>
      </c>
      <c r="AE19" s="110">
        <f t="shared" si="7"/>
        <v>0</v>
      </c>
      <c r="AF19" s="87"/>
      <c r="AG19" s="43">
        <v>0</v>
      </c>
      <c r="AH19" s="110">
        <f t="shared" si="8"/>
        <v>0</v>
      </c>
      <c r="AI19" s="87"/>
      <c r="AJ19" s="128" t="str">
        <f>"add alternatives at "&amp;ADDRESS(ROW(AJ18),COLUMN(AJ18))&amp;":"&amp;ADDRESS(ROW(AJ23),COLUMN(AJ23))</f>
        <v>add alternatives at $AJ$18:$AJ$23</v>
      </c>
      <c r="AK19" s="156"/>
      <c r="AL19" s="87"/>
      <c r="AM19" s="87"/>
      <c r="AN19" s="87"/>
    </row>
    <row r="20" spans="3:40" x14ac:dyDescent="0.25">
      <c r="C20" s="95" t="str">
        <f>'MP Calculations'!D47</f>
        <v>2003-04</v>
      </c>
      <c r="D20" s="110">
        <f>IF(LEFT($C20,4)*1&lt;LEFT('General inputs'!$I$16,4)+'General inputs'!$H$38,SUM(G20,J20,M20,P20,S20,V20,Y20,AB20,AE20,AH20),"")</f>
        <v>0</v>
      </c>
      <c r="E20" s="87"/>
      <c r="F20" s="43">
        <v>0</v>
      </c>
      <c r="G20" s="110">
        <f t="shared" si="9"/>
        <v>0</v>
      </c>
      <c r="H20" s="87"/>
      <c r="I20" s="43">
        <v>0</v>
      </c>
      <c r="J20" s="110">
        <f t="shared" si="0"/>
        <v>0</v>
      </c>
      <c r="K20" s="87"/>
      <c r="L20" s="43">
        <v>0</v>
      </c>
      <c r="M20" s="110">
        <f t="shared" si="1"/>
        <v>0</v>
      </c>
      <c r="N20" s="87"/>
      <c r="O20" s="43">
        <v>0</v>
      </c>
      <c r="P20" s="110">
        <f t="shared" si="2"/>
        <v>0</v>
      </c>
      <c r="Q20" s="87"/>
      <c r="R20" s="43">
        <v>0</v>
      </c>
      <c r="S20" s="110">
        <f t="shared" si="3"/>
        <v>0</v>
      </c>
      <c r="T20" s="87"/>
      <c r="U20" s="43">
        <v>0</v>
      </c>
      <c r="V20" s="110">
        <f t="shared" si="4"/>
        <v>0</v>
      </c>
      <c r="W20" s="87"/>
      <c r="X20" s="43">
        <v>0</v>
      </c>
      <c r="Y20" s="110">
        <f t="shared" si="5"/>
        <v>0</v>
      </c>
      <c r="Z20" s="87"/>
      <c r="AA20" s="43">
        <v>0</v>
      </c>
      <c r="AB20" s="110">
        <f t="shared" si="6"/>
        <v>0</v>
      </c>
      <c r="AC20" s="87"/>
      <c r="AD20" s="43">
        <v>0</v>
      </c>
      <c r="AE20" s="110">
        <f t="shared" si="7"/>
        <v>0</v>
      </c>
      <c r="AF20" s="87"/>
      <c r="AG20" s="43">
        <v>0</v>
      </c>
      <c r="AH20" s="110">
        <f t="shared" si="8"/>
        <v>0</v>
      </c>
      <c r="AI20" s="87"/>
      <c r="AL20" s="87"/>
      <c r="AM20" s="87"/>
      <c r="AN20" s="87"/>
    </row>
    <row r="21" spans="3:40" x14ac:dyDescent="0.25">
      <c r="C21" s="95" t="str">
        <f>'MP Calculations'!D48</f>
        <v>2004-05</v>
      </c>
      <c r="D21" s="110">
        <f>IF(LEFT($C21,4)*1&lt;LEFT('General inputs'!$I$16,4)+'General inputs'!$H$38,SUM(G21,J21,M21,P21,S21,V21,Y21,AB21,AE21,AH21),"")</f>
        <v>100</v>
      </c>
      <c r="E21" s="87"/>
      <c r="F21" s="43">
        <v>0</v>
      </c>
      <c r="G21" s="110">
        <f t="shared" si="9"/>
        <v>0</v>
      </c>
      <c r="H21" s="87"/>
      <c r="I21" s="43">
        <v>0</v>
      </c>
      <c r="J21" s="110">
        <f t="shared" si="0"/>
        <v>0</v>
      </c>
      <c r="K21" s="87"/>
      <c r="L21" s="43">
        <v>1</v>
      </c>
      <c r="M21" s="110">
        <f t="shared" si="1"/>
        <v>100</v>
      </c>
      <c r="N21" s="87"/>
      <c r="O21" s="43">
        <v>0</v>
      </c>
      <c r="P21" s="110">
        <f t="shared" si="2"/>
        <v>0</v>
      </c>
      <c r="Q21" s="87"/>
      <c r="R21" s="43">
        <v>0</v>
      </c>
      <c r="S21" s="110">
        <f t="shared" si="3"/>
        <v>0</v>
      </c>
      <c r="T21" s="87"/>
      <c r="U21" s="43">
        <v>0</v>
      </c>
      <c r="V21" s="110">
        <f t="shared" si="4"/>
        <v>0</v>
      </c>
      <c r="W21" s="87"/>
      <c r="X21" s="43">
        <v>0</v>
      </c>
      <c r="Y21" s="110">
        <f t="shared" si="5"/>
        <v>0</v>
      </c>
      <c r="Z21" s="87"/>
      <c r="AA21" s="43">
        <v>0</v>
      </c>
      <c r="AB21" s="110">
        <f t="shared" si="6"/>
        <v>0</v>
      </c>
      <c r="AC21" s="87"/>
      <c r="AD21" s="43">
        <v>0</v>
      </c>
      <c r="AE21" s="110">
        <f t="shared" si="7"/>
        <v>0</v>
      </c>
      <c r="AF21" s="87"/>
      <c r="AG21" s="43">
        <v>0</v>
      </c>
      <c r="AH21" s="110">
        <f t="shared" si="8"/>
        <v>0</v>
      </c>
      <c r="AI21" s="87"/>
      <c r="AL21" s="87"/>
      <c r="AM21" s="87"/>
      <c r="AN21" s="87"/>
    </row>
    <row r="22" spans="3:40" x14ac:dyDescent="0.25">
      <c r="C22" s="95" t="str">
        <f>'MP Calculations'!D49</f>
        <v>2005-06</v>
      </c>
      <c r="D22" s="110">
        <f>IF(LEFT($C22,4)*1&lt;LEFT('General inputs'!$I$16,4)+'General inputs'!$H$38,SUM(G22,J22,M22,P22,S22,V22,Y22,AB22,AE22,AH22),"")</f>
        <v>100</v>
      </c>
      <c r="E22" s="87"/>
      <c r="F22" s="43">
        <v>0</v>
      </c>
      <c r="G22" s="110">
        <f t="shared" si="9"/>
        <v>0</v>
      </c>
      <c r="H22" s="87"/>
      <c r="I22" s="43">
        <v>0</v>
      </c>
      <c r="J22" s="110">
        <f t="shared" si="0"/>
        <v>0</v>
      </c>
      <c r="K22" s="87"/>
      <c r="L22" s="43">
        <v>1</v>
      </c>
      <c r="M22" s="110">
        <f t="shared" si="1"/>
        <v>100</v>
      </c>
      <c r="N22" s="87"/>
      <c r="O22" s="43">
        <v>0</v>
      </c>
      <c r="P22" s="110">
        <f t="shared" si="2"/>
        <v>0</v>
      </c>
      <c r="Q22" s="87"/>
      <c r="R22" s="43">
        <v>0</v>
      </c>
      <c r="S22" s="110">
        <f t="shared" si="3"/>
        <v>0</v>
      </c>
      <c r="T22" s="87"/>
      <c r="U22" s="43">
        <v>0</v>
      </c>
      <c r="V22" s="110">
        <f t="shared" si="4"/>
        <v>0</v>
      </c>
      <c r="W22" s="87"/>
      <c r="X22" s="43">
        <v>0</v>
      </c>
      <c r="Y22" s="110">
        <f t="shared" si="5"/>
        <v>0</v>
      </c>
      <c r="Z22" s="87"/>
      <c r="AA22" s="43">
        <v>0</v>
      </c>
      <c r="AB22" s="110">
        <f t="shared" si="6"/>
        <v>0</v>
      </c>
      <c r="AC22" s="87"/>
      <c r="AD22" s="43">
        <v>0</v>
      </c>
      <c r="AE22" s="110">
        <f t="shared" si="7"/>
        <v>0</v>
      </c>
      <c r="AF22" s="87"/>
      <c r="AG22" s="43">
        <v>0</v>
      </c>
      <c r="AH22" s="110">
        <f t="shared" si="8"/>
        <v>0</v>
      </c>
      <c r="AI22" s="87"/>
      <c r="AL22" s="87"/>
      <c r="AM22" s="87"/>
      <c r="AN22" s="87"/>
    </row>
    <row r="23" spans="3:40" x14ac:dyDescent="0.25">
      <c r="C23" s="95" t="str">
        <f>'MP Calculations'!D50</f>
        <v>2006-07</v>
      </c>
      <c r="D23" s="110">
        <f>IF(LEFT($C23,4)*1&lt;LEFT('General inputs'!$I$16,4)+'General inputs'!$H$38,SUM(G23,J23,M23,P23,S23,V23,Y23,AB23,AE23,AH23),"")</f>
        <v>100</v>
      </c>
      <c r="E23" s="87"/>
      <c r="F23" s="43">
        <v>0</v>
      </c>
      <c r="G23" s="110">
        <f t="shared" si="9"/>
        <v>0</v>
      </c>
      <c r="H23" s="87"/>
      <c r="I23" s="43">
        <v>0</v>
      </c>
      <c r="J23" s="110">
        <f t="shared" si="0"/>
        <v>0</v>
      </c>
      <c r="K23" s="87"/>
      <c r="L23" s="43">
        <v>1</v>
      </c>
      <c r="M23" s="110">
        <f t="shared" si="1"/>
        <v>100</v>
      </c>
      <c r="N23" s="87"/>
      <c r="O23" s="43">
        <v>0</v>
      </c>
      <c r="P23" s="110">
        <f t="shared" si="2"/>
        <v>0</v>
      </c>
      <c r="Q23" s="87"/>
      <c r="R23" s="43">
        <v>0</v>
      </c>
      <c r="S23" s="110">
        <f t="shared" si="3"/>
        <v>0</v>
      </c>
      <c r="T23" s="87"/>
      <c r="U23" s="43">
        <v>0</v>
      </c>
      <c r="V23" s="110">
        <f t="shared" si="4"/>
        <v>0</v>
      </c>
      <c r="W23" s="87"/>
      <c r="X23" s="43">
        <v>0</v>
      </c>
      <c r="Y23" s="110">
        <f t="shared" si="5"/>
        <v>0</v>
      </c>
      <c r="Z23" s="87"/>
      <c r="AA23" s="43">
        <v>0</v>
      </c>
      <c r="AB23" s="110">
        <f t="shared" si="6"/>
        <v>0</v>
      </c>
      <c r="AC23" s="87"/>
      <c r="AD23" s="43">
        <v>0</v>
      </c>
      <c r="AE23" s="110">
        <f t="shared" si="7"/>
        <v>0</v>
      </c>
      <c r="AF23" s="87"/>
      <c r="AG23" s="43">
        <v>0</v>
      </c>
      <c r="AH23" s="110">
        <f t="shared" si="8"/>
        <v>0</v>
      </c>
      <c r="AI23" s="87"/>
      <c r="AL23" s="87"/>
      <c r="AM23" s="87"/>
      <c r="AN23" s="87"/>
    </row>
    <row r="24" spans="3:40" x14ac:dyDescent="0.25">
      <c r="C24" s="95" t="str">
        <f>'MP Calculations'!D51</f>
        <v>2007-08</v>
      </c>
      <c r="D24" s="110">
        <f>IF(LEFT($C24,4)*1&lt;LEFT('General inputs'!$I$16,4)+'General inputs'!$H$38,SUM(G24,J24,M24,P24,S24,V24,Y24,AB24,AE24,AH24),"")</f>
        <v>100</v>
      </c>
      <c r="E24" s="87"/>
      <c r="F24" s="43">
        <v>0</v>
      </c>
      <c r="G24" s="110">
        <f t="shared" si="9"/>
        <v>0</v>
      </c>
      <c r="H24" s="87"/>
      <c r="I24" s="43">
        <v>0</v>
      </c>
      <c r="J24" s="110">
        <f t="shared" si="0"/>
        <v>0</v>
      </c>
      <c r="K24" s="87"/>
      <c r="L24" s="43">
        <v>1</v>
      </c>
      <c r="M24" s="110">
        <f t="shared" si="1"/>
        <v>100</v>
      </c>
      <c r="N24" s="87"/>
      <c r="O24" s="43">
        <v>0</v>
      </c>
      <c r="P24" s="110">
        <f t="shared" si="2"/>
        <v>0</v>
      </c>
      <c r="Q24" s="87"/>
      <c r="R24" s="43">
        <v>0</v>
      </c>
      <c r="S24" s="110">
        <f t="shared" si="3"/>
        <v>0</v>
      </c>
      <c r="T24" s="87"/>
      <c r="U24" s="43">
        <v>0</v>
      </c>
      <c r="V24" s="110">
        <f t="shared" si="4"/>
        <v>0</v>
      </c>
      <c r="W24" s="87"/>
      <c r="X24" s="43">
        <v>0</v>
      </c>
      <c r="Y24" s="110">
        <f t="shared" si="5"/>
        <v>0</v>
      </c>
      <c r="Z24" s="87"/>
      <c r="AA24" s="43">
        <v>0</v>
      </c>
      <c r="AB24" s="110">
        <f t="shared" si="6"/>
        <v>0</v>
      </c>
      <c r="AC24" s="87"/>
      <c r="AD24" s="43">
        <v>0</v>
      </c>
      <c r="AE24" s="110">
        <f t="shared" si="7"/>
        <v>0</v>
      </c>
      <c r="AF24" s="87"/>
      <c r="AG24" s="43">
        <v>0</v>
      </c>
      <c r="AH24" s="110">
        <f t="shared" si="8"/>
        <v>0</v>
      </c>
      <c r="AI24" s="87"/>
      <c r="AL24" s="87"/>
      <c r="AM24" s="87"/>
      <c r="AN24" s="87"/>
    </row>
    <row r="25" spans="3:40" x14ac:dyDescent="0.25">
      <c r="C25" s="95" t="str">
        <f>'MP Calculations'!D52</f>
        <v>2008-09</v>
      </c>
      <c r="D25" s="110">
        <f>IF(LEFT($C25,4)*1&lt;LEFT('General inputs'!$I$16,4)+'General inputs'!$H$38,SUM(G25,J25,M25,P25,S25,V25,Y25,AB25,AE25,AH25),"")</f>
        <v>100</v>
      </c>
      <c r="E25" s="87"/>
      <c r="F25" s="43">
        <v>0</v>
      </c>
      <c r="G25" s="110">
        <f t="shared" si="9"/>
        <v>0</v>
      </c>
      <c r="H25" s="87"/>
      <c r="I25" s="43">
        <v>0</v>
      </c>
      <c r="J25" s="110">
        <f t="shared" si="0"/>
        <v>0</v>
      </c>
      <c r="K25" s="87"/>
      <c r="L25" s="43">
        <v>1</v>
      </c>
      <c r="M25" s="110">
        <f t="shared" si="1"/>
        <v>100</v>
      </c>
      <c r="N25" s="87"/>
      <c r="O25" s="43">
        <v>0</v>
      </c>
      <c r="P25" s="110">
        <f t="shared" si="2"/>
        <v>0</v>
      </c>
      <c r="Q25" s="87"/>
      <c r="R25" s="43">
        <v>0</v>
      </c>
      <c r="S25" s="110">
        <f t="shared" si="3"/>
        <v>0</v>
      </c>
      <c r="T25" s="87"/>
      <c r="U25" s="43">
        <v>0</v>
      </c>
      <c r="V25" s="110">
        <f t="shared" si="4"/>
        <v>0</v>
      </c>
      <c r="W25" s="87"/>
      <c r="X25" s="43">
        <v>0</v>
      </c>
      <c r="Y25" s="110">
        <f t="shared" si="5"/>
        <v>0</v>
      </c>
      <c r="Z25" s="87"/>
      <c r="AA25" s="43">
        <v>0</v>
      </c>
      <c r="AB25" s="110">
        <f t="shared" si="6"/>
        <v>0</v>
      </c>
      <c r="AC25" s="87"/>
      <c r="AD25" s="43">
        <v>0</v>
      </c>
      <c r="AE25" s="110">
        <f t="shared" si="7"/>
        <v>0</v>
      </c>
      <c r="AF25" s="87"/>
      <c r="AG25" s="43">
        <v>0</v>
      </c>
      <c r="AH25" s="110">
        <f t="shared" si="8"/>
        <v>0</v>
      </c>
      <c r="AI25" s="87"/>
      <c r="AL25" s="87"/>
      <c r="AM25" s="87"/>
      <c r="AN25" s="87"/>
    </row>
    <row r="26" spans="3:40" x14ac:dyDescent="0.25">
      <c r="C26" s="95" t="str">
        <f>'MP Calculations'!D53</f>
        <v>2009-10</v>
      </c>
      <c r="D26" s="110">
        <f>IF(LEFT($C26,4)*1&lt;LEFT('General inputs'!$I$16,4)+'General inputs'!$H$38,SUM(G26,J26,M26,P26,S26,V26,Y26,AB26,AE26,AH26),"")</f>
        <v>350</v>
      </c>
      <c r="E26" s="87"/>
      <c r="F26" s="43">
        <v>100</v>
      </c>
      <c r="G26" s="110">
        <f t="shared" si="9"/>
        <v>100</v>
      </c>
      <c r="H26" s="87"/>
      <c r="I26" s="43">
        <v>200</v>
      </c>
      <c r="J26" s="110">
        <f t="shared" si="0"/>
        <v>150</v>
      </c>
      <c r="K26" s="87"/>
      <c r="L26" s="43">
        <v>1</v>
      </c>
      <c r="M26" s="110">
        <f t="shared" si="1"/>
        <v>100</v>
      </c>
      <c r="N26" s="87"/>
      <c r="O26" s="43">
        <v>0</v>
      </c>
      <c r="P26" s="110">
        <f t="shared" si="2"/>
        <v>0</v>
      </c>
      <c r="Q26" s="87"/>
      <c r="R26" s="43">
        <v>0</v>
      </c>
      <c r="S26" s="110">
        <f t="shared" si="3"/>
        <v>0</v>
      </c>
      <c r="T26" s="87"/>
      <c r="U26" s="43">
        <v>0</v>
      </c>
      <c r="V26" s="110">
        <f t="shared" si="4"/>
        <v>0</v>
      </c>
      <c r="W26" s="87"/>
      <c r="X26" s="43">
        <v>0</v>
      </c>
      <c r="Y26" s="110">
        <f t="shared" si="5"/>
        <v>0</v>
      </c>
      <c r="Z26" s="87"/>
      <c r="AA26" s="43">
        <v>0</v>
      </c>
      <c r="AB26" s="110">
        <f t="shared" si="6"/>
        <v>0</v>
      </c>
      <c r="AC26" s="87"/>
      <c r="AD26" s="43">
        <v>0</v>
      </c>
      <c r="AE26" s="110">
        <f t="shared" si="7"/>
        <v>0</v>
      </c>
      <c r="AF26" s="87"/>
      <c r="AG26" s="43">
        <v>0</v>
      </c>
      <c r="AH26" s="110">
        <f t="shared" si="8"/>
        <v>0</v>
      </c>
      <c r="AI26" s="87"/>
      <c r="AL26" s="87"/>
      <c r="AM26" s="87"/>
      <c r="AN26" s="87"/>
    </row>
    <row r="27" spans="3:40" x14ac:dyDescent="0.25">
      <c r="C27" s="95" t="str">
        <f>'MP Calculations'!D54</f>
        <v>2010-11</v>
      </c>
      <c r="D27" s="110">
        <f>IF(LEFT($C27,4)*1&lt;LEFT('General inputs'!$I$16,4)+'General inputs'!$H$38,SUM(G27,J27,M27,P27,S27,V27,Y27,AB27,AE27,AH27),"")</f>
        <v>250</v>
      </c>
      <c r="E27" s="87"/>
      <c r="F27" s="43">
        <v>100</v>
      </c>
      <c r="G27" s="110">
        <f t="shared" si="9"/>
        <v>100</v>
      </c>
      <c r="H27" s="87"/>
      <c r="I27" s="43">
        <v>200</v>
      </c>
      <c r="J27" s="110">
        <f t="shared" si="0"/>
        <v>150</v>
      </c>
      <c r="K27" s="87"/>
      <c r="L27" s="43">
        <v>0</v>
      </c>
      <c r="M27" s="110">
        <f t="shared" si="1"/>
        <v>0</v>
      </c>
      <c r="N27" s="87"/>
      <c r="O27" s="43">
        <v>0</v>
      </c>
      <c r="P27" s="110">
        <f t="shared" si="2"/>
        <v>0</v>
      </c>
      <c r="Q27" s="87"/>
      <c r="R27" s="43">
        <v>0</v>
      </c>
      <c r="S27" s="110">
        <f t="shared" si="3"/>
        <v>0</v>
      </c>
      <c r="T27" s="87"/>
      <c r="U27" s="43">
        <v>0</v>
      </c>
      <c r="V27" s="110">
        <f t="shared" si="4"/>
        <v>0</v>
      </c>
      <c r="W27" s="87"/>
      <c r="X27" s="43">
        <v>0</v>
      </c>
      <c r="Y27" s="110">
        <f t="shared" si="5"/>
        <v>0</v>
      </c>
      <c r="Z27" s="87"/>
      <c r="AA27" s="43">
        <v>0</v>
      </c>
      <c r="AB27" s="110">
        <f t="shared" si="6"/>
        <v>0</v>
      </c>
      <c r="AC27" s="87"/>
      <c r="AD27" s="43">
        <v>0</v>
      </c>
      <c r="AE27" s="110">
        <f t="shared" si="7"/>
        <v>0</v>
      </c>
      <c r="AF27" s="87"/>
      <c r="AG27" s="43">
        <v>0</v>
      </c>
      <c r="AH27" s="110">
        <f t="shared" si="8"/>
        <v>0</v>
      </c>
      <c r="AI27" s="87"/>
      <c r="AL27" s="87"/>
      <c r="AM27" s="87"/>
      <c r="AN27" s="87"/>
    </row>
    <row r="28" spans="3:40" x14ac:dyDescent="0.25">
      <c r="C28" s="95" t="str">
        <f>'MP Calculations'!D55</f>
        <v>2011-12</v>
      </c>
      <c r="D28" s="110">
        <f>IF(LEFT($C28,4)*1&lt;LEFT('General inputs'!$I$16,4)+'General inputs'!$H$38,SUM(G28,J28,M28,P28,S28,V28,Y28,AB28,AE28,AH28),"")</f>
        <v>270</v>
      </c>
      <c r="E28" s="87"/>
      <c r="F28" s="43">
        <v>120</v>
      </c>
      <c r="G28" s="110">
        <f t="shared" si="9"/>
        <v>120</v>
      </c>
      <c r="H28" s="87"/>
      <c r="I28" s="43">
        <v>200</v>
      </c>
      <c r="J28" s="110">
        <f t="shared" si="0"/>
        <v>150</v>
      </c>
      <c r="K28" s="87"/>
      <c r="L28" s="43">
        <v>0</v>
      </c>
      <c r="M28" s="110">
        <f t="shared" si="1"/>
        <v>0</v>
      </c>
      <c r="N28" s="87"/>
      <c r="O28" s="43">
        <v>0</v>
      </c>
      <c r="P28" s="110">
        <f t="shared" si="2"/>
        <v>0</v>
      </c>
      <c r="Q28" s="87"/>
      <c r="R28" s="43">
        <v>0</v>
      </c>
      <c r="S28" s="110">
        <f t="shared" si="3"/>
        <v>0</v>
      </c>
      <c r="T28" s="87"/>
      <c r="U28" s="43">
        <v>0</v>
      </c>
      <c r="V28" s="110">
        <f t="shared" si="4"/>
        <v>0</v>
      </c>
      <c r="W28" s="87"/>
      <c r="X28" s="43">
        <v>0</v>
      </c>
      <c r="Y28" s="110">
        <f t="shared" si="5"/>
        <v>0</v>
      </c>
      <c r="Z28" s="87"/>
      <c r="AA28" s="43">
        <v>0</v>
      </c>
      <c r="AB28" s="110">
        <f t="shared" si="6"/>
        <v>0</v>
      </c>
      <c r="AC28" s="87"/>
      <c r="AD28" s="43">
        <v>0</v>
      </c>
      <c r="AE28" s="110">
        <f t="shared" si="7"/>
        <v>0</v>
      </c>
      <c r="AF28" s="87"/>
      <c r="AG28" s="43">
        <v>0</v>
      </c>
      <c r="AH28" s="110">
        <f t="shared" si="8"/>
        <v>0</v>
      </c>
      <c r="AI28" s="87"/>
      <c r="AL28" s="87"/>
      <c r="AM28" s="87"/>
      <c r="AN28" s="87"/>
    </row>
    <row r="29" spans="3:40" x14ac:dyDescent="0.25">
      <c r="C29" s="95" t="str">
        <f>'MP Calculations'!D56</f>
        <v>2012-13</v>
      </c>
      <c r="D29" s="110">
        <f>IF(LEFT($C29,4)*1&lt;LEFT('General inputs'!$I$16,4)+'General inputs'!$H$38,SUM(G29,J29,M29,P29,S29,V29,Y29,AB29,AE29,AH29),"")</f>
        <v>270</v>
      </c>
      <c r="E29" s="87"/>
      <c r="F29" s="43">
        <v>120</v>
      </c>
      <c r="G29" s="110">
        <f t="shared" si="9"/>
        <v>120</v>
      </c>
      <c r="H29" s="87"/>
      <c r="I29" s="43">
        <v>200</v>
      </c>
      <c r="J29" s="110">
        <f t="shared" si="0"/>
        <v>150</v>
      </c>
      <c r="K29" s="87"/>
      <c r="L29" s="43">
        <v>0</v>
      </c>
      <c r="M29" s="110">
        <f t="shared" si="1"/>
        <v>0</v>
      </c>
      <c r="N29" s="87"/>
      <c r="O29" s="43">
        <v>0</v>
      </c>
      <c r="P29" s="110">
        <f t="shared" si="2"/>
        <v>0</v>
      </c>
      <c r="Q29" s="87"/>
      <c r="R29" s="43">
        <v>0</v>
      </c>
      <c r="S29" s="110">
        <f t="shared" si="3"/>
        <v>0</v>
      </c>
      <c r="T29" s="87"/>
      <c r="U29" s="43">
        <v>0</v>
      </c>
      <c r="V29" s="110">
        <f t="shared" si="4"/>
        <v>0</v>
      </c>
      <c r="W29" s="87"/>
      <c r="X29" s="43">
        <v>0</v>
      </c>
      <c r="Y29" s="110">
        <f t="shared" si="5"/>
        <v>0</v>
      </c>
      <c r="Z29" s="87"/>
      <c r="AA29" s="43">
        <v>0</v>
      </c>
      <c r="AB29" s="110">
        <f t="shared" si="6"/>
        <v>0</v>
      </c>
      <c r="AC29" s="87"/>
      <c r="AD29" s="43">
        <v>0</v>
      </c>
      <c r="AE29" s="110">
        <f t="shared" si="7"/>
        <v>0</v>
      </c>
      <c r="AF29" s="87"/>
      <c r="AG29" s="43">
        <v>0</v>
      </c>
      <c r="AH29" s="110">
        <f t="shared" si="8"/>
        <v>0</v>
      </c>
      <c r="AI29" s="87"/>
      <c r="AL29" s="87"/>
      <c r="AM29" s="87"/>
      <c r="AN29" s="87"/>
    </row>
    <row r="30" spans="3:40" x14ac:dyDescent="0.25">
      <c r="C30" s="95" t="str">
        <f>'MP Calculations'!D57</f>
        <v>2013-14</v>
      </c>
      <c r="D30" s="110">
        <f>IF(LEFT($C30,4)*1&lt;LEFT('General inputs'!$I$16,4)+'General inputs'!$H$38,SUM(G30,J30,M30,P30,S30,V30,Y30,AB30,AE30,AH30),"")</f>
        <v>270</v>
      </c>
      <c r="E30" s="87"/>
      <c r="F30" s="43">
        <v>120</v>
      </c>
      <c r="G30" s="110">
        <f t="shared" si="9"/>
        <v>120</v>
      </c>
      <c r="H30" s="87"/>
      <c r="I30" s="43">
        <v>200</v>
      </c>
      <c r="J30" s="110">
        <f t="shared" si="0"/>
        <v>150</v>
      </c>
      <c r="K30" s="87"/>
      <c r="L30" s="43">
        <v>0</v>
      </c>
      <c r="M30" s="110">
        <f t="shared" si="1"/>
        <v>0</v>
      </c>
      <c r="N30" s="87"/>
      <c r="O30" s="43">
        <v>0</v>
      </c>
      <c r="P30" s="110">
        <f t="shared" si="2"/>
        <v>0</v>
      </c>
      <c r="Q30" s="87"/>
      <c r="R30" s="43">
        <v>0</v>
      </c>
      <c r="S30" s="110">
        <f t="shared" si="3"/>
        <v>0</v>
      </c>
      <c r="T30" s="87"/>
      <c r="U30" s="43">
        <v>0</v>
      </c>
      <c r="V30" s="110">
        <f t="shared" si="4"/>
        <v>0</v>
      </c>
      <c r="W30" s="87"/>
      <c r="X30" s="43">
        <v>0</v>
      </c>
      <c r="Y30" s="110">
        <f t="shared" si="5"/>
        <v>0</v>
      </c>
      <c r="Z30" s="87"/>
      <c r="AA30" s="43">
        <v>0</v>
      </c>
      <c r="AB30" s="110">
        <f t="shared" si="6"/>
        <v>0</v>
      </c>
      <c r="AC30" s="87"/>
      <c r="AD30" s="43">
        <v>0</v>
      </c>
      <c r="AE30" s="110">
        <f t="shared" si="7"/>
        <v>0</v>
      </c>
      <c r="AF30" s="87"/>
      <c r="AG30" s="43">
        <v>0</v>
      </c>
      <c r="AH30" s="110">
        <f t="shared" si="8"/>
        <v>0</v>
      </c>
      <c r="AI30" s="87"/>
      <c r="AL30" s="87"/>
      <c r="AM30" s="87"/>
      <c r="AN30" s="87"/>
    </row>
    <row r="31" spans="3:40" x14ac:dyDescent="0.25">
      <c r="C31" s="95" t="str">
        <f>'MP Calculations'!D58</f>
        <v>2014-15</v>
      </c>
      <c r="D31" s="110">
        <f>IF(LEFT($C31,4)*1&lt;LEFT('General inputs'!$I$16,4)+'General inputs'!$H$38,SUM(G31,J31,M31,P31,S31,V31,Y31,AB31,AE31,AH31),"")</f>
        <v>270</v>
      </c>
      <c r="E31" s="87"/>
      <c r="F31" s="43">
        <v>120</v>
      </c>
      <c r="G31" s="110">
        <f t="shared" si="9"/>
        <v>120</v>
      </c>
      <c r="H31" s="87"/>
      <c r="I31" s="43">
        <v>200</v>
      </c>
      <c r="J31" s="110">
        <f t="shared" si="0"/>
        <v>150</v>
      </c>
      <c r="K31" s="87"/>
      <c r="L31" s="43">
        <v>0</v>
      </c>
      <c r="M31" s="110">
        <f t="shared" si="1"/>
        <v>0</v>
      </c>
      <c r="N31" s="87"/>
      <c r="O31" s="43">
        <v>0</v>
      </c>
      <c r="P31" s="110">
        <f t="shared" si="2"/>
        <v>0</v>
      </c>
      <c r="Q31" s="87"/>
      <c r="R31" s="43">
        <v>0</v>
      </c>
      <c r="S31" s="110">
        <f t="shared" si="3"/>
        <v>0</v>
      </c>
      <c r="T31" s="87"/>
      <c r="U31" s="43">
        <v>0</v>
      </c>
      <c r="V31" s="110">
        <f t="shared" si="4"/>
        <v>0</v>
      </c>
      <c r="W31" s="87"/>
      <c r="X31" s="43">
        <v>0</v>
      </c>
      <c r="Y31" s="110">
        <f t="shared" si="5"/>
        <v>0</v>
      </c>
      <c r="Z31" s="87"/>
      <c r="AA31" s="43">
        <v>0</v>
      </c>
      <c r="AB31" s="110">
        <f t="shared" si="6"/>
        <v>0</v>
      </c>
      <c r="AC31" s="87"/>
      <c r="AD31" s="43">
        <v>0</v>
      </c>
      <c r="AE31" s="110">
        <f t="shared" si="7"/>
        <v>0</v>
      </c>
      <c r="AF31" s="87"/>
      <c r="AG31" s="43">
        <v>0</v>
      </c>
      <c r="AH31" s="110">
        <f t="shared" si="8"/>
        <v>0</v>
      </c>
      <c r="AI31" s="87"/>
      <c r="AL31" s="87"/>
      <c r="AM31" s="87"/>
      <c r="AN31" s="87"/>
    </row>
    <row r="32" spans="3:40" x14ac:dyDescent="0.25">
      <c r="C32" s="95" t="str">
        <f>'MP Calculations'!D59</f>
        <v>2015-16</v>
      </c>
      <c r="D32" s="110">
        <f>IF(LEFT($C32,4)*1&lt;LEFT('General inputs'!$I$16,4)+'General inputs'!$H$38,SUM(G32,J32,M32,P32,S32,V32,Y32,AB32,AE32,AH32),"")</f>
        <v>270</v>
      </c>
      <c r="E32" s="87"/>
      <c r="F32" s="43">
        <v>120</v>
      </c>
      <c r="G32" s="110">
        <f t="shared" si="9"/>
        <v>120</v>
      </c>
      <c r="H32" s="87"/>
      <c r="I32" s="43">
        <v>200</v>
      </c>
      <c r="J32" s="110">
        <f t="shared" si="0"/>
        <v>150</v>
      </c>
      <c r="K32" s="87"/>
      <c r="L32" s="43">
        <v>0</v>
      </c>
      <c r="M32" s="110">
        <f t="shared" si="1"/>
        <v>0</v>
      </c>
      <c r="N32" s="87"/>
      <c r="O32" s="43">
        <v>0</v>
      </c>
      <c r="P32" s="110">
        <f t="shared" si="2"/>
        <v>0</v>
      </c>
      <c r="Q32" s="87"/>
      <c r="R32" s="43">
        <v>0</v>
      </c>
      <c r="S32" s="110">
        <f t="shared" si="3"/>
        <v>0</v>
      </c>
      <c r="T32" s="87"/>
      <c r="U32" s="43">
        <v>0</v>
      </c>
      <c r="V32" s="110">
        <f t="shared" si="4"/>
        <v>0</v>
      </c>
      <c r="W32" s="87"/>
      <c r="X32" s="43">
        <v>0</v>
      </c>
      <c r="Y32" s="110">
        <f t="shared" si="5"/>
        <v>0</v>
      </c>
      <c r="Z32" s="87"/>
      <c r="AA32" s="43">
        <v>0</v>
      </c>
      <c r="AB32" s="110">
        <f t="shared" si="6"/>
        <v>0</v>
      </c>
      <c r="AC32" s="87"/>
      <c r="AD32" s="43">
        <v>0</v>
      </c>
      <c r="AE32" s="110">
        <f t="shared" si="7"/>
        <v>0</v>
      </c>
      <c r="AF32" s="87"/>
      <c r="AG32" s="43">
        <v>0</v>
      </c>
      <c r="AH32" s="110">
        <f t="shared" si="8"/>
        <v>0</v>
      </c>
      <c r="AI32" s="87"/>
      <c r="AL32" s="87"/>
      <c r="AM32" s="87"/>
      <c r="AN32" s="87"/>
    </row>
    <row r="33" spans="3:40" x14ac:dyDescent="0.25">
      <c r="C33" s="95" t="str">
        <f>'MP Calculations'!D60</f>
        <v>2016-17</v>
      </c>
      <c r="D33" s="110">
        <f>IF(LEFT($C33,4)*1&lt;LEFT('General inputs'!$I$16,4)+'General inputs'!$H$38,SUM(G33,J33,M33,P33,S33,V33,Y33,AB33,AE33,AH33),"")</f>
        <v>270</v>
      </c>
      <c r="E33" s="87"/>
      <c r="F33" s="43">
        <v>120</v>
      </c>
      <c r="G33" s="110">
        <f t="shared" si="9"/>
        <v>120</v>
      </c>
      <c r="H33" s="87"/>
      <c r="I33" s="43">
        <v>200</v>
      </c>
      <c r="J33" s="110">
        <f t="shared" si="0"/>
        <v>150</v>
      </c>
      <c r="K33" s="87"/>
      <c r="L33" s="43">
        <v>0</v>
      </c>
      <c r="M33" s="110">
        <f t="shared" si="1"/>
        <v>0</v>
      </c>
      <c r="N33" s="87"/>
      <c r="O33" s="43">
        <v>0</v>
      </c>
      <c r="P33" s="110">
        <f t="shared" si="2"/>
        <v>0</v>
      </c>
      <c r="Q33" s="87"/>
      <c r="R33" s="43">
        <v>0</v>
      </c>
      <c r="S33" s="110">
        <f t="shared" si="3"/>
        <v>0</v>
      </c>
      <c r="T33" s="87"/>
      <c r="U33" s="43">
        <v>0</v>
      </c>
      <c r="V33" s="110">
        <f t="shared" si="4"/>
        <v>0</v>
      </c>
      <c r="W33" s="87"/>
      <c r="X33" s="43">
        <v>0</v>
      </c>
      <c r="Y33" s="110">
        <f t="shared" si="5"/>
        <v>0</v>
      </c>
      <c r="Z33" s="87"/>
      <c r="AA33" s="43">
        <v>0</v>
      </c>
      <c r="AB33" s="110">
        <f t="shared" si="6"/>
        <v>0</v>
      </c>
      <c r="AC33" s="87"/>
      <c r="AD33" s="43">
        <v>0</v>
      </c>
      <c r="AE33" s="110">
        <f t="shared" si="7"/>
        <v>0</v>
      </c>
      <c r="AF33" s="87"/>
      <c r="AG33" s="43">
        <v>0</v>
      </c>
      <c r="AH33" s="110">
        <f t="shared" si="8"/>
        <v>0</v>
      </c>
      <c r="AI33" s="87"/>
      <c r="AL33" s="87"/>
      <c r="AM33" s="87"/>
      <c r="AN33" s="87"/>
    </row>
    <row r="34" spans="3:40" x14ac:dyDescent="0.25">
      <c r="C34" s="95" t="str">
        <f>'MP Calculations'!D61</f>
        <v>2017-18</v>
      </c>
      <c r="D34" s="110">
        <f>IF(LEFT($C34,4)*1&lt;LEFT('General inputs'!$I$16,4)+'General inputs'!$H$38,SUM(G34,J34,M34,P34,S34,V34,Y34,AB34,AE34,AH34),"")</f>
        <v>270</v>
      </c>
      <c r="E34" s="87"/>
      <c r="F34" s="43">
        <v>120</v>
      </c>
      <c r="G34" s="110">
        <f t="shared" si="9"/>
        <v>120</v>
      </c>
      <c r="H34" s="87"/>
      <c r="I34" s="43">
        <v>200</v>
      </c>
      <c r="J34" s="110">
        <f t="shared" si="0"/>
        <v>150</v>
      </c>
      <c r="K34" s="87"/>
      <c r="L34" s="43">
        <v>0</v>
      </c>
      <c r="M34" s="110">
        <f t="shared" si="1"/>
        <v>0</v>
      </c>
      <c r="N34" s="87"/>
      <c r="O34" s="43">
        <v>0</v>
      </c>
      <c r="P34" s="110">
        <f t="shared" si="2"/>
        <v>0</v>
      </c>
      <c r="Q34" s="87"/>
      <c r="R34" s="43">
        <v>0</v>
      </c>
      <c r="S34" s="110">
        <f t="shared" si="3"/>
        <v>0</v>
      </c>
      <c r="T34" s="87"/>
      <c r="U34" s="43">
        <v>0</v>
      </c>
      <c r="V34" s="110">
        <f t="shared" si="4"/>
        <v>0</v>
      </c>
      <c r="W34" s="87"/>
      <c r="X34" s="43">
        <v>0</v>
      </c>
      <c r="Y34" s="110">
        <f t="shared" si="5"/>
        <v>0</v>
      </c>
      <c r="Z34" s="87"/>
      <c r="AA34" s="43">
        <v>0</v>
      </c>
      <c r="AB34" s="110">
        <f t="shared" si="6"/>
        <v>0</v>
      </c>
      <c r="AC34" s="87"/>
      <c r="AD34" s="43">
        <v>0</v>
      </c>
      <c r="AE34" s="110">
        <f t="shared" si="7"/>
        <v>0</v>
      </c>
      <c r="AF34" s="87"/>
      <c r="AG34" s="43">
        <v>0</v>
      </c>
      <c r="AH34" s="110">
        <f t="shared" si="8"/>
        <v>0</v>
      </c>
      <c r="AI34" s="87"/>
      <c r="AL34" s="87"/>
      <c r="AM34" s="87"/>
      <c r="AN34" s="87"/>
    </row>
    <row r="35" spans="3:40" x14ac:dyDescent="0.25">
      <c r="C35" s="95" t="str">
        <f>'MP Calculations'!D62</f>
        <v>2018-19</v>
      </c>
      <c r="D35" s="110">
        <f>IF(LEFT($C35,4)*1&lt;LEFT('General inputs'!$I$16,4)+'General inputs'!$H$38,SUM(G35,J35,M35,P35,S35,V35,Y35,AB35,AE35,AH35),"")</f>
        <v>270</v>
      </c>
      <c r="E35" s="87"/>
      <c r="F35" s="43">
        <v>120</v>
      </c>
      <c r="G35" s="110">
        <f t="shared" si="9"/>
        <v>120</v>
      </c>
      <c r="H35" s="87"/>
      <c r="I35" s="43">
        <v>200</v>
      </c>
      <c r="J35" s="110">
        <f t="shared" si="0"/>
        <v>150</v>
      </c>
      <c r="K35" s="87"/>
      <c r="L35" s="43">
        <v>0</v>
      </c>
      <c r="M35" s="110">
        <f t="shared" si="1"/>
        <v>0</v>
      </c>
      <c r="N35" s="87"/>
      <c r="O35" s="43">
        <v>0</v>
      </c>
      <c r="P35" s="110">
        <f t="shared" si="2"/>
        <v>0</v>
      </c>
      <c r="Q35" s="87"/>
      <c r="R35" s="43">
        <v>0</v>
      </c>
      <c r="S35" s="110">
        <f t="shared" si="3"/>
        <v>0</v>
      </c>
      <c r="T35" s="87"/>
      <c r="U35" s="43">
        <v>0</v>
      </c>
      <c r="V35" s="110">
        <f t="shared" si="4"/>
        <v>0</v>
      </c>
      <c r="W35" s="87"/>
      <c r="X35" s="43">
        <v>0</v>
      </c>
      <c r="Y35" s="110">
        <f t="shared" si="5"/>
        <v>0</v>
      </c>
      <c r="Z35" s="87"/>
      <c r="AA35" s="43">
        <v>0</v>
      </c>
      <c r="AB35" s="110">
        <f t="shared" si="6"/>
        <v>0</v>
      </c>
      <c r="AC35" s="87"/>
      <c r="AD35" s="43">
        <v>0</v>
      </c>
      <c r="AE35" s="110">
        <f t="shared" si="7"/>
        <v>0</v>
      </c>
      <c r="AF35" s="87"/>
      <c r="AG35" s="43">
        <v>0</v>
      </c>
      <c r="AH35" s="110">
        <f t="shared" si="8"/>
        <v>0</v>
      </c>
      <c r="AI35" s="87"/>
      <c r="AL35" s="87"/>
      <c r="AM35" s="87"/>
      <c r="AN35" s="87"/>
    </row>
    <row r="36" spans="3:40" x14ac:dyDescent="0.25">
      <c r="C36" s="95" t="str">
        <f>'MP Calculations'!D63</f>
        <v>2019-20</v>
      </c>
      <c r="D36" s="110">
        <f>IF(LEFT($C36,4)*1&lt;LEFT('General inputs'!$I$16,4)+'General inputs'!$H$38,SUM(G36,J36,M36,P36,S36,V36,Y36,AB36,AE36,AH36),"")</f>
        <v>270</v>
      </c>
      <c r="E36" s="87"/>
      <c r="F36" s="43">
        <v>120</v>
      </c>
      <c r="G36" s="110">
        <f t="shared" si="9"/>
        <v>120</v>
      </c>
      <c r="H36" s="87"/>
      <c r="I36" s="43">
        <v>200</v>
      </c>
      <c r="J36" s="110">
        <f t="shared" si="0"/>
        <v>150</v>
      </c>
      <c r="K36" s="87"/>
      <c r="L36" s="43">
        <v>0</v>
      </c>
      <c r="M36" s="110">
        <f t="shared" si="1"/>
        <v>0</v>
      </c>
      <c r="N36" s="87"/>
      <c r="O36" s="43">
        <v>0</v>
      </c>
      <c r="P36" s="110">
        <f t="shared" si="2"/>
        <v>0</v>
      </c>
      <c r="Q36" s="87"/>
      <c r="R36" s="43">
        <v>0</v>
      </c>
      <c r="S36" s="110">
        <f t="shared" si="3"/>
        <v>0</v>
      </c>
      <c r="T36" s="87"/>
      <c r="U36" s="43">
        <v>0</v>
      </c>
      <c r="V36" s="110">
        <f t="shared" si="4"/>
        <v>0</v>
      </c>
      <c r="W36" s="87"/>
      <c r="X36" s="43">
        <v>0</v>
      </c>
      <c r="Y36" s="110">
        <f t="shared" si="5"/>
        <v>0</v>
      </c>
      <c r="Z36" s="87"/>
      <c r="AA36" s="43">
        <v>0</v>
      </c>
      <c r="AB36" s="110">
        <f t="shared" si="6"/>
        <v>0</v>
      </c>
      <c r="AC36" s="87"/>
      <c r="AD36" s="43">
        <v>0</v>
      </c>
      <c r="AE36" s="110">
        <f t="shared" si="7"/>
        <v>0</v>
      </c>
      <c r="AF36" s="87"/>
      <c r="AG36" s="43">
        <v>0</v>
      </c>
      <c r="AH36" s="110">
        <f t="shared" si="8"/>
        <v>0</v>
      </c>
      <c r="AI36" s="87"/>
      <c r="AL36" s="87"/>
      <c r="AM36" s="87"/>
      <c r="AN36" s="87"/>
    </row>
    <row r="37" spans="3:40" x14ac:dyDescent="0.25">
      <c r="C37" s="95" t="str">
        <f>'MP Calculations'!D64</f>
        <v>2020-21</v>
      </c>
      <c r="D37" s="110">
        <f>IF(LEFT($C37,4)*1&lt;LEFT('General inputs'!$I$16,4)+'General inputs'!$H$38,SUM(G37,J37,M37,P37,S37,V37,Y37,AB37,AE37,AH37),"")</f>
        <v>270</v>
      </c>
      <c r="E37" s="87"/>
      <c r="F37" s="43">
        <v>120</v>
      </c>
      <c r="G37" s="110">
        <f t="shared" si="9"/>
        <v>120</v>
      </c>
      <c r="H37" s="87"/>
      <c r="I37" s="43">
        <v>200</v>
      </c>
      <c r="J37" s="110">
        <f t="shared" si="0"/>
        <v>150</v>
      </c>
      <c r="K37" s="87"/>
      <c r="L37" s="43">
        <v>0</v>
      </c>
      <c r="M37" s="110">
        <f t="shared" si="1"/>
        <v>0</v>
      </c>
      <c r="N37" s="87"/>
      <c r="O37" s="43">
        <v>0</v>
      </c>
      <c r="P37" s="110">
        <f t="shared" si="2"/>
        <v>0</v>
      </c>
      <c r="Q37" s="87"/>
      <c r="R37" s="43">
        <v>0</v>
      </c>
      <c r="S37" s="110">
        <f t="shared" si="3"/>
        <v>0</v>
      </c>
      <c r="T37" s="87"/>
      <c r="U37" s="43">
        <v>0</v>
      </c>
      <c r="V37" s="110">
        <f t="shared" si="4"/>
        <v>0</v>
      </c>
      <c r="W37" s="87"/>
      <c r="X37" s="43">
        <v>0</v>
      </c>
      <c r="Y37" s="110">
        <f t="shared" si="5"/>
        <v>0</v>
      </c>
      <c r="Z37" s="87"/>
      <c r="AA37" s="43">
        <v>0</v>
      </c>
      <c r="AB37" s="110">
        <f t="shared" si="6"/>
        <v>0</v>
      </c>
      <c r="AC37" s="87"/>
      <c r="AD37" s="43">
        <v>0</v>
      </c>
      <c r="AE37" s="110">
        <f t="shared" si="7"/>
        <v>0</v>
      </c>
      <c r="AF37" s="87"/>
      <c r="AG37" s="43">
        <v>0</v>
      </c>
      <c r="AH37" s="110">
        <f t="shared" si="8"/>
        <v>0</v>
      </c>
      <c r="AI37" s="87"/>
      <c r="AL37" s="87"/>
      <c r="AM37" s="87"/>
      <c r="AN37" s="87"/>
    </row>
    <row r="38" spans="3:40" x14ac:dyDescent="0.25">
      <c r="C38" s="95" t="str">
        <f>'MP Calculations'!D65</f>
        <v>2021-22</v>
      </c>
      <c r="D38" s="110">
        <f>IF(LEFT($C38,4)*1&lt;LEFT('General inputs'!$I$16,4)+'General inputs'!$H$38,SUM(G38,J38,M38,P38,S38,V38,Y38,AB38,AE38,AH38),"")</f>
        <v>270</v>
      </c>
      <c r="E38" s="87"/>
      <c r="F38" s="43">
        <v>120</v>
      </c>
      <c r="G38" s="110">
        <f t="shared" si="9"/>
        <v>120</v>
      </c>
      <c r="H38" s="87"/>
      <c r="I38" s="43">
        <v>200</v>
      </c>
      <c r="J38" s="110">
        <f t="shared" si="0"/>
        <v>150</v>
      </c>
      <c r="K38" s="87"/>
      <c r="L38" s="43">
        <v>0</v>
      </c>
      <c r="M38" s="110">
        <f t="shared" si="1"/>
        <v>0</v>
      </c>
      <c r="N38" s="87"/>
      <c r="O38" s="43">
        <v>0</v>
      </c>
      <c r="P38" s="110">
        <f t="shared" si="2"/>
        <v>0</v>
      </c>
      <c r="Q38" s="87"/>
      <c r="R38" s="43">
        <v>0</v>
      </c>
      <c r="S38" s="110">
        <f t="shared" si="3"/>
        <v>0</v>
      </c>
      <c r="T38" s="87"/>
      <c r="U38" s="43">
        <v>0</v>
      </c>
      <c r="V38" s="110">
        <f t="shared" si="4"/>
        <v>0</v>
      </c>
      <c r="W38" s="87"/>
      <c r="X38" s="43">
        <v>0</v>
      </c>
      <c r="Y38" s="110">
        <f t="shared" si="5"/>
        <v>0</v>
      </c>
      <c r="Z38" s="87"/>
      <c r="AA38" s="43">
        <v>0</v>
      </c>
      <c r="AB38" s="110">
        <f t="shared" si="6"/>
        <v>0</v>
      </c>
      <c r="AC38" s="87"/>
      <c r="AD38" s="43">
        <v>0</v>
      </c>
      <c r="AE38" s="110">
        <f t="shared" si="7"/>
        <v>0</v>
      </c>
      <c r="AF38" s="87"/>
      <c r="AG38" s="43">
        <v>0</v>
      </c>
      <c r="AH38" s="110">
        <f t="shared" si="8"/>
        <v>0</v>
      </c>
      <c r="AI38" s="87"/>
      <c r="AL38" s="87"/>
      <c r="AM38" s="87"/>
      <c r="AN38" s="87"/>
    </row>
    <row r="39" spans="3:40" x14ac:dyDescent="0.25">
      <c r="C39" s="95" t="str">
        <f>'MP Calculations'!D66</f>
        <v>2022-23</v>
      </c>
      <c r="D39" s="110">
        <f>IF(LEFT($C39,4)*1&lt;LEFT('General inputs'!$I$16,4)+'General inputs'!$H$38,SUM(G39,J39,M39,P39,S39,V39,Y39,AB39,AE39,AH39),"")</f>
        <v>270</v>
      </c>
      <c r="E39" s="87"/>
      <c r="F39" s="43">
        <v>120</v>
      </c>
      <c r="G39" s="110">
        <f t="shared" si="9"/>
        <v>120</v>
      </c>
      <c r="H39" s="87"/>
      <c r="I39" s="43">
        <v>200</v>
      </c>
      <c r="J39" s="110">
        <f t="shared" si="0"/>
        <v>150</v>
      </c>
      <c r="K39" s="87"/>
      <c r="L39" s="43">
        <v>0</v>
      </c>
      <c r="M39" s="110">
        <f t="shared" si="1"/>
        <v>0</v>
      </c>
      <c r="N39" s="87"/>
      <c r="O39" s="43">
        <v>0</v>
      </c>
      <c r="P39" s="110">
        <f t="shared" si="2"/>
        <v>0</v>
      </c>
      <c r="Q39" s="87"/>
      <c r="R39" s="43">
        <v>0</v>
      </c>
      <c r="S39" s="110">
        <f t="shared" si="3"/>
        <v>0</v>
      </c>
      <c r="T39" s="87"/>
      <c r="U39" s="43">
        <v>0</v>
      </c>
      <c r="V39" s="110">
        <f t="shared" si="4"/>
        <v>0</v>
      </c>
      <c r="W39" s="87"/>
      <c r="X39" s="43">
        <v>0</v>
      </c>
      <c r="Y39" s="110">
        <f t="shared" si="5"/>
        <v>0</v>
      </c>
      <c r="Z39" s="87"/>
      <c r="AA39" s="43">
        <v>0</v>
      </c>
      <c r="AB39" s="110">
        <f t="shared" si="6"/>
        <v>0</v>
      </c>
      <c r="AC39" s="87"/>
      <c r="AD39" s="43">
        <v>0</v>
      </c>
      <c r="AE39" s="110">
        <f t="shared" si="7"/>
        <v>0</v>
      </c>
      <c r="AF39" s="87"/>
      <c r="AG39" s="43">
        <v>0</v>
      </c>
      <c r="AH39" s="110">
        <f t="shared" si="8"/>
        <v>0</v>
      </c>
      <c r="AI39" s="87"/>
      <c r="AL39" s="87"/>
      <c r="AM39" s="87"/>
      <c r="AN39" s="87"/>
    </row>
    <row r="40" spans="3:40" x14ac:dyDescent="0.25">
      <c r="C40" s="95" t="str">
        <f>'MP Calculations'!D67</f>
        <v>2023-24</v>
      </c>
      <c r="D40" s="110">
        <f>IF(LEFT($C40,4)*1&lt;LEFT('General inputs'!$I$16,4)+'General inputs'!$H$38,SUM(G40,J40,M40,P40,S40,V40,Y40,AB40,AE40,AH40),"")</f>
        <v>520</v>
      </c>
      <c r="E40" s="87"/>
      <c r="F40" s="43">
        <v>120</v>
      </c>
      <c r="G40" s="110">
        <f t="shared" si="9"/>
        <v>120</v>
      </c>
      <c r="H40" s="87"/>
      <c r="I40" s="43">
        <v>200</v>
      </c>
      <c r="J40" s="110">
        <f t="shared" si="0"/>
        <v>150</v>
      </c>
      <c r="K40" s="87"/>
      <c r="L40" s="43">
        <v>0</v>
      </c>
      <c r="M40" s="110">
        <f t="shared" si="1"/>
        <v>0</v>
      </c>
      <c r="N40" s="87"/>
      <c r="O40" s="43">
        <v>2</v>
      </c>
      <c r="P40" s="110">
        <f t="shared" si="2"/>
        <v>50</v>
      </c>
      <c r="Q40" s="87"/>
      <c r="R40" s="43">
        <v>2</v>
      </c>
      <c r="S40" s="110">
        <f t="shared" si="3"/>
        <v>200</v>
      </c>
      <c r="T40" s="87"/>
      <c r="U40" s="43">
        <v>0</v>
      </c>
      <c r="V40" s="110">
        <f t="shared" si="4"/>
        <v>0</v>
      </c>
      <c r="W40" s="87"/>
      <c r="X40" s="43">
        <v>0</v>
      </c>
      <c r="Y40" s="110">
        <f t="shared" si="5"/>
        <v>0</v>
      </c>
      <c r="Z40" s="87"/>
      <c r="AA40" s="43">
        <v>0</v>
      </c>
      <c r="AB40" s="110">
        <f t="shared" si="6"/>
        <v>0</v>
      </c>
      <c r="AC40" s="87"/>
      <c r="AD40" s="43">
        <v>0</v>
      </c>
      <c r="AE40" s="110">
        <f t="shared" si="7"/>
        <v>0</v>
      </c>
      <c r="AF40" s="87"/>
      <c r="AG40" s="43">
        <v>0</v>
      </c>
      <c r="AH40" s="110">
        <f t="shared" si="8"/>
        <v>0</v>
      </c>
      <c r="AI40" s="87"/>
      <c r="AL40" s="87"/>
      <c r="AM40" s="87"/>
      <c r="AN40" s="87"/>
    </row>
    <row r="41" spans="3:40" x14ac:dyDescent="0.25">
      <c r="C41" s="95" t="str">
        <f>'MP Calculations'!D68</f>
        <v>2024-25</v>
      </c>
      <c r="D41" s="110">
        <f>IF(LEFT($C41,4)*1&lt;LEFT('General inputs'!$I$16,4)+'General inputs'!$H$38,SUM(G41,J41,M41,P41,S41,V41,Y41,AB41,AE41,AH41),"")</f>
        <v>520</v>
      </c>
      <c r="E41" s="87"/>
      <c r="F41" s="43">
        <v>120</v>
      </c>
      <c r="G41" s="110">
        <f t="shared" si="9"/>
        <v>120</v>
      </c>
      <c r="H41" s="87"/>
      <c r="I41" s="43">
        <v>200</v>
      </c>
      <c r="J41" s="110">
        <f t="shared" si="0"/>
        <v>150</v>
      </c>
      <c r="K41" s="87"/>
      <c r="L41" s="43">
        <v>0</v>
      </c>
      <c r="M41" s="110">
        <f t="shared" si="1"/>
        <v>0</v>
      </c>
      <c r="N41" s="87"/>
      <c r="O41" s="43">
        <v>2</v>
      </c>
      <c r="P41" s="110">
        <f t="shared" si="2"/>
        <v>50</v>
      </c>
      <c r="Q41" s="87"/>
      <c r="R41" s="43">
        <v>2</v>
      </c>
      <c r="S41" s="110">
        <f t="shared" si="3"/>
        <v>200</v>
      </c>
      <c r="T41" s="87"/>
      <c r="U41" s="43">
        <v>0</v>
      </c>
      <c r="V41" s="110">
        <f t="shared" si="4"/>
        <v>0</v>
      </c>
      <c r="W41" s="87"/>
      <c r="X41" s="43">
        <v>0</v>
      </c>
      <c r="Y41" s="110">
        <f t="shared" si="5"/>
        <v>0</v>
      </c>
      <c r="Z41" s="87"/>
      <c r="AA41" s="43">
        <v>0</v>
      </c>
      <c r="AB41" s="110">
        <f t="shared" si="6"/>
        <v>0</v>
      </c>
      <c r="AC41" s="87"/>
      <c r="AD41" s="43">
        <v>0</v>
      </c>
      <c r="AE41" s="110">
        <f t="shared" si="7"/>
        <v>0</v>
      </c>
      <c r="AF41" s="87"/>
      <c r="AG41" s="43">
        <v>0</v>
      </c>
      <c r="AH41" s="110">
        <f t="shared" si="8"/>
        <v>0</v>
      </c>
      <c r="AI41" s="87"/>
      <c r="AL41" s="87"/>
      <c r="AM41" s="87"/>
      <c r="AN41" s="87"/>
    </row>
    <row r="42" spans="3:40" x14ac:dyDescent="0.25">
      <c r="C42" s="95" t="str">
        <f>'MP Calculations'!D69</f>
        <v>2025-26</v>
      </c>
      <c r="D42" s="110">
        <f>IF(LEFT($C42,4)*1&lt;LEFT('General inputs'!$I$16,4)+'General inputs'!$H$38,SUM(G42,J42,M42,P42,S42,V42,Y42,AB42,AE42,AH42),"")</f>
        <v>520</v>
      </c>
      <c r="E42" s="87"/>
      <c r="F42" s="43">
        <v>120</v>
      </c>
      <c r="G42" s="110">
        <f t="shared" si="9"/>
        <v>120</v>
      </c>
      <c r="H42" s="87"/>
      <c r="I42" s="43">
        <v>200</v>
      </c>
      <c r="J42" s="110">
        <f t="shared" si="0"/>
        <v>150</v>
      </c>
      <c r="K42" s="87"/>
      <c r="L42" s="43">
        <v>0</v>
      </c>
      <c r="M42" s="110">
        <f t="shared" si="1"/>
        <v>0</v>
      </c>
      <c r="N42" s="87"/>
      <c r="O42" s="43">
        <v>2</v>
      </c>
      <c r="P42" s="110">
        <f t="shared" si="2"/>
        <v>50</v>
      </c>
      <c r="Q42" s="87"/>
      <c r="R42" s="43">
        <v>2</v>
      </c>
      <c r="S42" s="110">
        <f t="shared" si="3"/>
        <v>200</v>
      </c>
      <c r="T42" s="87"/>
      <c r="U42" s="43">
        <v>0</v>
      </c>
      <c r="V42" s="110">
        <f t="shared" si="4"/>
        <v>0</v>
      </c>
      <c r="W42" s="87"/>
      <c r="X42" s="43">
        <v>0</v>
      </c>
      <c r="Y42" s="110">
        <f t="shared" si="5"/>
        <v>0</v>
      </c>
      <c r="Z42" s="87"/>
      <c r="AA42" s="43">
        <v>0</v>
      </c>
      <c r="AB42" s="110">
        <f t="shared" si="6"/>
        <v>0</v>
      </c>
      <c r="AC42" s="87"/>
      <c r="AD42" s="43">
        <v>0</v>
      </c>
      <c r="AE42" s="110">
        <f t="shared" si="7"/>
        <v>0</v>
      </c>
      <c r="AF42" s="87"/>
      <c r="AG42" s="43">
        <v>0</v>
      </c>
      <c r="AH42" s="110">
        <f t="shared" si="8"/>
        <v>0</v>
      </c>
      <c r="AI42" s="87"/>
      <c r="AL42" s="87"/>
      <c r="AM42" s="87"/>
      <c r="AN42" s="87"/>
    </row>
    <row r="43" spans="3:40" x14ac:dyDescent="0.25">
      <c r="C43" s="95" t="str">
        <f>'MP Calculations'!D70</f>
        <v>2026-27</v>
      </c>
      <c r="D43" s="110">
        <f>IF(LEFT($C43,4)*1&lt;LEFT('General inputs'!$I$16,4)+'General inputs'!$H$38,SUM(G43,J43,M43,P43,S43,V43,Y43,AB43,AE43,AH43),"")</f>
        <v>520</v>
      </c>
      <c r="E43" s="87"/>
      <c r="F43" s="43">
        <v>120</v>
      </c>
      <c r="G43" s="110">
        <f t="shared" si="9"/>
        <v>120</v>
      </c>
      <c r="H43" s="87"/>
      <c r="I43" s="43">
        <v>200</v>
      </c>
      <c r="J43" s="110">
        <f t="shared" si="0"/>
        <v>150</v>
      </c>
      <c r="K43" s="87"/>
      <c r="L43" s="43">
        <v>0</v>
      </c>
      <c r="M43" s="110">
        <f t="shared" si="1"/>
        <v>0</v>
      </c>
      <c r="N43" s="87"/>
      <c r="O43" s="43">
        <v>2</v>
      </c>
      <c r="P43" s="110">
        <f t="shared" si="2"/>
        <v>50</v>
      </c>
      <c r="Q43" s="87"/>
      <c r="R43" s="43">
        <v>2</v>
      </c>
      <c r="S43" s="110">
        <f t="shared" si="3"/>
        <v>200</v>
      </c>
      <c r="T43" s="87"/>
      <c r="U43" s="43">
        <v>0</v>
      </c>
      <c r="V43" s="110">
        <f t="shared" si="4"/>
        <v>0</v>
      </c>
      <c r="W43" s="87"/>
      <c r="X43" s="43">
        <v>0</v>
      </c>
      <c r="Y43" s="110">
        <f t="shared" si="5"/>
        <v>0</v>
      </c>
      <c r="Z43" s="87"/>
      <c r="AA43" s="43">
        <v>0</v>
      </c>
      <c r="AB43" s="110">
        <f t="shared" si="6"/>
        <v>0</v>
      </c>
      <c r="AC43" s="87"/>
      <c r="AD43" s="43">
        <v>0</v>
      </c>
      <c r="AE43" s="110">
        <f t="shared" si="7"/>
        <v>0</v>
      </c>
      <c r="AF43" s="87"/>
      <c r="AG43" s="43">
        <v>0</v>
      </c>
      <c r="AH43" s="110">
        <f t="shared" si="8"/>
        <v>0</v>
      </c>
      <c r="AI43" s="87"/>
      <c r="AL43" s="87"/>
      <c r="AM43" s="87"/>
      <c r="AN43" s="87"/>
    </row>
    <row r="44" spans="3:40" x14ac:dyDescent="0.25">
      <c r="C44" s="95" t="str">
        <f>'MP Calculations'!D71</f>
        <v>2027-28</v>
      </c>
      <c r="D44" s="110">
        <f>IF(LEFT($C44,4)*1&lt;LEFT('General inputs'!$I$16,4)+'General inputs'!$H$38,SUM(G44,J44,M44,P44,S44,V44,Y44,AB44,AE44,AH44),"")</f>
        <v>520</v>
      </c>
      <c r="E44" s="87"/>
      <c r="F44" s="43">
        <v>120</v>
      </c>
      <c r="G44" s="110">
        <f t="shared" ref="G44:G75" si="11">F44*$G$9/$F$6</f>
        <v>120</v>
      </c>
      <c r="H44" s="87"/>
      <c r="I44" s="43">
        <v>200</v>
      </c>
      <c r="J44" s="110">
        <f t="shared" ref="J44:J75" si="12">I44*$J$9/$F$6</f>
        <v>150</v>
      </c>
      <c r="K44" s="87"/>
      <c r="L44" s="43">
        <v>0</v>
      </c>
      <c r="M44" s="110">
        <f t="shared" ref="M44:M75" si="13">L44*$M$9/$F$6</f>
        <v>0</v>
      </c>
      <c r="N44" s="87"/>
      <c r="O44" s="43">
        <v>2</v>
      </c>
      <c r="P44" s="110">
        <f t="shared" ref="P44:P75" si="14">O44*$P$9/$F$6</f>
        <v>50</v>
      </c>
      <c r="Q44" s="87"/>
      <c r="R44" s="43">
        <v>2</v>
      </c>
      <c r="S44" s="110">
        <f t="shared" ref="S44:S75" si="15">R44*$S$9/$F$6</f>
        <v>200</v>
      </c>
      <c r="T44" s="87"/>
      <c r="U44" s="43">
        <v>0</v>
      </c>
      <c r="V44" s="110">
        <f t="shared" ref="V44:V75" si="16">U44*$V$9/$F$6</f>
        <v>0</v>
      </c>
      <c r="W44" s="87"/>
      <c r="X44" s="43">
        <v>0</v>
      </c>
      <c r="Y44" s="110">
        <f t="shared" ref="Y44:Y75" si="17">X44*$Y$9/$F$6</f>
        <v>0</v>
      </c>
      <c r="Z44" s="87"/>
      <c r="AA44" s="43">
        <v>0</v>
      </c>
      <c r="AB44" s="110">
        <f t="shared" ref="AB44:AB75" si="18">AA44*$AB$9/$F$6</f>
        <v>0</v>
      </c>
      <c r="AC44" s="87"/>
      <c r="AD44" s="43">
        <v>0</v>
      </c>
      <c r="AE44" s="110">
        <f t="shared" ref="AE44:AE75" si="19">AD44*$AE$9/$F$6</f>
        <v>0</v>
      </c>
      <c r="AF44" s="87"/>
      <c r="AG44" s="43">
        <v>0</v>
      </c>
      <c r="AH44" s="110">
        <f t="shared" ref="AH44:AH75" si="20">AG44*$AH$9/$F$6</f>
        <v>0</v>
      </c>
      <c r="AI44" s="87"/>
      <c r="AL44" s="87"/>
      <c r="AM44" s="87"/>
      <c r="AN44" s="87"/>
    </row>
    <row r="45" spans="3:40" x14ac:dyDescent="0.25">
      <c r="C45" s="95" t="str">
        <f>'MP Calculations'!D72</f>
        <v>2028-29</v>
      </c>
      <c r="D45" s="110">
        <f>IF(LEFT($C45,4)*1&lt;LEFT('General inputs'!$I$16,4)+'General inputs'!$H$38,SUM(G45,J45,M45,P45,S45,V45,Y45,AB45,AE45,AH45),"")</f>
        <v>520</v>
      </c>
      <c r="E45" s="87"/>
      <c r="F45" s="43">
        <v>120</v>
      </c>
      <c r="G45" s="110">
        <f t="shared" si="11"/>
        <v>120</v>
      </c>
      <c r="H45" s="87"/>
      <c r="I45" s="43">
        <v>200</v>
      </c>
      <c r="J45" s="110">
        <f t="shared" si="12"/>
        <v>150</v>
      </c>
      <c r="K45" s="87"/>
      <c r="L45" s="43">
        <v>0</v>
      </c>
      <c r="M45" s="110">
        <f t="shared" si="13"/>
        <v>0</v>
      </c>
      <c r="N45" s="87"/>
      <c r="O45" s="43">
        <v>2</v>
      </c>
      <c r="P45" s="110">
        <f t="shared" si="14"/>
        <v>50</v>
      </c>
      <c r="Q45" s="87"/>
      <c r="R45" s="43">
        <v>2</v>
      </c>
      <c r="S45" s="110">
        <f t="shared" si="15"/>
        <v>200</v>
      </c>
      <c r="T45" s="87"/>
      <c r="U45" s="43">
        <v>0</v>
      </c>
      <c r="V45" s="110">
        <f t="shared" si="16"/>
        <v>0</v>
      </c>
      <c r="W45" s="87"/>
      <c r="X45" s="43">
        <v>0</v>
      </c>
      <c r="Y45" s="110">
        <f t="shared" si="17"/>
        <v>0</v>
      </c>
      <c r="Z45" s="87"/>
      <c r="AA45" s="43">
        <v>0</v>
      </c>
      <c r="AB45" s="110">
        <f t="shared" si="18"/>
        <v>0</v>
      </c>
      <c r="AC45" s="87"/>
      <c r="AD45" s="43">
        <v>0</v>
      </c>
      <c r="AE45" s="110">
        <f t="shared" si="19"/>
        <v>0</v>
      </c>
      <c r="AF45" s="87"/>
      <c r="AG45" s="43">
        <v>0</v>
      </c>
      <c r="AH45" s="110">
        <f t="shared" si="20"/>
        <v>0</v>
      </c>
      <c r="AI45" s="87"/>
      <c r="AL45" s="87"/>
      <c r="AM45" s="87"/>
      <c r="AN45" s="87"/>
    </row>
    <row r="46" spans="3:40" x14ac:dyDescent="0.25">
      <c r="C46" s="95" t="str">
        <f>'MP Calculations'!D73</f>
        <v>2029-30</v>
      </c>
      <c r="D46" s="110">
        <f>IF(LEFT($C46,4)*1&lt;LEFT('General inputs'!$I$16,4)+'General inputs'!$H$38,SUM(G46,J46,M46,P46,S46,V46,Y46,AB46,AE46,AH46),"")</f>
        <v>520</v>
      </c>
      <c r="E46" s="87"/>
      <c r="F46" s="43">
        <v>120</v>
      </c>
      <c r="G46" s="110">
        <f t="shared" si="11"/>
        <v>120</v>
      </c>
      <c r="H46" s="87"/>
      <c r="I46" s="43">
        <v>200</v>
      </c>
      <c r="J46" s="110">
        <f t="shared" si="12"/>
        <v>150</v>
      </c>
      <c r="K46" s="87"/>
      <c r="L46" s="43">
        <v>0</v>
      </c>
      <c r="M46" s="110">
        <f t="shared" si="13"/>
        <v>0</v>
      </c>
      <c r="N46" s="87"/>
      <c r="O46" s="43">
        <v>2</v>
      </c>
      <c r="P46" s="110">
        <f t="shared" si="14"/>
        <v>50</v>
      </c>
      <c r="Q46" s="87"/>
      <c r="R46" s="43">
        <v>2</v>
      </c>
      <c r="S46" s="110">
        <f t="shared" si="15"/>
        <v>200</v>
      </c>
      <c r="T46" s="87"/>
      <c r="U46" s="43">
        <v>0</v>
      </c>
      <c r="V46" s="110">
        <f t="shared" si="16"/>
        <v>0</v>
      </c>
      <c r="W46" s="87"/>
      <c r="X46" s="43">
        <v>0</v>
      </c>
      <c r="Y46" s="110">
        <f t="shared" si="17"/>
        <v>0</v>
      </c>
      <c r="Z46" s="87"/>
      <c r="AA46" s="43">
        <v>0</v>
      </c>
      <c r="AB46" s="110">
        <f t="shared" si="18"/>
        <v>0</v>
      </c>
      <c r="AC46" s="87"/>
      <c r="AD46" s="43">
        <v>0</v>
      </c>
      <c r="AE46" s="110">
        <f t="shared" si="19"/>
        <v>0</v>
      </c>
      <c r="AF46" s="87"/>
      <c r="AG46" s="43">
        <v>0</v>
      </c>
      <c r="AH46" s="110">
        <f t="shared" si="20"/>
        <v>0</v>
      </c>
      <c r="AI46" s="87"/>
      <c r="AL46" s="87"/>
      <c r="AM46" s="87"/>
      <c r="AN46" s="87"/>
    </row>
    <row r="47" spans="3:40" x14ac:dyDescent="0.25">
      <c r="C47" s="95" t="str">
        <f>'MP Calculations'!D74</f>
        <v>2030-31</v>
      </c>
      <c r="D47" s="110">
        <f>IF(LEFT($C47,4)*1&lt;LEFT('General inputs'!$I$16,4)+'General inputs'!$H$38,SUM(G47,J47,M47,P47,S47,V47,Y47,AB47,AE47,AH47),"")</f>
        <v>520</v>
      </c>
      <c r="E47" s="87"/>
      <c r="F47" s="43">
        <v>120</v>
      </c>
      <c r="G47" s="110">
        <f t="shared" si="11"/>
        <v>120</v>
      </c>
      <c r="H47" s="87"/>
      <c r="I47" s="43">
        <v>200</v>
      </c>
      <c r="J47" s="110">
        <f t="shared" si="12"/>
        <v>150</v>
      </c>
      <c r="K47" s="87"/>
      <c r="L47" s="43">
        <v>0</v>
      </c>
      <c r="M47" s="110">
        <f t="shared" si="13"/>
        <v>0</v>
      </c>
      <c r="N47" s="87"/>
      <c r="O47" s="43">
        <v>2</v>
      </c>
      <c r="P47" s="110">
        <f t="shared" si="14"/>
        <v>50</v>
      </c>
      <c r="Q47" s="87"/>
      <c r="R47" s="43">
        <v>2</v>
      </c>
      <c r="S47" s="110">
        <f t="shared" si="15"/>
        <v>200</v>
      </c>
      <c r="T47" s="87"/>
      <c r="U47" s="43">
        <v>0</v>
      </c>
      <c r="V47" s="110">
        <f t="shared" si="16"/>
        <v>0</v>
      </c>
      <c r="W47" s="87"/>
      <c r="X47" s="43">
        <v>0</v>
      </c>
      <c r="Y47" s="110">
        <f t="shared" si="17"/>
        <v>0</v>
      </c>
      <c r="Z47" s="87"/>
      <c r="AA47" s="43">
        <v>0</v>
      </c>
      <c r="AB47" s="110">
        <f t="shared" si="18"/>
        <v>0</v>
      </c>
      <c r="AC47" s="87"/>
      <c r="AD47" s="43">
        <v>0</v>
      </c>
      <c r="AE47" s="110">
        <f t="shared" si="19"/>
        <v>0</v>
      </c>
      <c r="AF47" s="87"/>
      <c r="AG47" s="43">
        <v>0</v>
      </c>
      <c r="AH47" s="110">
        <f t="shared" si="20"/>
        <v>0</v>
      </c>
      <c r="AI47" s="87"/>
      <c r="AL47" s="87"/>
      <c r="AM47" s="87"/>
      <c r="AN47" s="87"/>
    </row>
    <row r="48" spans="3:40" x14ac:dyDescent="0.25">
      <c r="C48" s="95" t="str">
        <f>'MP Calculations'!D75</f>
        <v>2031-32</v>
      </c>
      <c r="D48" s="110">
        <f>IF(LEFT($C48,4)*1&lt;LEFT('General inputs'!$I$16,4)+'General inputs'!$H$38,SUM(G48,J48,M48,P48,S48,V48,Y48,AB48,AE48,AH48),"")</f>
        <v>520</v>
      </c>
      <c r="E48" s="87"/>
      <c r="F48" s="43">
        <v>120</v>
      </c>
      <c r="G48" s="110">
        <f t="shared" si="11"/>
        <v>120</v>
      </c>
      <c r="H48" s="87"/>
      <c r="I48" s="43">
        <v>200</v>
      </c>
      <c r="J48" s="110">
        <f t="shared" si="12"/>
        <v>150</v>
      </c>
      <c r="K48" s="87"/>
      <c r="L48" s="43">
        <v>0</v>
      </c>
      <c r="M48" s="110">
        <f t="shared" si="13"/>
        <v>0</v>
      </c>
      <c r="N48" s="87"/>
      <c r="O48" s="43">
        <v>2</v>
      </c>
      <c r="P48" s="110">
        <f t="shared" si="14"/>
        <v>50</v>
      </c>
      <c r="Q48" s="87"/>
      <c r="R48" s="43">
        <v>2</v>
      </c>
      <c r="S48" s="110">
        <f t="shared" si="15"/>
        <v>200</v>
      </c>
      <c r="T48" s="87"/>
      <c r="U48" s="43">
        <v>0</v>
      </c>
      <c r="V48" s="110">
        <f t="shared" si="16"/>
        <v>0</v>
      </c>
      <c r="W48" s="87"/>
      <c r="X48" s="43">
        <v>0</v>
      </c>
      <c r="Y48" s="110">
        <f t="shared" si="17"/>
        <v>0</v>
      </c>
      <c r="Z48" s="87"/>
      <c r="AA48" s="43">
        <v>0</v>
      </c>
      <c r="AB48" s="110">
        <f t="shared" si="18"/>
        <v>0</v>
      </c>
      <c r="AC48" s="87"/>
      <c r="AD48" s="43">
        <v>0</v>
      </c>
      <c r="AE48" s="110">
        <f t="shared" si="19"/>
        <v>0</v>
      </c>
      <c r="AF48" s="87"/>
      <c r="AG48" s="43">
        <v>0</v>
      </c>
      <c r="AH48" s="110">
        <f t="shared" si="20"/>
        <v>0</v>
      </c>
      <c r="AI48" s="87"/>
      <c r="AL48" s="87"/>
      <c r="AM48" s="87"/>
      <c r="AN48" s="87"/>
    </row>
    <row r="49" spans="3:40" x14ac:dyDescent="0.25">
      <c r="C49" s="95" t="str">
        <f>'MP Calculations'!D76</f>
        <v>2032-33</v>
      </c>
      <c r="D49" s="110">
        <f>IF(LEFT($C49,4)*1&lt;LEFT('General inputs'!$I$16,4)+'General inputs'!$H$38,SUM(G49,J49,M49,P49,S49,V49,Y49,AB49,AE49,AH49),"")</f>
        <v>270</v>
      </c>
      <c r="E49" s="87"/>
      <c r="F49" s="43">
        <v>120</v>
      </c>
      <c r="G49" s="110">
        <f t="shared" si="11"/>
        <v>120</v>
      </c>
      <c r="H49" s="87"/>
      <c r="I49" s="43">
        <v>200</v>
      </c>
      <c r="J49" s="110">
        <f t="shared" si="12"/>
        <v>150</v>
      </c>
      <c r="K49" s="87"/>
      <c r="L49" s="43">
        <v>0</v>
      </c>
      <c r="M49" s="110">
        <f t="shared" si="13"/>
        <v>0</v>
      </c>
      <c r="N49" s="87"/>
      <c r="O49" s="43">
        <v>0</v>
      </c>
      <c r="P49" s="110">
        <f t="shared" si="14"/>
        <v>0</v>
      </c>
      <c r="Q49" s="87"/>
      <c r="R49" s="43">
        <v>0</v>
      </c>
      <c r="S49" s="110">
        <f t="shared" si="15"/>
        <v>0</v>
      </c>
      <c r="T49" s="87"/>
      <c r="U49" s="43">
        <v>0</v>
      </c>
      <c r="V49" s="110">
        <f t="shared" si="16"/>
        <v>0</v>
      </c>
      <c r="W49" s="87"/>
      <c r="X49" s="43">
        <v>0</v>
      </c>
      <c r="Y49" s="110">
        <f t="shared" si="17"/>
        <v>0</v>
      </c>
      <c r="Z49" s="87"/>
      <c r="AA49" s="43">
        <v>0</v>
      </c>
      <c r="AB49" s="110">
        <f t="shared" si="18"/>
        <v>0</v>
      </c>
      <c r="AC49" s="87"/>
      <c r="AD49" s="43">
        <v>0</v>
      </c>
      <c r="AE49" s="110">
        <f t="shared" si="19"/>
        <v>0</v>
      </c>
      <c r="AF49" s="87"/>
      <c r="AG49" s="43">
        <v>0</v>
      </c>
      <c r="AH49" s="110">
        <f t="shared" si="20"/>
        <v>0</v>
      </c>
      <c r="AI49" s="87"/>
      <c r="AL49" s="87"/>
      <c r="AM49" s="87"/>
      <c r="AN49" s="87"/>
    </row>
    <row r="50" spans="3:40" x14ac:dyDescent="0.25">
      <c r="C50" s="95" t="str">
        <f>'MP Calculations'!D77</f>
        <v>2033-34</v>
      </c>
      <c r="D50" s="110">
        <f>IF(LEFT($C50,4)*1&lt;LEFT('General inputs'!$I$16,4)+'General inputs'!$H$38,SUM(G50,J50,M50,P50,S50,V50,Y50,AB50,AE50,AH50),"")</f>
        <v>270</v>
      </c>
      <c r="E50" s="87"/>
      <c r="F50" s="43">
        <v>120</v>
      </c>
      <c r="G50" s="110">
        <f t="shared" si="11"/>
        <v>120</v>
      </c>
      <c r="H50" s="87"/>
      <c r="I50" s="43">
        <v>200</v>
      </c>
      <c r="J50" s="110">
        <f t="shared" si="12"/>
        <v>150</v>
      </c>
      <c r="K50" s="87"/>
      <c r="L50" s="43">
        <v>0</v>
      </c>
      <c r="M50" s="110">
        <f t="shared" si="13"/>
        <v>0</v>
      </c>
      <c r="N50" s="87"/>
      <c r="O50" s="43">
        <v>0</v>
      </c>
      <c r="P50" s="110">
        <f t="shared" si="14"/>
        <v>0</v>
      </c>
      <c r="Q50" s="87"/>
      <c r="R50" s="43">
        <v>0</v>
      </c>
      <c r="S50" s="110">
        <f t="shared" si="15"/>
        <v>0</v>
      </c>
      <c r="T50" s="87"/>
      <c r="U50" s="43">
        <v>0</v>
      </c>
      <c r="V50" s="110">
        <f t="shared" si="16"/>
        <v>0</v>
      </c>
      <c r="W50" s="87"/>
      <c r="X50" s="43">
        <v>0</v>
      </c>
      <c r="Y50" s="110">
        <f t="shared" si="17"/>
        <v>0</v>
      </c>
      <c r="Z50" s="87"/>
      <c r="AA50" s="43">
        <v>0</v>
      </c>
      <c r="AB50" s="110">
        <f t="shared" si="18"/>
        <v>0</v>
      </c>
      <c r="AC50" s="87"/>
      <c r="AD50" s="43">
        <v>0</v>
      </c>
      <c r="AE50" s="110">
        <f t="shared" si="19"/>
        <v>0</v>
      </c>
      <c r="AF50" s="87"/>
      <c r="AG50" s="43">
        <v>0</v>
      </c>
      <c r="AH50" s="110">
        <f t="shared" si="20"/>
        <v>0</v>
      </c>
      <c r="AI50" s="87"/>
      <c r="AL50" s="87"/>
      <c r="AM50" s="87"/>
      <c r="AN50" s="87"/>
    </row>
    <row r="51" spans="3:40" x14ac:dyDescent="0.25">
      <c r="C51" s="95" t="str">
        <f>'MP Calculations'!D78</f>
        <v>2034-35</v>
      </c>
      <c r="D51" s="110">
        <f>IF(LEFT($C51,4)*1&lt;LEFT('General inputs'!$I$16,4)+'General inputs'!$H$38,SUM(G51,J51,M51,P51,S51,V51,Y51,AB51,AE51,AH51),"")</f>
        <v>270</v>
      </c>
      <c r="E51" s="87"/>
      <c r="F51" s="43">
        <v>120</v>
      </c>
      <c r="G51" s="110">
        <f t="shared" si="11"/>
        <v>120</v>
      </c>
      <c r="H51" s="87"/>
      <c r="I51" s="43">
        <v>200</v>
      </c>
      <c r="J51" s="110">
        <f t="shared" si="12"/>
        <v>150</v>
      </c>
      <c r="K51" s="87"/>
      <c r="L51" s="43">
        <v>0</v>
      </c>
      <c r="M51" s="110">
        <f t="shared" si="13"/>
        <v>0</v>
      </c>
      <c r="N51" s="87"/>
      <c r="O51" s="43">
        <v>0</v>
      </c>
      <c r="P51" s="110">
        <f t="shared" si="14"/>
        <v>0</v>
      </c>
      <c r="Q51" s="87"/>
      <c r="R51" s="43">
        <v>0</v>
      </c>
      <c r="S51" s="110">
        <f t="shared" si="15"/>
        <v>0</v>
      </c>
      <c r="T51" s="87"/>
      <c r="U51" s="43">
        <v>0</v>
      </c>
      <c r="V51" s="110">
        <f t="shared" si="16"/>
        <v>0</v>
      </c>
      <c r="W51" s="87"/>
      <c r="X51" s="43">
        <v>0</v>
      </c>
      <c r="Y51" s="110">
        <f t="shared" si="17"/>
        <v>0</v>
      </c>
      <c r="Z51" s="87"/>
      <c r="AA51" s="43">
        <v>0</v>
      </c>
      <c r="AB51" s="110">
        <f t="shared" si="18"/>
        <v>0</v>
      </c>
      <c r="AC51" s="87"/>
      <c r="AD51" s="43">
        <v>0</v>
      </c>
      <c r="AE51" s="110">
        <f t="shared" si="19"/>
        <v>0</v>
      </c>
      <c r="AF51" s="87"/>
      <c r="AG51" s="43">
        <v>0</v>
      </c>
      <c r="AH51" s="110">
        <f t="shared" si="20"/>
        <v>0</v>
      </c>
      <c r="AI51" s="87"/>
      <c r="AL51" s="87"/>
      <c r="AM51" s="87"/>
      <c r="AN51" s="87"/>
    </row>
    <row r="52" spans="3:40" x14ac:dyDescent="0.25">
      <c r="C52" s="95" t="str">
        <f>'MP Calculations'!D79</f>
        <v>2035-36</v>
      </c>
      <c r="D52" s="110">
        <f>IF(LEFT($C52,4)*1&lt;LEFT('General inputs'!$I$16,4)+'General inputs'!$H$38,SUM(G52,J52,M52,P52,S52,V52,Y52,AB52,AE52,AH52),"")</f>
        <v>270</v>
      </c>
      <c r="E52" s="87"/>
      <c r="F52" s="43">
        <v>120</v>
      </c>
      <c r="G52" s="110">
        <f t="shared" si="11"/>
        <v>120</v>
      </c>
      <c r="H52" s="87"/>
      <c r="I52" s="43">
        <v>200</v>
      </c>
      <c r="J52" s="110">
        <f t="shared" si="12"/>
        <v>150</v>
      </c>
      <c r="K52" s="87"/>
      <c r="L52" s="43">
        <v>0</v>
      </c>
      <c r="M52" s="110">
        <f t="shared" si="13"/>
        <v>0</v>
      </c>
      <c r="N52" s="87"/>
      <c r="O52" s="43">
        <v>0</v>
      </c>
      <c r="P52" s="110">
        <f t="shared" si="14"/>
        <v>0</v>
      </c>
      <c r="Q52" s="87"/>
      <c r="R52" s="43">
        <v>0</v>
      </c>
      <c r="S52" s="110">
        <f t="shared" si="15"/>
        <v>0</v>
      </c>
      <c r="T52" s="87"/>
      <c r="U52" s="43">
        <v>0</v>
      </c>
      <c r="V52" s="110">
        <f t="shared" si="16"/>
        <v>0</v>
      </c>
      <c r="W52" s="87"/>
      <c r="X52" s="43">
        <v>0</v>
      </c>
      <c r="Y52" s="110">
        <f t="shared" si="17"/>
        <v>0</v>
      </c>
      <c r="Z52" s="87"/>
      <c r="AA52" s="43">
        <v>0</v>
      </c>
      <c r="AB52" s="110">
        <f t="shared" si="18"/>
        <v>0</v>
      </c>
      <c r="AC52" s="87"/>
      <c r="AD52" s="43">
        <v>0</v>
      </c>
      <c r="AE52" s="110">
        <f t="shared" si="19"/>
        <v>0</v>
      </c>
      <c r="AF52" s="87"/>
      <c r="AG52" s="43">
        <v>0</v>
      </c>
      <c r="AH52" s="110">
        <f t="shared" si="20"/>
        <v>0</v>
      </c>
      <c r="AI52" s="87"/>
      <c r="AL52" s="87"/>
      <c r="AM52" s="87"/>
      <c r="AN52" s="87"/>
    </row>
    <row r="53" spans="3:40" x14ac:dyDescent="0.25">
      <c r="C53" s="95" t="str">
        <f>'MP Calculations'!D80</f>
        <v>2036-37</v>
      </c>
      <c r="D53" s="110">
        <f>IF(LEFT($C53,4)*1&lt;LEFT('General inputs'!$I$16,4)+'General inputs'!$H$38,SUM(G53,J53,M53,P53,S53,V53,Y53,AB53,AE53,AH53),"")</f>
        <v>270</v>
      </c>
      <c r="E53" s="87"/>
      <c r="F53" s="43">
        <v>120</v>
      </c>
      <c r="G53" s="110">
        <f t="shared" si="11"/>
        <v>120</v>
      </c>
      <c r="H53" s="87"/>
      <c r="I53" s="43">
        <v>200</v>
      </c>
      <c r="J53" s="110">
        <f t="shared" si="12"/>
        <v>150</v>
      </c>
      <c r="K53" s="87"/>
      <c r="L53" s="43">
        <v>0</v>
      </c>
      <c r="M53" s="110">
        <f t="shared" si="13"/>
        <v>0</v>
      </c>
      <c r="N53" s="87"/>
      <c r="O53" s="43">
        <v>0</v>
      </c>
      <c r="P53" s="110">
        <f t="shared" si="14"/>
        <v>0</v>
      </c>
      <c r="Q53" s="87"/>
      <c r="R53" s="43">
        <v>0</v>
      </c>
      <c r="S53" s="110">
        <f t="shared" si="15"/>
        <v>0</v>
      </c>
      <c r="T53" s="87"/>
      <c r="U53" s="43">
        <v>0</v>
      </c>
      <c r="V53" s="110">
        <f t="shared" si="16"/>
        <v>0</v>
      </c>
      <c r="W53" s="87"/>
      <c r="X53" s="43">
        <v>0</v>
      </c>
      <c r="Y53" s="110">
        <f t="shared" si="17"/>
        <v>0</v>
      </c>
      <c r="Z53" s="87"/>
      <c r="AA53" s="43">
        <v>0</v>
      </c>
      <c r="AB53" s="110">
        <f t="shared" si="18"/>
        <v>0</v>
      </c>
      <c r="AC53" s="87"/>
      <c r="AD53" s="43">
        <v>0</v>
      </c>
      <c r="AE53" s="110">
        <f t="shared" si="19"/>
        <v>0</v>
      </c>
      <c r="AF53" s="87"/>
      <c r="AG53" s="43">
        <v>0</v>
      </c>
      <c r="AH53" s="110">
        <f t="shared" si="20"/>
        <v>0</v>
      </c>
      <c r="AI53" s="87"/>
      <c r="AL53" s="87"/>
      <c r="AM53" s="87"/>
      <c r="AN53" s="87"/>
    </row>
    <row r="54" spans="3:40" x14ac:dyDescent="0.25">
      <c r="C54" s="95" t="str">
        <f>'MP Calculations'!D81</f>
        <v>2037-38</v>
      </c>
      <c r="D54" s="110">
        <f>IF(LEFT($C54,4)*1&lt;LEFT('General inputs'!$I$16,4)+'General inputs'!$H$38,SUM(G54,J54,M54,P54,S54,V54,Y54,AB54,AE54,AH54),"")</f>
        <v>270</v>
      </c>
      <c r="E54" s="87"/>
      <c r="F54" s="43">
        <v>120</v>
      </c>
      <c r="G54" s="110">
        <f t="shared" si="11"/>
        <v>120</v>
      </c>
      <c r="H54" s="87"/>
      <c r="I54" s="43">
        <v>200</v>
      </c>
      <c r="J54" s="110">
        <f t="shared" si="12"/>
        <v>150</v>
      </c>
      <c r="K54" s="87"/>
      <c r="L54" s="43">
        <v>0</v>
      </c>
      <c r="M54" s="110">
        <f t="shared" si="13"/>
        <v>0</v>
      </c>
      <c r="N54" s="87"/>
      <c r="O54" s="43">
        <v>0</v>
      </c>
      <c r="P54" s="110">
        <f t="shared" si="14"/>
        <v>0</v>
      </c>
      <c r="Q54" s="87"/>
      <c r="R54" s="43">
        <v>0</v>
      </c>
      <c r="S54" s="110">
        <f t="shared" si="15"/>
        <v>0</v>
      </c>
      <c r="T54" s="87"/>
      <c r="U54" s="43">
        <v>0</v>
      </c>
      <c r="V54" s="110">
        <f t="shared" si="16"/>
        <v>0</v>
      </c>
      <c r="W54" s="87"/>
      <c r="X54" s="43">
        <v>0</v>
      </c>
      <c r="Y54" s="110">
        <f t="shared" si="17"/>
        <v>0</v>
      </c>
      <c r="Z54" s="87"/>
      <c r="AA54" s="43">
        <v>0</v>
      </c>
      <c r="AB54" s="110">
        <f t="shared" si="18"/>
        <v>0</v>
      </c>
      <c r="AC54" s="87"/>
      <c r="AD54" s="43">
        <v>0</v>
      </c>
      <c r="AE54" s="110">
        <f t="shared" si="19"/>
        <v>0</v>
      </c>
      <c r="AF54" s="87"/>
      <c r="AG54" s="43">
        <v>0</v>
      </c>
      <c r="AH54" s="110">
        <f t="shared" si="20"/>
        <v>0</v>
      </c>
      <c r="AI54" s="87"/>
      <c r="AL54" s="87"/>
      <c r="AM54" s="87"/>
      <c r="AN54" s="87"/>
    </row>
    <row r="55" spans="3:40" x14ac:dyDescent="0.25">
      <c r="C55" s="95" t="str">
        <f>'MP Calculations'!D82</f>
        <v>2038-39</v>
      </c>
      <c r="D55" s="110">
        <f>IF(LEFT($C55,4)*1&lt;LEFT('General inputs'!$I$16,4)+'General inputs'!$H$38,SUM(G55,J55,M55,P55,S55,V55,Y55,AB55,AE55,AH55),"")</f>
        <v>270</v>
      </c>
      <c r="E55" s="87"/>
      <c r="F55" s="43">
        <v>120</v>
      </c>
      <c r="G55" s="110">
        <f t="shared" si="11"/>
        <v>120</v>
      </c>
      <c r="H55" s="87"/>
      <c r="I55" s="43">
        <v>200</v>
      </c>
      <c r="J55" s="110">
        <f t="shared" si="12"/>
        <v>150</v>
      </c>
      <c r="K55" s="87"/>
      <c r="L55" s="43">
        <v>0</v>
      </c>
      <c r="M55" s="110">
        <f t="shared" si="13"/>
        <v>0</v>
      </c>
      <c r="N55" s="87"/>
      <c r="O55" s="43">
        <v>0</v>
      </c>
      <c r="P55" s="110">
        <f t="shared" si="14"/>
        <v>0</v>
      </c>
      <c r="Q55" s="87"/>
      <c r="R55" s="43">
        <v>0</v>
      </c>
      <c r="S55" s="110">
        <f t="shared" si="15"/>
        <v>0</v>
      </c>
      <c r="T55" s="87"/>
      <c r="U55" s="43">
        <v>0</v>
      </c>
      <c r="V55" s="110">
        <f t="shared" si="16"/>
        <v>0</v>
      </c>
      <c r="W55" s="87"/>
      <c r="X55" s="43">
        <v>0</v>
      </c>
      <c r="Y55" s="110">
        <f t="shared" si="17"/>
        <v>0</v>
      </c>
      <c r="Z55" s="87"/>
      <c r="AA55" s="43">
        <v>0</v>
      </c>
      <c r="AB55" s="110">
        <f t="shared" si="18"/>
        <v>0</v>
      </c>
      <c r="AC55" s="87"/>
      <c r="AD55" s="43">
        <v>0</v>
      </c>
      <c r="AE55" s="110">
        <f t="shared" si="19"/>
        <v>0</v>
      </c>
      <c r="AF55" s="87"/>
      <c r="AG55" s="43">
        <v>0</v>
      </c>
      <c r="AH55" s="110">
        <f t="shared" si="20"/>
        <v>0</v>
      </c>
      <c r="AI55" s="87"/>
      <c r="AL55" s="87"/>
      <c r="AM55" s="87"/>
      <c r="AN55" s="87"/>
    </row>
    <row r="56" spans="3:40" x14ac:dyDescent="0.25">
      <c r="C56" s="95" t="str">
        <f>'MP Calculations'!D83</f>
        <v>2039-40</v>
      </c>
      <c r="D56" s="110">
        <f>IF(LEFT($C56,4)*1&lt;LEFT('General inputs'!$I$16,4)+'General inputs'!$H$38,SUM(G56,J56,M56,P56,S56,V56,Y56,AB56,AE56,AH56),"")</f>
        <v>270</v>
      </c>
      <c r="E56" s="87"/>
      <c r="F56" s="43">
        <v>120</v>
      </c>
      <c r="G56" s="110">
        <f t="shared" si="11"/>
        <v>120</v>
      </c>
      <c r="H56" s="87"/>
      <c r="I56" s="43">
        <v>200</v>
      </c>
      <c r="J56" s="110">
        <f t="shared" si="12"/>
        <v>150</v>
      </c>
      <c r="K56" s="87"/>
      <c r="L56" s="43">
        <v>0</v>
      </c>
      <c r="M56" s="110">
        <f t="shared" si="13"/>
        <v>0</v>
      </c>
      <c r="N56" s="87"/>
      <c r="O56" s="43">
        <v>0</v>
      </c>
      <c r="P56" s="110">
        <f t="shared" si="14"/>
        <v>0</v>
      </c>
      <c r="Q56" s="87"/>
      <c r="R56" s="43">
        <v>0</v>
      </c>
      <c r="S56" s="110">
        <f t="shared" si="15"/>
        <v>0</v>
      </c>
      <c r="T56" s="87"/>
      <c r="U56" s="43">
        <v>0</v>
      </c>
      <c r="V56" s="110">
        <f t="shared" si="16"/>
        <v>0</v>
      </c>
      <c r="W56" s="87"/>
      <c r="X56" s="43">
        <v>0</v>
      </c>
      <c r="Y56" s="110">
        <f t="shared" si="17"/>
        <v>0</v>
      </c>
      <c r="Z56" s="87"/>
      <c r="AA56" s="43">
        <v>0</v>
      </c>
      <c r="AB56" s="110">
        <f t="shared" si="18"/>
        <v>0</v>
      </c>
      <c r="AC56" s="87"/>
      <c r="AD56" s="43">
        <v>0</v>
      </c>
      <c r="AE56" s="110">
        <f t="shared" si="19"/>
        <v>0</v>
      </c>
      <c r="AF56" s="87"/>
      <c r="AG56" s="43">
        <v>0</v>
      </c>
      <c r="AH56" s="110">
        <f t="shared" si="20"/>
        <v>0</v>
      </c>
      <c r="AI56" s="87"/>
      <c r="AL56" s="87"/>
      <c r="AM56" s="87"/>
      <c r="AN56" s="87"/>
    </row>
    <row r="57" spans="3:40" x14ac:dyDescent="0.25">
      <c r="C57" s="95" t="str">
        <f>'MP Calculations'!D84</f>
        <v>2040-41</v>
      </c>
      <c r="D57" s="110">
        <f>IF(LEFT($C57,4)*1&lt;LEFT('General inputs'!$I$16,4)+'General inputs'!$H$38,SUM(G57,J57,M57,P57,S57,V57,Y57,AB57,AE57,AH57),"")</f>
        <v>270</v>
      </c>
      <c r="E57" s="87"/>
      <c r="F57" s="43">
        <v>120</v>
      </c>
      <c r="G57" s="110">
        <f t="shared" si="11"/>
        <v>120</v>
      </c>
      <c r="H57" s="87"/>
      <c r="I57" s="43">
        <v>200</v>
      </c>
      <c r="J57" s="110">
        <f t="shared" si="12"/>
        <v>150</v>
      </c>
      <c r="K57" s="87"/>
      <c r="L57" s="43">
        <v>0</v>
      </c>
      <c r="M57" s="110">
        <f t="shared" si="13"/>
        <v>0</v>
      </c>
      <c r="N57" s="87"/>
      <c r="O57" s="43">
        <v>0</v>
      </c>
      <c r="P57" s="110">
        <f t="shared" si="14"/>
        <v>0</v>
      </c>
      <c r="Q57" s="87"/>
      <c r="R57" s="43">
        <v>0</v>
      </c>
      <c r="S57" s="110">
        <f t="shared" si="15"/>
        <v>0</v>
      </c>
      <c r="T57" s="87"/>
      <c r="U57" s="43">
        <v>0</v>
      </c>
      <c r="V57" s="110">
        <f t="shared" si="16"/>
        <v>0</v>
      </c>
      <c r="W57" s="87"/>
      <c r="X57" s="43">
        <v>0</v>
      </c>
      <c r="Y57" s="110">
        <f t="shared" si="17"/>
        <v>0</v>
      </c>
      <c r="Z57" s="87"/>
      <c r="AA57" s="43">
        <v>0</v>
      </c>
      <c r="AB57" s="110">
        <f t="shared" si="18"/>
        <v>0</v>
      </c>
      <c r="AC57" s="87"/>
      <c r="AD57" s="43">
        <v>0</v>
      </c>
      <c r="AE57" s="110">
        <f t="shared" si="19"/>
        <v>0</v>
      </c>
      <c r="AF57" s="87"/>
      <c r="AG57" s="43">
        <v>0</v>
      </c>
      <c r="AH57" s="110">
        <f t="shared" si="20"/>
        <v>0</v>
      </c>
      <c r="AI57" s="87"/>
      <c r="AL57" s="87"/>
      <c r="AM57" s="87"/>
      <c r="AN57" s="87"/>
    </row>
    <row r="58" spans="3:40" x14ac:dyDescent="0.25">
      <c r="C58" s="95" t="str">
        <f>'MP Calculations'!D85</f>
        <v>2041-42</v>
      </c>
      <c r="D58" s="110">
        <f>IF(LEFT($C58,4)*1&lt;LEFT('General inputs'!$I$16,4)+'General inputs'!$H$38,SUM(G58,J58,M58,P58,S58,V58,Y58,AB58,AE58,AH58),"")</f>
        <v>270</v>
      </c>
      <c r="E58" s="87"/>
      <c r="F58" s="43">
        <v>120</v>
      </c>
      <c r="G58" s="110">
        <f t="shared" si="11"/>
        <v>120</v>
      </c>
      <c r="H58" s="87"/>
      <c r="I58" s="43">
        <v>200</v>
      </c>
      <c r="J58" s="110">
        <f t="shared" si="12"/>
        <v>150</v>
      </c>
      <c r="K58" s="87"/>
      <c r="L58" s="43">
        <v>0</v>
      </c>
      <c r="M58" s="110">
        <f t="shared" si="13"/>
        <v>0</v>
      </c>
      <c r="N58" s="87"/>
      <c r="O58" s="43">
        <v>0</v>
      </c>
      <c r="P58" s="110">
        <f t="shared" si="14"/>
        <v>0</v>
      </c>
      <c r="Q58" s="87"/>
      <c r="R58" s="43">
        <v>0</v>
      </c>
      <c r="S58" s="110">
        <f t="shared" si="15"/>
        <v>0</v>
      </c>
      <c r="T58" s="87"/>
      <c r="U58" s="43">
        <v>0</v>
      </c>
      <c r="V58" s="110">
        <f t="shared" si="16"/>
        <v>0</v>
      </c>
      <c r="W58" s="87"/>
      <c r="X58" s="43">
        <v>0</v>
      </c>
      <c r="Y58" s="110">
        <f t="shared" si="17"/>
        <v>0</v>
      </c>
      <c r="Z58" s="87"/>
      <c r="AA58" s="43">
        <v>0</v>
      </c>
      <c r="AB58" s="110">
        <f t="shared" si="18"/>
        <v>0</v>
      </c>
      <c r="AC58" s="87"/>
      <c r="AD58" s="43">
        <v>0</v>
      </c>
      <c r="AE58" s="110">
        <f t="shared" si="19"/>
        <v>0</v>
      </c>
      <c r="AF58" s="87"/>
      <c r="AG58" s="43">
        <v>0</v>
      </c>
      <c r="AH58" s="110">
        <f t="shared" si="20"/>
        <v>0</v>
      </c>
      <c r="AI58" s="87"/>
      <c r="AL58" s="87"/>
      <c r="AM58" s="87"/>
      <c r="AN58" s="87"/>
    </row>
    <row r="59" spans="3:40" x14ac:dyDescent="0.25">
      <c r="C59" s="95" t="str">
        <f>'MP Calculations'!D86</f>
        <v>2042-43</v>
      </c>
      <c r="D59" s="110">
        <f>IF(LEFT($C59,4)*1&lt;LEFT('General inputs'!$I$16,4)+'General inputs'!$H$38,SUM(G59,J59,M59,P59,S59,V59,Y59,AB59,AE59,AH59),"")</f>
        <v>270</v>
      </c>
      <c r="E59" s="87"/>
      <c r="F59" s="43">
        <v>120</v>
      </c>
      <c r="G59" s="110">
        <f t="shared" si="11"/>
        <v>120</v>
      </c>
      <c r="H59" s="87"/>
      <c r="I59" s="43">
        <v>200</v>
      </c>
      <c r="J59" s="110">
        <f t="shared" si="12"/>
        <v>150</v>
      </c>
      <c r="K59" s="87"/>
      <c r="L59" s="43">
        <v>0</v>
      </c>
      <c r="M59" s="110">
        <f t="shared" si="13"/>
        <v>0</v>
      </c>
      <c r="N59" s="87"/>
      <c r="O59" s="43">
        <v>0</v>
      </c>
      <c r="P59" s="110">
        <f t="shared" si="14"/>
        <v>0</v>
      </c>
      <c r="Q59" s="87"/>
      <c r="R59" s="43">
        <v>0</v>
      </c>
      <c r="S59" s="110">
        <f t="shared" si="15"/>
        <v>0</v>
      </c>
      <c r="T59" s="87"/>
      <c r="U59" s="43">
        <v>0</v>
      </c>
      <c r="V59" s="110">
        <f t="shared" si="16"/>
        <v>0</v>
      </c>
      <c r="W59" s="87"/>
      <c r="X59" s="43">
        <v>0</v>
      </c>
      <c r="Y59" s="110">
        <f t="shared" si="17"/>
        <v>0</v>
      </c>
      <c r="Z59" s="87"/>
      <c r="AA59" s="43">
        <v>0</v>
      </c>
      <c r="AB59" s="110">
        <f t="shared" si="18"/>
        <v>0</v>
      </c>
      <c r="AC59" s="87"/>
      <c r="AD59" s="43">
        <v>0</v>
      </c>
      <c r="AE59" s="110">
        <f t="shared" si="19"/>
        <v>0</v>
      </c>
      <c r="AF59" s="87"/>
      <c r="AG59" s="43">
        <v>0</v>
      </c>
      <c r="AH59" s="110">
        <f t="shared" si="20"/>
        <v>0</v>
      </c>
      <c r="AI59" s="87"/>
      <c r="AL59" s="87"/>
      <c r="AM59" s="87"/>
      <c r="AN59" s="87"/>
    </row>
    <row r="60" spans="3:40" x14ac:dyDescent="0.25">
      <c r="C60" s="95" t="str">
        <f>'MP Calculations'!D87</f>
        <v>2043-44</v>
      </c>
      <c r="D60" s="110">
        <f>IF(LEFT($C60,4)*1&lt;LEFT('General inputs'!$I$16,4)+'General inputs'!$H$38,SUM(G60,J60,M60,P60,S60,V60,Y60,AB60,AE60,AH60),"")</f>
        <v>270</v>
      </c>
      <c r="E60" s="87"/>
      <c r="F60" s="43">
        <v>120</v>
      </c>
      <c r="G60" s="110">
        <f t="shared" si="11"/>
        <v>120</v>
      </c>
      <c r="H60" s="87"/>
      <c r="I60" s="43">
        <v>200</v>
      </c>
      <c r="J60" s="110">
        <f t="shared" si="12"/>
        <v>150</v>
      </c>
      <c r="K60" s="87"/>
      <c r="L60" s="43">
        <v>0</v>
      </c>
      <c r="M60" s="110">
        <f t="shared" si="13"/>
        <v>0</v>
      </c>
      <c r="N60" s="87"/>
      <c r="O60" s="43">
        <v>0</v>
      </c>
      <c r="P60" s="110">
        <f t="shared" si="14"/>
        <v>0</v>
      </c>
      <c r="Q60" s="87"/>
      <c r="R60" s="43">
        <v>0</v>
      </c>
      <c r="S60" s="110">
        <f t="shared" si="15"/>
        <v>0</v>
      </c>
      <c r="T60" s="87"/>
      <c r="U60" s="43">
        <v>0</v>
      </c>
      <c r="V60" s="110">
        <f t="shared" si="16"/>
        <v>0</v>
      </c>
      <c r="W60" s="87"/>
      <c r="X60" s="43">
        <v>0</v>
      </c>
      <c r="Y60" s="110">
        <f t="shared" si="17"/>
        <v>0</v>
      </c>
      <c r="Z60" s="87"/>
      <c r="AA60" s="43">
        <v>0</v>
      </c>
      <c r="AB60" s="110">
        <f t="shared" si="18"/>
        <v>0</v>
      </c>
      <c r="AC60" s="87"/>
      <c r="AD60" s="43">
        <v>0</v>
      </c>
      <c r="AE60" s="110">
        <f t="shared" si="19"/>
        <v>0</v>
      </c>
      <c r="AF60" s="87"/>
      <c r="AG60" s="43">
        <v>0</v>
      </c>
      <c r="AH60" s="110">
        <f t="shared" si="20"/>
        <v>0</v>
      </c>
      <c r="AI60" s="87"/>
      <c r="AL60" s="87"/>
      <c r="AM60" s="87"/>
      <c r="AN60" s="87"/>
    </row>
    <row r="61" spans="3:40" x14ac:dyDescent="0.25">
      <c r="C61" s="95" t="str">
        <f>'MP Calculations'!D88</f>
        <v>2044-45</v>
      </c>
      <c r="D61" s="110">
        <f>IF(LEFT($C61,4)*1&lt;LEFT('General inputs'!$I$16,4)+'General inputs'!$H$38,SUM(G61,J61,M61,P61,S61,V61,Y61,AB61,AE61,AH61),"")</f>
        <v>270</v>
      </c>
      <c r="E61" s="87"/>
      <c r="F61" s="43">
        <v>120</v>
      </c>
      <c r="G61" s="110">
        <f t="shared" si="11"/>
        <v>120</v>
      </c>
      <c r="H61" s="87"/>
      <c r="I61" s="43">
        <v>200</v>
      </c>
      <c r="J61" s="110">
        <f t="shared" si="12"/>
        <v>150</v>
      </c>
      <c r="K61" s="87"/>
      <c r="L61" s="43">
        <v>0</v>
      </c>
      <c r="M61" s="110">
        <f t="shared" si="13"/>
        <v>0</v>
      </c>
      <c r="N61" s="87"/>
      <c r="O61" s="43">
        <v>0</v>
      </c>
      <c r="P61" s="110">
        <f t="shared" si="14"/>
        <v>0</v>
      </c>
      <c r="Q61" s="87"/>
      <c r="R61" s="43">
        <v>0</v>
      </c>
      <c r="S61" s="110">
        <f t="shared" si="15"/>
        <v>0</v>
      </c>
      <c r="T61" s="87"/>
      <c r="U61" s="43">
        <v>0</v>
      </c>
      <c r="V61" s="110">
        <f t="shared" si="16"/>
        <v>0</v>
      </c>
      <c r="W61" s="87"/>
      <c r="X61" s="43">
        <v>0</v>
      </c>
      <c r="Y61" s="110">
        <f t="shared" si="17"/>
        <v>0</v>
      </c>
      <c r="Z61" s="87"/>
      <c r="AA61" s="43">
        <v>0</v>
      </c>
      <c r="AB61" s="110">
        <f t="shared" si="18"/>
        <v>0</v>
      </c>
      <c r="AC61" s="87"/>
      <c r="AD61" s="43">
        <v>0</v>
      </c>
      <c r="AE61" s="110">
        <f t="shared" si="19"/>
        <v>0</v>
      </c>
      <c r="AF61" s="87"/>
      <c r="AG61" s="43">
        <v>0</v>
      </c>
      <c r="AH61" s="110">
        <f t="shared" si="20"/>
        <v>0</v>
      </c>
      <c r="AI61" s="87"/>
      <c r="AL61" s="87"/>
      <c r="AM61" s="87"/>
      <c r="AN61" s="87"/>
    </row>
    <row r="62" spans="3:40" x14ac:dyDescent="0.25">
      <c r="C62" s="95" t="str">
        <f>'MP Calculations'!D89</f>
        <v>2045-46</v>
      </c>
      <c r="D62" s="110">
        <f>IF(LEFT($C62,4)*1&lt;LEFT('General inputs'!$I$16,4)+'General inputs'!$H$38,SUM(G62,J62,M62,P62,S62,V62,Y62,AB62,AE62,AH62),"")</f>
        <v>270</v>
      </c>
      <c r="E62" s="87"/>
      <c r="F62" s="43">
        <v>120</v>
      </c>
      <c r="G62" s="110">
        <f t="shared" si="11"/>
        <v>120</v>
      </c>
      <c r="H62" s="87"/>
      <c r="I62" s="43">
        <v>200</v>
      </c>
      <c r="J62" s="110">
        <f t="shared" si="12"/>
        <v>150</v>
      </c>
      <c r="K62" s="87"/>
      <c r="L62" s="43">
        <v>0</v>
      </c>
      <c r="M62" s="110">
        <f t="shared" si="13"/>
        <v>0</v>
      </c>
      <c r="N62" s="87"/>
      <c r="O62" s="43">
        <v>0</v>
      </c>
      <c r="P62" s="110">
        <f t="shared" si="14"/>
        <v>0</v>
      </c>
      <c r="Q62" s="87"/>
      <c r="R62" s="43">
        <v>0</v>
      </c>
      <c r="S62" s="110">
        <f t="shared" si="15"/>
        <v>0</v>
      </c>
      <c r="T62" s="87"/>
      <c r="U62" s="43">
        <v>0</v>
      </c>
      <c r="V62" s="110">
        <f t="shared" si="16"/>
        <v>0</v>
      </c>
      <c r="W62" s="87"/>
      <c r="X62" s="43">
        <v>0</v>
      </c>
      <c r="Y62" s="110">
        <f t="shared" si="17"/>
        <v>0</v>
      </c>
      <c r="Z62" s="87"/>
      <c r="AA62" s="43">
        <v>0</v>
      </c>
      <c r="AB62" s="110">
        <f t="shared" si="18"/>
        <v>0</v>
      </c>
      <c r="AC62" s="87"/>
      <c r="AD62" s="43">
        <v>0</v>
      </c>
      <c r="AE62" s="110">
        <f t="shared" si="19"/>
        <v>0</v>
      </c>
      <c r="AF62" s="87"/>
      <c r="AG62" s="43">
        <v>0</v>
      </c>
      <c r="AH62" s="110">
        <f t="shared" si="20"/>
        <v>0</v>
      </c>
      <c r="AI62" s="87"/>
      <c r="AL62" s="87"/>
      <c r="AM62" s="87"/>
      <c r="AN62" s="87"/>
    </row>
    <row r="63" spans="3:40" x14ac:dyDescent="0.25">
      <c r="C63" s="95" t="str">
        <f>'MP Calculations'!D90</f>
        <v>2046-47</v>
      </c>
      <c r="D63" s="110">
        <f>IF(LEFT($C63,4)*1&lt;LEFT('General inputs'!$I$16,4)+'General inputs'!$H$38,SUM(G63,J63,M63,P63,S63,V63,Y63,AB63,AE63,AH63),"")</f>
        <v>270</v>
      </c>
      <c r="E63" s="87"/>
      <c r="F63" s="43">
        <v>120</v>
      </c>
      <c r="G63" s="110">
        <f t="shared" si="11"/>
        <v>120</v>
      </c>
      <c r="H63" s="87"/>
      <c r="I63" s="43">
        <v>200</v>
      </c>
      <c r="J63" s="110">
        <f t="shared" si="12"/>
        <v>150</v>
      </c>
      <c r="K63" s="87"/>
      <c r="L63" s="43">
        <v>0</v>
      </c>
      <c r="M63" s="110">
        <f t="shared" si="13"/>
        <v>0</v>
      </c>
      <c r="N63" s="87"/>
      <c r="O63" s="43">
        <v>0</v>
      </c>
      <c r="P63" s="110">
        <f t="shared" si="14"/>
        <v>0</v>
      </c>
      <c r="Q63" s="87"/>
      <c r="R63" s="43">
        <v>0</v>
      </c>
      <c r="S63" s="110">
        <f t="shared" si="15"/>
        <v>0</v>
      </c>
      <c r="T63" s="87"/>
      <c r="U63" s="43">
        <v>0</v>
      </c>
      <c r="V63" s="110">
        <f t="shared" si="16"/>
        <v>0</v>
      </c>
      <c r="W63" s="87"/>
      <c r="X63" s="43">
        <v>0</v>
      </c>
      <c r="Y63" s="110">
        <f t="shared" si="17"/>
        <v>0</v>
      </c>
      <c r="Z63" s="87"/>
      <c r="AA63" s="43">
        <v>0</v>
      </c>
      <c r="AB63" s="110">
        <f t="shared" si="18"/>
        <v>0</v>
      </c>
      <c r="AC63" s="87"/>
      <c r="AD63" s="43">
        <v>0</v>
      </c>
      <c r="AE63" s="110">
        <f t="shared" si="19"/>
        <v>0</v>
      </c>
      <c r="AF63" s="87"/>
      <c r="AG63" s="43">
        <v>0</v>
      </c>
      <c r="AH63" s="110">
        <f t="shared" si="20"/>
        <v>0</v>
      </c>
      <c r="AI63" s="87"/>
      <c r="AL63" s="87"/>
      <c r="AM63" s="87"/>
      <c r="AN63" s="87"/>
    </row>
    <row r="64" spans="3:40" x14ac:dyDescent="0.25">
      <c r="C64" s="95" t="str">
        <f>'MP Calculations'!D91</f>
        <v>2047-48</v>
      </c>
      <c r="D64" s="110">
        <f>IF(LEFT($C64,4)*1&lt;LEFT('General inputs'!$I$16,4)+'General inputs'!$H$38,SUM(G64,J64,M64,P64,S64,V64,Y64,AB64,AE64,AH64),"")</f>
        <v>270</v>
      </c>
      <c r="E64" s="87"/>
      <c r="F64" s="43">
        <v>120</v>
      </c>
      <c r="G64" s="110">
        <f t="shared" si="11"/>
        <v>120</v>
      </c>
      <c r="H64" s="87"/>
      <c r="I64" s="43">
        <v>200</v>
      </c>
      <c r="J64" s="110">
        <f t="shared" si="12"/>
        <v>150</v>
      </c>
      <c r="K64" s="87"/>
      <c r="L64" s="43">
        <v>0</v>
      </c>
      <c r="M64" s="110">
        <f t="shared" si="13"/>
        <v>0</v>
      </c>
      <c r="N64" s="87"/>
      <c r="O64" s="43">
        <v>0</v>
      </c>
      <c r="P64" s="110">
        <f t="shared" si="14"/>
        <v>0</v>
      </c>
      <c r="Q64" s="87"/>
      <c r="R64" s="43">
        <v>0</v>
      </c>
      <c r="S64" s="110">
        <f t="shared" si="15"/>
        <v>0</v>
      </c>
      <c r="T64" s="87"/>
      <c r="U64" s="43">
        <v>0</v>
      </c>
      <c r="V64" s="110">
        <f t="shared" si="16"/>
        <v>0</v>
      </c>
      <c r="W64" s="87"/>
      <c r="X64" s="43">
        <v>0</v>
      </c>
      <c r="Y64" s="110">
        <f t="shared" si="17"/>
        <v>0</v>
      </c>
      <c r="Z64" s="87"/>
      <c r="AA64" s="43">
        <v>0</v>
      </c>
      <c r="AB64" s="110">
        <f t="shared" si="18"/>
        <v>0</v>
      </c>
      <c r="AC64" s="87"/>
      <c r="AD64" s="43">
        <v>0</v>
      </c>
      <c r="AE64" s="110">
        <f t="shared" si="19"/>
        <v>0</v>
      </c>
      <c r="AF64" s="87"/>
      <c r="AG64" s="43">
        <v>0</v>
      </c>
      <c r="AH64" s="110">
        <f t="shared" si="20"/>
        <v>0</v>
      </c>
      <c r="AI64" s="87"/>
      <c r="AL64" s="87"/>
      <c r="AM64" s="87"/>
      <c r="AN64" s="87"/>
    </row>
    <row r="65" spans="3:40" x14ac:dyDescent="0.25">
      <c r="C65" s="95" t="str">
        <f>'MP Calculations'!D92</f>
        <v>2048-49</v>
      </c>
      <c r="D65" s="110" t="str">
        <f>IF(LEFT($C65,4)*1&lt;LEFT('General inputs'!$I$16,4)+'General inputs'!$H$38,SUM(G65,J65,M65,P65,S65,V65,Y65,AB65,AE65,AH65),"")</f>
        <v/>
      </c>
      <c r="E65" s="87"/>
      <c r="F65" s="43"/>
      <c r="G65" s="110">
        <f t="shared" si="11"/>
        <v>0</v>
      </c>
      <c r="H65" s="87"/>
      <c r="I65" s="43"/>
      <c r="J65" s="110">
        <f t="shared" si="12"/>
        <v>0</v>
      </c>
      <c r="K65" s="87"/>
      <c r="L65" s="43"/>
      <c r="M65" s="110">
        <f t="shared" si="13"/>
        <v>0</v>
      </c>
      <c r="N65" s="87"/>
      <c r="O65" s="43"/>
      <c r="P65" s="110">
        <f t="shared" si="14"/>
        <v>0</v>
      </c>
      <c r="Q65" s="87"/>
      <c r="R65" s="43"/>
      <c r="S65" s="110">
        <f t="shared" si="15"/>
        <v>0</v>
      </c>
      <c r="T65" s="87"/>
      <c r="U65" s="43"/>
      <c r="V65" s="110">
        <f t="shared" si="16"/>
        <v>0</v>
      </c>
      <c r="W65" s="87"/>
      <c r="X65" s="43"/>
      <c r="Y65" s="110">
        <f t="shared" si="17"/>
        <v>0</v>
      </c>
      <c r="Z65" s="87"/>
      <c r="AA65" s="43"/>
      <c r="AB65" s="110">
        <f t="shared" si="18"/>
        <v>0</v>
      </c>
      <c r="AC65" s="87"/>
      <c r="AD65" s="43"/>
      <c r="AE65" s="110">
        <f t="shared" si="19"/>
        <v>0</v>
      </c>
      <c r="AF65" s="87"/>
      <c r="AG65" s="43"/>
      <c r="AH65" s="110">
        <f t="shared" si="20"/>
        <v>0</v>
      </c>
      <c r="AI65" s="87"/>
      <c r="AL65" s="87"/>
      <c r="AM65" s="87"/>
      <c r="AN65" s="87"/>
    </row>
    <row r="66" spans="3:40" x14ac:dyDescent="0.25">
      <c r="C66" s="95" t="str">
        <f>'MP Calculations'!D93</f>
        <v>2049-50</v>
      </c>
      <c r="D66" s="110" t="str">
        <f>IF(LEFT($C66,4)*1&lt;LEFT('General inputs'!$I$16,4)+'General inputs'!$H$38,SUM(G66,J66,M66,P66,S66,V66,Y66,AB66,AE66,AH66),"")</f>
        <v/>
      </c>
      <c r="E66" s="87"/>
      <c r="F66" s="43"/>
      <c r="G66" s="110">
        <f t="shared" si="11"/>
        <v>0</v>
      </c>
      <c r="H66" s="87"/>
      <c r="I66" s="43"/>
      <c r="J66" s="110">
        <f t="shared" si="12"/>
        <v>0</v>
      </c>
      <c r="K66" s="87"/>
      <c r="L66" s="43"/>
      <c r="M66" s="110">
        <f t="shared" si="13"/>
        <v>0</v>
      </c>
      <c r="N66" s="87"/>
      <c r="O66" s="43"/>
      <c r="P66" s="110">
        <f t="shared" si="14"/>
        <v>0</v>
      </c>
      <c r="Q66" s="87"/>
      <c r="R66" s="43"/>
      <c r="S66" s="110">
        <f t="shared" si="15"/>
        <v>0</v>
      </c>
      <c r="T66" s="87"/>
      <c r="U66" s="43"/>
      <c r="V66" s="110">
        <f t="shared" si="16"/>
        <v>0</v>
      </c>
      <c r="W66" s="87"/>
      <c r="X66" s="43"/>
      <c r="Y66" s="110">
        <f t="shared" si="17"/>
        <v>0</v>
      </c>
      <c r="Z66" s="87"/>
      <c r="AA66" s="43"/>
      <c r="AB66" s="110">
        <f t="shared" si="18"/>
        <v>0</v>
      </c>
      <c r="AC66" s="87"/>
      <c r="AD66" s="43"/>
      <c r="AE66" s="110">
        <f t="shared" si="19"/>
        <v>0</v>
      </c>
      <c r="AF66" s="87"/>
      <c r="AG66" s="43"/>
      <c r="AH66" s="110">
        <f t="shared" si="20"/>
        <v>0</v>
      </c>
      <c r="AI66" s="87"/>
      <c r="AL66" s="87"/>
      <c r="AM66" s="87"/>
      <c r="AN66" s="87"/>
    </row>
    <row r="67" spans="3:40" x14ac:dyDescent="0.25">
      <c r="C67" s="95" t="str">
        <f>'MP Calculations'!D94</f>
        <v>2050-51</v>
      </c>
      <c r="D67" s="110" t="str">
        <f>IF(LEFT($C67,4)*1&lt;LEFT('General inputs'!$I$16,4)+'General inputs'!$H$38,SUM(G67,J67,M67,P67,S67,V67,Y67,AB67,AE67,AH67),"")</f>
        <v/>
      </c>
      <c r="E67" s="87"/>
      <c r="F67" s="43"/>
      <c r="G67" s="110">
        <f t="shared" si="11"/>
        <v>0</v>
      </c>
      <c r="H67" s="87"/>
      <c r="I67" s="43"/>
      <c r="J67" s="110">
        <f t="shared" si="12"/>
        <v>0</v>
      </c>
      <c r="K67" s="87"/>
      <c r="L67" s="43"/>
      <c r="M67" s="110">
        <f t="shared" si="13"/>
        <v>0</v>
      </c>
      <c r="N67" s="87"/>
      <c r="O67" s="43"/>
      <c r="P67" s="110">
        <f t="shared" si="14"/>
        <v>0</v>
      </c>
      <c r="Q67" s="87"/>
      <c r="R67" s="43"/>
      <c r="S67" s="110">
        <f t="shared" si="15"/>
        <v>0</v>
      </c>
      <c r="T67" s="87"/>
      <c r="U67" s="43"/>
      <c r="V67" s="110">
        <f t="shared" si="16"/>
        <v>0</v>
      </c>
      <c r="W67" s="87"/>
      <c r="X67" s="43"/>
      <c r="Y67" s="110">
        <f t="shared" si="17"/>
        <v>0</v>
      </c>
      <c r="Z67" s="87"/>
      <c r="AA67" s="43"/>
      <c r="AB67" s="110">
        <f t="shared" si="18"/>
        <v>0</v>
      </c>
      <c r="AC67" s="87"/>
      <c r="AD67" s="43"/>
      <c r="AE67" s="110">
        <f t="shared" si="19"/>
        <v>0</v>
      </c>
      <c r="AF67" s="87"/>
      <c r="AG67" s="43"/>
      <c r="AH67" s="110">
        <f t="shared" si="20"/>
        <v>0</v>
      </c>
      <c r="AI67" s="87"/>
      <c r="AL67" s="87"/>
      <c r="AM67" s="87"/>
      <c r="AN67" s="87"/>
    </row>
    <row r="68" spans="3:40" x14ac:dyDescent="0.25">
      <c r="C68" s="95" t="str">
        <f>'MP Calculations'!D95</f>
        <v>2051-52</v>
      </c>
      <c r="D68" s="110" t="str">
        <f>IF(LEFT($C68,4)*1&lt;LEFT('General inputs'!$I$16,4)+'General inputs'!$H$38,SUM(G68,J68,M68,P68,S68,V68,Y68,AB68,AE68,AH68),"")</f>
        <v/>
      </c>
      <c r="E68" s="87"/>
      <c r="F68" s="43"/>
      <c r="G68" s="110">
        <f t="shared" si="11"/>
        <v>0</v>
      </c>
      <c r="H68" s="87"/>
      <c r="I68" s="43"/>
      <c r="J68" s="110">
        <f t="shared" si="12"/>
        <v>0</v>
      </c>
      <c r="K68" s="87"/>
      <c r="L68" s="43"/>
      <c r="M68" s="110">
        <f t="shared" si="13"/>
        <v>0</v>
      </c>
      <c r="N68" s="87"/>
      <c r="O68" s="43"/>
      <c r="P68" s="110">
        <f t="shared" si="14"/>
        <v>0</v>
      </c>
      <c r="Q68" s="87"/>
      <c r="R68" s="43"/>
      <c r="S68" s="110">
        <f t="shared" si="15"/>
        <v>0</v>
      </c>
      <c r="T68" s="87"/>
      <c r="U68" s="43"/>
      <c r="V68" s="110">
        <f t="shared" si="16"/>
        <v>0</v>
      </c>
      <c r="W68" s="87"/>
      <c r="X68" s="43"/>
      <c r="Y68" s="110">
        <f t="shared" si="17"/>
        <v>0</v>
      </c>
      <c r="Z68" s="87"/>
      <c r="AA68" s="43"/>
      <c r="AB68" s="110">
        <f t="shared" si="18"/>
        <v>0</v>
      </c>
      <c r="AC68" s="87"/>
      <c r="AD68" s="43"/>
      <c r="AE68" s="110">
        <f t="shared" si="19"/>
        <v>0</v>
      </c>
      <c r="AF68" s="87"/>
      <c r="AG68" s="43"/>
      <c r="AH68" s="110">
        <f t="shared" si="20"/>
        <v>0</v>
      </c>
      <c r="AI68" s="87"/>
      <c r="AL68" s="87"/>
      <c r="AM68" s="87"/>
      <c r="AN68" s="87"/>
    </row>
    <row r="69" spans="3:40" x14ac:dyDescent="0.25">
      <c r="C69" s="95" t="str">
        <f>'MP Calculations'!D96</f>
        <v>2052-53</v>
      </c>
      <c r="D69" s="110" t="str">
        <f>IF(LEFT($C69,4)*1&lt;LEFT('General inputs'!$I$16,4)+'General inputs'!$H$38,SUM(G69,J69,M69,P69,S69,V69,Y69,AB69,AE69,AH69),"")</f>
        <v/>
      </c>
      <c r="E69" s="87"/>
      <c r="F69" s="43"/>
      <c r="G69" s="110">
        <f t="shared" si="11"/>
        <v>0</v>
      </c>
      <c r="H69" s="87"/>
      <c r="I69" s="43"/>
      <c r="J69" s="110">
        <f t="shared" si="12"/>
        <v>0</v>
      </c>
      <c r="K69" s="87"/>
      <c r="L69" s="43"/>
      <c r="M69" s="110">
        <f t="shared" si="13"/>
        <v>0</v>
      </c>
      <c r="N69" s="87"/>
      <c r="O69" s="43"/>
      <c r="P69" s="110">
        <f t="shared" si="14"/>
        <v>0</v>
      </c>
      <c r="Q69" s="87"/>
      <c r="R69" s="43"/>
      <c r="S69" s="110">
        <f t="shared" si="15"/>
        <v>0</v>
      </c>
      <c r="T69" s="87"/>
      <c r="U69" s="43"/>
      <c r="V69" s="110">
        <f t="shared" si="16"/>
        <v>0</v>
      </c>
      <c r="W69" s="87"/>
      <c r="X69" s="43"/>
      <c r="Y69" s="110">
        <f t="shared" si="17"/>
        <v>0</v>
      </c>
      <c r="Z69" s="87"/>
      <c r="AA69" s="43"/>
      <c r="AB69" s="110">
        <f t="shared" si="18"/>
        <v>0</v>
      </c>
      <c r="AC69" s="87"/>
      <c r="AD69" s="43"/>
      <c r="AE69" s="110">
        <f t="shared" si="19"/>
        <v>0</v>
      </c>
      <c r="AF69" s="87"/>
      <c r="AG69" s="43"/>
      <c r="AH69" s="110">
        <f t="shared" si="20"/>
        <v>0</v>
      </c>
      <c r="AI69" s="87"/>
      <c r="AL69" s="87"/>
      <c r="AM69" s="87"/>
      <c r="AN69" s="87"/>
    </row>
    <row r="70" spans="3:40" x14ac:dyDescent="0.25">
      <c r="C70" s="95" t="str">
        <f>'MP Calculations'!D97</f>
        <v>2053-54</v>
      </c>
      <c r="D70" s="110" t="str">
        <f>IF(LEFT($C70,4)*1&lt;LEFT('General inputs'!$I$16,4)+'General inputs'!$H$38,SUM(G70,J70,M70,P70,S70,V70,Y70,AB70,AE70,AH70),"")</f>
        <v/>
      </c>
      <c r="E70" s="87"/>
      <c r="F70" s="43"/>
      <c r="G70" s="110">
        <f t="shared" si="11"/>
        <v>0</v>
      </c>
      <c r="H70" s="87"/>
      <c r="I70" s="43"/>
      <c r="J70" s="110">
        <f t="shared" si="12"/>
        <v>0</v>
      </c>
      <c r="K70" s="87"/>
      <c r="L70" s="43"/>
      <c r="M70" s="110">
        <f t="shared" si="13"/>
        <v>0</v>
      </c>
      <c r="N70" s="87"/>
      <c r="O70" s="43"/>
      <c r="P70" s="110">
        <f t="shared" si="14"/>
        <v>0</v>
      </c>
      <c r="Q70" s="87"/>
      <c r="R70" s="43"/>
      <c r="S70" s="110">
        <f t="shared" si="15"/>
        <v>0</v>
      </c>
      <c r="T70" s="87"/>
      <c r="U70" s="43"/>
      <c r="V70" s="110">
        <f t="shared" si="16"/>
        <v>0</v>
      </c>
      <c r="W70" s="87"/>
      <c r="X70" s="43"/>
      <c r="Y70" s="110">
        <f t="shared" si="17"/>
        <v>0</v>
      </c>
      <c r="Z70" s="87"/>
      <c r="AA70" s="43"/>
      <c r="AB70" s="110">
        <f t="shared" si="18"/>
        <v>0</v>
      </c>
      <c r="AC70" s="87"/>
      <c r="AD70" s="43"/>
      <c r="AE70" s="110">
        <f t="shared" si="19"/>
        <v>0</v>
      </c>
      <c r="AF70" s="87"/>
      <c r="AG70" s="43"/>
      <c r="AH70" s="110">
        <f t="shared" si="20"/>
        <v>0</v>
      </c>
      <c r="AI70" s="87"/>
      <c r="AL70" s="87"/>
      <c r="AM70" s="87"/>
      <c r="AN70" s="87"/>
    </row>
    <row r="71" spans="3:40" x14ac:dyDescent="0.25">
      <c r="C71" s="95" t="str">
        <f>'MP Calculations'!D98</f>
        <v>2054-55</v>
      </c>
      <c r="D71" s="110" t="str">
        <f>IF(LEFT($C71,4)*1&lt;LEFT('General inputs'!$I$16,4)+'General inputs'!$H$38,SUM(G71,J71,M71,P71,S71,V71,Y71,AB71,AE71,AH71),"")</f>
        <v/>
      </c>
      <c r="E71" s="87"/>
      <c r="F71" s="43"/>
      <c r="G71" s="110">
        <f t="shared" si="11"/>
        <v>0</v>
      </c>
      <c r="H71" s="87"/>
      <c r="I71" s="43"/>
      <c r="J71" s="110">
        <f t="shared" si="12"/>
        <v>0</v>
      </c>
      <c r="K71" s="87"/>
      <c r="L71" s="43"/>
      <c r="M71" s="110">
        <f t="shared" si="13"/>
        <v>0</v>
      </c>
      <c r="N71" s="87"/>
      <c r="O71" s="43"/>
      <c r="P71" s="110">
        <f t="shared" si="14"/>
        <v>0</v>
      </c>
      <c r="Q71" s="87"/>
      <c r="R71" s="43"/>
      <c r="S71" s="110">
        <f t="shared" si="15"/>
        <v>0</v>
      </c>
      <c r="T71" s="87"/>
      <c r="U71" s="43"/>
      <c r="V71" s="110">
        <f t="shared" si="16"/>
        <v>0</v>
      </c>
      <c r="W71" s="87"/>
      <c r="X71" s="43"/>
      <c r="Y71" s="110">
        <f t="shared" si="17"/>
        <v>0</v>
      </c>
      <c r="Z71" s="87"/>
      <c r="AA71" s="43"/>
      <c r="AB71" s="110">
        <f t="shared" si="18"/>
        <v>0</v>
      </c>
      <c r="AC71" s="87"/>
      <c r="AD71" s="43"/>
      <c r="AE71" s="110">
        <f t="shared" si="19"/>
        <v>0</v>
      </c>
      <c r="AF71" s="87"/>
      <c r="AG71" s="43"/>
      <c r="AH71" s="110">
        <f t="shared" si="20"/>
        <v>0</v>
      </c>
      <c r="AI71" s="87"/>
      <c r="AL71" s="87"/>
      <c r="AM71" s="87"/>
      <c r="AN71" s="87"/>
    </row>
    <row r="72" spans="3:40" x14ac:dyDescent="0.25">
      <c r="C72" s="95" t="str">
        <f>'MP Calculations'!D99</f>
        <v>2055-56</v>
      </c>
      <c r="D72" s="110" t="str">
        <f>IF(LEFT($C72,4)*1&lt;LEFT('General inputs'!$I$16,4)+'General inputs'!$H$38,SUM(G72,J72,M72,P72,S72,V72,Y72,AB72,AE72,AH72),"")</f>
        <v/>
      </c>
      <c r="E72" s="87"/>
      <c r="F72" s="43"/>
      <c r="G72" s="110">
        <f t="shared" si="11"/>
        <v>0</v>
      </c>
      <c r="H72" s="87"/>
      <c r="I72" s="43"/>
      <c r="J72" s="110">
        <f t="shared" si="12"/>
        <v>0</v>
      </c>
      <c r="K72" s="87"/>
      <c r="L72" s="43"/>
      <c r="M72" s="110">
        <f t="shared" si="13"/>
        <v>0</v>
      </c>
      <c r="N72" s="87"/>
      <c r="O72" s="43"/>
      <c r="P72" s="110">
        <f t="shared" si="14"/>
        <v>0</v>
      </c>
      <c r="Q72" s="87"/>
      <c r="R72" s="43"/>
      <c r="S72" s="110">
        <f t="shared" si="15"/>
        <v>0</v>
      </c>
      <c r="T72" s="87"/>
      <c r="U72" s="43"/>
      <c r="V72" s="110">
        <f t="shared" si="16"/>
        <v>0</v>
      </c>
      <c r="W72" s="87"/>
      <c r="X72" s="43"/>
      <c r="Y72" s="110">
        <f t="shared" si="17"/>
        <v>0</v>
      </c>
      <c r="Z72" s="87"/>
      <c r="AA72" s="43"/>
      <c r="AB72" s="110">
        <f t="shared" si="18"/>
        <v>0</v>
      </c>
      <c r="AC72" s="87"/>
      <c r="AD72" s="43"/>
      <c r="AE72" s="110">
        <f t="shared" si="19"/>
        <v>0</v>
      </c>
      <c r="AF72" s="87"/>
      <c r="AG72" s="43"/>
      <c r="AH72" s="110">
        <f t="shared" si="20"/>
        <v>0</v>
      </c>
      <c r="AI72" s="87"/>
      <c r="AL72" s="87"/>
      <c r="AM72" s="87"/>
      <c r="AN72" s="87"/>
    </row>
    <row r="73" spans="3:40" x14ac:dyDescent="0.25">
      <c r="C73" s="95" t="str">
        <f>'MP Calculations'!D100</f>
        <v>2056-57</v>
      </c>
      <c r="D73" s="110" t="str">
        <f>IF(LEFT($C73,4)*1&lt;LEFT('General inputs'!$I$16,4)+'General inputs'!$H$38,SUM(G73,J73,M73,P73,S73,V73,Y73,AB73,AE73,AH73),"")</f>
        <v/>
      </c>
      <c r="E73" s="87"/>
      <c r="F73" s="43"/>
      <c r="G73" s="110">
        <f t="shared" si="11"/>
        <v>0</v>
      </c>
      <c r="H73" s="87"/>
      <c r="I73" s="43"/>
      <c r="J73" s="110">
        <f t="shared" si="12"/>
        <v>0</v>
      </c>
      <c r="K73" s="87"/>
      <c r="L73" s="43"/>
      <c r="M73" s="110">
        <f t="shared" si="13"/>
        <v>0</v>
      </c>
      <c r="N73" s="87"/>
      <c r="O73" s="43"/>
      <c r="P73" s="110">
        <f t="shared" si="14"/>
        <v>0</v>
      </c>
      <c r="Q73" s="87"/>
      <c r="R73" s="43"/>
      <c r="S73" s="110">
        <f t="shared" si="15"/>
        <v>0</v>
      </c>
      <c r="T73" s="87"/>
      <c r="U73" s="43"/>
      <c r="V73" s="110">
        <f t="shared" si="16"/>
        <v>0</v>
      </c>
      <c r="W73" s="87"/>
      <c r="X73" s="43"/>
      <c r="Y73" s="110">
        <f t="shared" si="17"/>
        <v>0</v>
      </c>
      <c r="Z73" s="87"/>
      <c r="AA73" s="43"/>
      <c r="AB73" s="110">
        <f t="shared" si="18"/>
        <v>0</v>
      </c>
      <c r="AC73" s="87"/>
      <c r="AD73" s="43"/>
      <c r="AE73" s="110">
        <f t="shared" si="19"/>
        <v>0</v>
      </c>
      <c r="AF73" s="87"/>
      <c r="AG73" s="43"/>
      <c r="AH73" s="110">
        <f t="shared" si="20"/>
        <v>0</v>
      </c>
      <c r="AI73" s="87"/>
      <c r="AL73" s="87"/>
      <c r="AM73" s="87"/>
      <c r="AN73" s="87"/>
    </row>
    <row r="74" spans="3:40" x14ac:dyDescent="0.25">
      <c r="C74" s="95" t="str">
        <f>'MP Calculations'!D101</f>
        <v>2057-58</v>
      </c>
      <c r="D74" s="110" t="str">
        <f>IF(LEFT($C74,4)*1&lt;LEFT('General inputs'!$I$16,4)+'General inputs'!$H$38,SUM(G74,J74,M74,P74,S74,V74,Y74,AB74,AE74,AH74),"")</f>
        <v/>
      </c>
      <c r="E74" s="87"/>
      <c r="F74" s="43"/>
      <c r="G74" s="110">
        <f t="shared" si="11"/>
        <v>0</v>
      </c>
      <c r="H74" s="87"/>
      <c r="I74" s="43"/>
      <c r="J74" s="110">
        <f t="shared" si="12"/>
        <v>0</v>
      </c>
      <c r="K74" s="87"/>
      <c r="L74" s="43"/>
      <c r="M74" s="110">
        <f t="shared" si="13"/>
        <v>0</v>
      </c>
      <c r="N74" s="87"/>
      <c r="O74" s="43"/>
      <c r="P74" s="110">
        <f t="shared" si="14"/>
        <v>0</v>
      </c>
      <c r="Q74" s="87"/>
      <c r="R74" s="43"/>
      <c r="S74" s="110">
        <f t="shared" si="15"/>
        <v>0</v>
      </c>
      <c r="T74" s="87"/>
      <c r="U74" s="43"/>
      <c r="V74" s="110">
        <f t="shared" si="16"/>
        <v>0</v>
      </c>
      <c r="W74" s="87"/>
      <c r="X74" s="43"/>
      <c r="Y74" s="110">
        <f t="shared" si="17"/>
        <v>0</v>
      </c>
      <c r="Z74" s="87"/>
      <c r="AA74" s="43"/>
      <c r="AB74" s="110">
        <f t="shared" si="18"/>
        <v>0</v>
      </c>
      <c r="AC74" s="87"/>
      <c r="AD74" s="43"/>
      <c r="AE74" s="110">
        <f t="shared" si="19"/>
        <v>0</v>
      </c>
      <c r="AF74" s="87"/>
      <c r="AG74" s="43"/>
      <c r="AH74" s="110">
        <f t="shared" si="20"/>
        <v>0</v>
      </c>
      <c r="AI74" s="87"/>
      <c r="AL74" s="87"/>
      <c r="AM74" s="87"/>
      <c r="AN74" s="87"/>
    </row>
    <row r="75" spans="3:40" x14ac:dyDescent="0.25">
      <c r="C75" s="95" t="str">
        <f>'MP Calculations'!D102</f>
        <v>2058-59</v>
      </c>
      <c r="D75" s="110" t="str">
        <f>IF(LEFT($C75,4)*1&lt;LEFT('General inputs'!$I$16,4)+'General inputs'!$H$38,SUM(G75,J75,M75,P75,S75,V75,Y75,AB75,AE75,AH75),"")</f>
        <v/>
      </c>
      <c r="E75" s="87"/>
      <c r="F75" s="43"/>
      <c r="G75" s="110">
        <f t="shared" si="11"/>
        <v>0</v>
      </c>
      <c r="H75" s="87"/>
      <c r="I75" s="43"/>
      <c r="J75" s="110">
        <f t="shared" si="12"/>
        <v>0</v>
      </c>
      <c r="K75" s="87"/>
      <c r="L75" s="43"/>
      <c r="M75" s="110">
        <f t="shared" si="13"/>
        <v>0</v>
      </c>
      <c r="N75" s="87"/>
      <c r="O75" s="43"/>
      <c r="P75" s="110">
        <f t="shared" si="14"/>
        <v>0</v>
      </c>
      <c r="Q75" s="87"/>
      <c r="R75" s="43"/>
      <c r="S75" s="110">
        <f t="shared" si="15"/>
        <v>0</v>
      </c>
      <c r="T75" s="87"/>
      <c r="U75" s="43"/>
      <c r="V75" s="110">
        <f t="shared" si="16"/>
        <v>0</v>
      </c>
      <c r="W75" s="87"/>
      <c r="X75" s="43"/>
      <c r="Y75" s="110">
        <f t="shared" si="17"/>
        <v>0</v>
      </c>
      <c r="Z75" s="87"/>
      <c r="AA75" s="43"/>
      <c r="AB75" s="110">
        <f t="shared" si="18"/>
        <v>0</v>
      </c>
      <c r="AC75" s="87"/>
      <c r="AD75" s="43"/>
      <c r="AE75" s="110">
        <f t="shared" si="19"/>
        <v>0</v>
      </c>
      <c r="AF75" s="87"/>
      <c r="AG75" s="43"/>
      <c r="AH75" s="110">
        <f t="shared" si="20"/>
        <v>0</v>
      </c>
      <c r="AI75" s="87"/>
      <c r="AL75" s="87"/>
      <c r="AM75" s="87"/>
      <c r="AN75" s="87"/>
    </row>
    <row r="76" spans="3:40" x14ac:dyDescent="0.25">
      <c r="C76" s="95" t="str">
        <f>'MP Calculations'!D103</f>
        <v>2059-60</v>
      </c>
      <c r="D76" s="110" t="str">
        <f>IF(LEFT($C76,4)*1&lt;LEFT('General inputs'!$I$16,4)+'General inputs'!$H$38,SUM(G76,J76,M76,P76,S76,V76,Y76,AB76,AE76,AH76),"")</f>
        <v/>
      </c>
      <c r="E76" s="87"/>
      <c r="F76" s="43"/>
      <c r="G76" s="110">
        <f t="shared" ref="G76:G102" si="21">F76*$G$9/$F$6</f>
        <v>0</v>
      </c>
      <c r="H76" s="87"/>
      <c r="I76" s="43"/>
      <c r="J76" s="110">
        <f t="shared" ref="J76:J102" si="22">I76*$J$9/$F$6</f>
        <v>0</v>
      </c>
      <c r="K76" s="87"/>
      <c r="L76" s="43"/>
      <c r="M76" s="110">
        <f t="shared" ref="M76:M102" si="23">L76*$M$9/$F$6</f>
        <v>0</v>
      </c>
      <c r="N76" s="87"/>
      <c r="O76" s="43"/>
      <c r="P76" s="110">
        <f t="shared" ref="P76:P102" si="24">O76*$P$9/$F$6</f>
        <v>0</v>
      </c>
      <c r="Q76" s="87"/>
      <c r="R76" s="43"/>
      <c r="S76" s="110">
        <f t="shared" ref="S76:S102" si="25">R76*$S$9/$F$6</f>
        <v>0</v>
      </c>
      <c r="T76" s="87"/>
      <c r="U76" s="43"/>
      <c r="V76" s="110">
        <f t="shared" ref="V76:V102" si="26">U76*$V$9/$F$6</f>
        <v>0</v>
      </c>
      <c r="W76" s="87"/>
      <c r="X76" s="43"/>
      <c r="Y76" s="110">
        <f t="shared" ref="Y76:Y102" si="27">X76*$Y$9/$F$6</f>
        <v>0</v>
      </c>
      <c r="Z76" s="87"/>
      <c r="AA76" s="43"/>
      <c r="AB76" s="110">
        <f t="shared" ref="AB76:AB102" si="28">AA76*$AB$9/$F$6</f>
        <v>0</v>
      </c>
      <c r="AC76" s="87"/>
      <c r="AD76" s="43"/>
      <c r="AE76" s="110">
        <f t="shared" ref="AE76:AE102" si="29">AD76*$AE$9/$F$6</f>
        <v>0</v>
      </c>
      <c r="AF76" s="87"/>
      <c r="AG76" s="43"/>
      <c r="AH76" s="110">
        <f t="shared" ref="AH76:AH102" si="30">AG76*$AH$9/$F$6</f>
        <v>0</v>
      </c>
      <c r="AI76" s="87"/>
      <c r="AL76" s="87"/>
      <c r="AM76" s="87"/>
      <c r="AN76" s="87"/>
    </row>
    <row r="77" spans="3:40" x14ac:dyDescent="0.25">
      <c r="C77" s="95" t="str">
        <f>'MP Calculations'!D104</f>
        <v>2060-61</v>
      </c>
      <c r="D77" s="110" t="str">
        <f>IF(LEFT($C77,4)*1&lt;LEFT('General inputs'!$I$16,4)+'General inputs'!$H$38,SUM(G77,J77,M77,P77,S77,V77,Y77,AB77,AE77,AH77),"")</f>
        <v/>
      </c>
      <c r="E77" s="87"/>
      <c r="F77" s="43"/>
      <c r="G77" s="110">
        <f t="shared" si="21"/>
        <v>0</v>
      </c>
      <c r="H77" s="87"/>
      <c r="I77" s="43"/>
      <c r="J77" s="110">
        <f t="shared" si="22"/>
        <v>0</v>
      </c>
      <c r="K77" s="87"/>
      <c r="L77" s="43"/>
      <c r="M77" s="110">
        <f t="shared" si="23"/>
        <v>0</v>
      </c>
      <c r="N77" s="87"/>
      <c r="O77" s="43"/>
      <c r="P77" s="110">
        <f t="shared" si="24"/>
        <v>0</v>
      </c>
      <c r="Q77" s="87"/>
      <c r="R77" s="43"/>
      <c r="S77" s="110">
        <f t="shared" si="25"/>
        <v>0</v>
      </c>
      <c r="T77" s="87"/>
      <c r="U77" s="43"/>
      <c r="V77" s="110">
        <f t="shared" si="26"/>
        <v>0</v>
      </c>
      <c r="W77" s="87"/>
      <c r="X77" s="43"/>
      <c r="Y77" s="110">
        <f t="shared" si="27"/>
        <v>0</v>
      </c>
      <c r="Z77" s="87"/>
      <c r="AA77" s="43"/>
      <c r="AB77" s="110">
        <f t="shared" si="28"/>
        <v>0</v>
      </c>
      <c r="AC77" s="87"/>
      <c r="AD77" s="43"/>
      <c r="AE77" s="110">
        <f t="shared" si="29"/>
        <v>0</v>
      </c>
      <c r="AF77" s="87"/>
      <c r="AG77" s="43"/>
      <c r="AH77" s="110">
        <f t="shared" si="30"/>
        <v>0</v>
      </c>
      <c r="AI77" s="87"/>
      <c r="AL77" s="87"/>
      <c r="AM77" s="87"/>
      <c r="AN77" s="87"/>
    </row>
    <row r="78" spans="3:40" x14ac:dyDescent="0.25">
      <c r="C78" s="95" t="str">
        <f>'MP Calculations'!D105</f>
        <v>2061-62</v>
      </c>
      <c r="D78" s="110" t="str">
        <f>IF(LEFT($C78,4)*1&lt;LEFT('General inputs'!$I$16,4)+'General inputs'!$H$38,SUM(G78,J78,M78,P78,S78,V78,Y78,AB78,AE78,AH78),"")</f>
        <v/>
      </c>
      <c r="E78" s="87"/>
      <c r="F78" s="43"/>
      <c r="G78" s="110">
        <f t="shared" si="21"/>
        <v>0</v>
      </c>
      <c r="H78" s="87"/>
      <c r="I78" s="43"/>
      <c r="J78" s="110">
        <f t="shared" si="22"/>
        <v>0</v>
      </c>
      <c r="K78" s="87"/>
      <c r="L78" s="43"/>
      <c r="M78" s="110">
        <f t="shared" si="23"/>
        <v>0</v>
      </c>
      <c r="N78" s="87"/>
      <c r="O78" s="43"/>
      <c r="P78" s="110">
        <f t="shared" si="24"/>
        <v>0</v>
      </c>
      <c r="Q78" s="87"/>
      <c r="R78" s="43"/>
      <c r="S78" s="110">
        <f t="shared" si="25"/>
        <v>0</v>
      </c>
      <c r="T78" s="87"/>
      <c r="U78" s="43"/>
      <c r="V78" s="110">
        <f t="shared" si="26"/>
        <v>0</v>
      </c>
      <c r="W78" s="87"/>
      <c r="X78" s="43"/>
      <c r="Y78" s="110">
        <f t="shared" si="27"/>
        <v>0</v>
      </c>
      <c r="Z78" s="87"/>
      <c r="AA78" s="43"/>
      <c r="AB78" s="110">
        <f t="shared" si="28"/>
        <v>0</v>
      </c>
      <c r="AC78" s="87"/>
      <c r="AD78" s="43"/>
      <c r="AE78" s="110">
        <f t="shared" si="29"/>
        <v>0</v>
      </c>
      <c r="AF78" s="87"/>
      <c r="AG78" s="43"/>
      <c r="AH78" s="110">
        <f t="shared" si="30"/>
        <v>0</v>
      </c>
      <c r="AI78" s="87"/>
      <c r="AL78" s="87"/>
      <c r="AM78" s="87"/>
      <c r="AN78" s="87"/>
    </row>
    <row r="79" spans="3:40" x14ac:dyDescent="0.25">
      <c r="C79" s="95" t="str">
        <f>'MP Calculations'!D106</f>
        <v>2062-63</v>
      </c>
      <c r="D79" s="110" t="str">
        <f>IF(LEFT($C79,4)*1&lt;LEFT('General inputs'!$I$16,4)+'General inputs'!$H$38,SUM(G79,J79,M79,P79,S79,V79,Y79,AB79,AE79,AH79),"")</f>
        <v/>
      </c>
      <c r="E79" s="87"/>
      <c r="F79" s="43"/>
      <c r="G79" s="110">
        <f t="shared" si="21"/>
        <v>0</v>
      </c>
      <c r="H79" s="87"/>
      <c r="I79" s="43"/>
      <c r="J79" s="110">
        <f t="shared" si="22"/>
        <v>0</v>
      </c>
      <c r="K79" s="87"/>
      <c r="L79" s="43"/>
      <c r="M79" s="110">
        <f t="shared" si="23"/>
        <v>0</v>
      </c>
      <c r="N79" s="87"/>
      <c r="O79" s="43"/>
      <c r="P79" s="110">
        <f t="shared" si="24"/>
        <v>0</v>
      </c>
      <c r="Q79" s="87"/>
      <c r="R79" s="43"/>
      <c r="S79" s="110">
        <f t="shared" si="25"/>
        <v>0</v>
      </c>
      <c r="T79" s="87"/>
      <c r="U79" s="43"/>
      <c r="V79" s="110">
        <f t="shared" si="26"/>
        <v>0</v>
      </c>
      <c r="W79" s="87"/>
      <c r="X79" s="43"/>
      <c r="Y79" s="110">
        <f t="shared" si="27"/>
        <v>0</v>
      </c>
      <c r="Z79" s="87"/>
      <c r="AA79" s="43"/>
      <c r="AB79" s="110">
        <f t="shared" si="28"/>
        <v>0</v>
      </c>
      <c r="AC79" s="87"/>
      <c r="AD79" s="43"/>
      <c r="AE79" s="110">
        <f t="shared" si="29"/>
        <v>0</v>
      </c>
      <c r="AF79" s="87"/>
      <c r="AG79" s="43"/>
      <c r="AH79" s="110">
        <f t="shared" si="30"/>
        <v>0</v>
      </c>
      <c r="AI79" s="87"/>
      <c r="AL79" s="87"/>
      <c r="AM79" s="87"/>
      <c r="AN79" s="87"/>
    </row>
    <row r="80" spans="3:40" x14ac:dyDescent="0.25">
      <c r="C80" s="95" t="str">
        <f>'MP Calculations'!D107</f>
        <v>2063-64</v>
      </c>
      <c r="D80" s="110" t="str">
        <f>IF(LEFT($C80,4)*1&lt;LEFT('General inputs'!$I$16,4)+'General inputs'!$H$38,SUM(G80,J80,M80,P80,S80,V80,Y80,AB80,AE80,AH80),"")</f>
        <v/>
      </c>
      <c r="E80" s="87"/>
      <c r="F80" s="43"/>
      <c r="G80" s="110">
        <f t="shared" si="21"/>
        <v>0</v>
      </c>
      <c r="H80" s="87"/>
      <c r="I80" s="43"/>
      <c r="J80" s="110">
        <f t="shared" si="22"/>
        <v>0</v>
      </c>
      <c r="K80" s="87"/>
      <c r="L80" s="43"/>
      <c r="M80" s="110">
        <f t="shared" si="23"/>
        <v>0</v>
      </c>
      <c r="N80" s="87"/>
      <c r="O80" s="43"/>
      <c r="P80" s="110">
        <f t="shared" si="24"/>
        <v>0</v>
      </c>
      <c r="Q80" s="87"/>
      <c r="R80" s="43"/>
      <c r="S80" s="110">
        <f t="shared" si="25"/>
        <v>0</v>
      </c>
      <c r="T80" s="87"/>
      <c r="U80" s="43"/>
      <c r="V80" s="110">
        <f t="shared" si="26"/>
        <v>0</v>
      </c>
      <c r="W80" s="87"/>
      <c r="X80" s="43"/>
      <c r="Y80" s="110">
        <f t="shared" si="27"/>
        <v>0</v>
      </c>
      <c r="Z80" s="87"/>
      <c r="AA80" s="43"/>
      <c r="AB80" s="110">
        <f t="shared" si="28"/>
        <v>0</v>
      </c>
      <c r="AC80" s="87"/>
      <c r="AD80" s="43"/>
      <c r="AE80" s="110">
        <f t="shared" si="29"/>
        <v>0</v>
      </c>
      <c r="AF80" s="87"/>
      <c r="AG80" s="43"/>
      <c r="AH80" s="110">
        <f t="shared" si="30"/>
        <v>0</v>
      </c>
      <c r="AI80" s="87"/>
      <c r="AL80" s="87"/>
      <c r="AM80" s="87"/>
      <c r="AN80" s="87"/>
    </row>
    <row r="81" spans="3:40" x14ac:dyDescent="0.25">
      <c r="C81" s="95" t="str">
        <f>'MP Calculations'!D108</f>
        <v>2064-65</v>
      </c>
      <c r="D81" s="110" t="str">
        <f>IF(LEFT($C81,4)*1&lt;LEFT('General inputs'!$I$16,4)+'General inputs'!$H$38,SUM(G81,J81,M81,P81,S81,V81,Y81,AB81,AE81,AH81),"")</f>
        <v/>
      </c>
      <c r="E81" s="87"/>
      <c r="F81" s="43"/>
      <c r="G81" s="110">
        <f t="shared" si="21"/>
        <v>0</v>
      </c>
      <c r="H81" s="87"/>
      <c r="I81" s="43"/>
      <c r="J81" s="110">
        <f t="shared" si="22"/>
        <v>0</v>
      </c>
      <c r="K81" s="87"/>
      <c r="L81" s="43"/>
      <c r="M81" s="110">
        <f t="shared" si="23"/>
        <v>0</v>
      </c>
      <c r="N81" s="87"/>
      <c r="O81" s="43"/>
      <c r="P81" s="110">
        <f t="shared" si="24"/>
        <v>0</v>
      </c>
      <c r="Q81" s="87"/>
      <c r="R81" s="43"/>
      <c r="S81" s="110">
        <f t="shared" si="25"/>
        <v>0</v>
      </c>
      <c r="T81" s="87"/>
      <c r="U81" s="43"/>
      <c r="V81" s="110">
        <f t="shared" si="26"/>
        <v>0</v>
      </c>
      <c r="W81" s="87"/>
      <c r="X81" s="43"/>
      <c r="Y81" s="110">
        <f t="shared" si="27"/>
        <v>0</v>
      </c>
      <c r="Z81" s="87"/>
      <c r="AA81" s="43"/>
      <c r="AB81" s="110">
        <f t="shared" si="28"/>
        <v>0</v>
      </c>
      <c r="AC81" s="87"/>
      <c r="AD81" s="43"/>
      <c r="AE81" s="110">
        <f t="shared" si="29"/>
        <v>0</v>
      </c>
      <c r="AF81" s="87"/>
      <c r="AG81" s="43"/>
      <c r="AH81" s="110">
        <f t="shared" si="30"/>
        <v>0</v>
      </c>
      <c r="AI81" s="87"/>
      <c r="AL81" s="87"/>
      <c r="AM81" s="87"/>
      <c r="AN81" s="87"/>
    </row>
    <row r="82" spans="3:40" x14ac:dyDescent="0.25">
      <c r="C82" s="95" t="str">
        <f>'MP Calculations'!D109</f>
        <v>2065-66</v>
      </c>
      <c r="D82" s="110" t="str">
        <f>IF(LEFT($C82,4)*1&lt;LEFT('General inputs'!$I$16,4)+'General inputs'!$H$38,SUM(G82,J82,M82,P82,S82,V82,Y82,AB82,AE82,AH82),"")</f>
        <v/>
      </c>
      <c r="E82" s="87"/>
      <c r="F82" s="43"/>
      <c r="G82" s="110">
        <f t="shared" si="21"/>
        <v>0</v>
      </c>
      <c r="H82" s="87"/>
      <c r="I82" s="43"/>
      <c r="J82" s="110">
        <f t="shared" si="22"/>
        <v>0</v>
      </c>
      <c r="K82" s="87"/>
      <c r="L82" s="43"/>
      <c r="M82" s="110">
        <f t="shared" si="23"/>
        <v>0</v>
      </c>
      <c r="N82" s="87"/>
      <c r="O82" s="43"/>
      <c r="P82" s="110">
        <f t="shared" si="24"/>
        <v>0</v>
      </c>
      <c r="Q82" s="87"/>
      <c r="R82" s="43"/>
      <c r="S82" s="110">
        <f t="shared" si="25"/>
        <v>0</v>
      </c>
      <c r="T82" s="87"/>
      <c r="U82" s="43"/>
      <c r="V82" s="110">
        <f t="shared" si="26"/>
        <v>0</v>
      </c>
      <c r="W82" s="87"/>
      <c r="X82" s="43"/>
      <c r="Y82" s="110">
        <f t="shared" si="27"/>
        <v>0</v>
      </c>
      <c r="Z82" s="87"/>
      <c r="AA82" s="43"/>
      <c r="AB82" s="110">
        <f t="shared" si="28"/>
        <v>0</v>
      </c>
      <c r="AC82" s="87"/>
      <c r="AD82" s="43"/>
      <c r="AE82" s="110">
        <f t="shared" si="29"/>
        <v>0</v>
      </c>
      <c r="AF82" s="87"/>
      <c r="AG82" s="43"/>
      <c r="AH82" s="110">
        <f t="shared" si="30"/>
        <v>0</v>
      </c>
      <c r="AI82" s="87"/>
      <c r="AL82" s="87"/>
      <c r="AM82" s="87"/>
      <c r="AN82" s="87"/>
    </row>
    <row r="83" spans="3:40" x14ac:dyDescent="0.25">
      <c r="C83" s="95" t="str">
        <f>'MP Calculations'!D110</f>
        <v>2066-67</v>
      </c>
      <c r="D83" s="110" t="str">
        <f>IF(LEFT($C83,4)*1&lt;LEFT('General inputs'!$I$16,4)+'General inputs'!$H$38,SUM(G83,J83,M83,P83,S83,V83,Y83,AB83,AE83,AH83),"")</f>
        <v/>
      </c>
      <c r="E83" s="87"/>
      <c r="F83" s="43"/>
      <c r="G83" s="110">
        <f t="shared" si="21"/>
        <v>0</v>
      </c>
      <c r="H83" s="87"/>
      <c r="I83" s="43"/>
      <c r="J83" s="110">
        <f t="shared" si="22"/>
        <v>0</v>
      </c>
      <c r="K83" s="87"/>
      <c r="L83" s="43"/>
      <c r="M83" s="110">
        <f t="shared" si="23"/>
        <v>0</v>
      </c>
      <c r="N83" s="87"/>
      <c r="O83" s="43"/>
      <c r="P83" s="110">
        <f t="shared" si="24"/>
        <v>0</v>
      </c>
      <c r="Q83" s="87"/>
      <c r="R83" s="43"/>
      <c r="S83" s="110">
        <f t="shared" si="25"/>
        <v>0</v>
      </c>
      <c r="T83" s="87"/>
      <c r="U83" s="43"/>
      <c r="V83" s="110">
        <f t="shared" si="26"/>
        <v>0</v>
      </c>
      <c r="W83" s="87"/>
      <c r="X83" s="43"/>
      <c r="Y83" s="110">
        <f t="shared" si="27"/>
        <v>0</v>
      </c>
      <c r="Z83" s="87"/>
      <c r="AA83" s="43"/>
      <c r="AB83" s="110">
        <f t="shared" si="28"/>
        <v>0</v>
      </c>
      <c r="AC83" s="87"/>
      <c r="AD83" s="43"/>
      <c r="AE83" s="110">
        <f t="shared" si="29"/>
        <v>0</v>
      </c>
      <c r="AF83" s="87"/>
      <c r="AG83" s="43"/>
      <c r="AH83" s="110">
        <f t="shared" si="30"/>
        <v>0</v>
      </c>
      <c r="AI83" s="87"/>
      <c r="AL83" s="87"/>
      <c r="AM83" s="87"/>
      <c r="AN83" s="87"/>
    </row>
    <row r="84" spans="3:40" x14ac:dyDescent="0.25">
      <c r="C84" s="95" t="str">
        <f>'MP Calculations'!D111</f>
        <v>2067-68</v>
      </c>
      <c r="D84" s="110" t="str">
        <f>IF(LEFT($C84,4)*1&lt;LEFT('General inputs'!$I$16,4)+'General inputs'!$H$38,SUM(G84,J84,M84,P84,S84,V84,Y84,AB84,AE84,AH84),"")</f>
        <v/>
      </c>
      <c r="E84" s="87"/>
      <c r="F84" s="43"/>
      <c r="G84" s="110">
        <f t="shared" si="21"/>
        <v>0</v>
      </c>
      <c r="H84" s="87"/>
      <c r="I84" s="43"/>
      <c r="J84" s="110">
        <f t="shared" si="22"/>
        <v>0</v>
      </c>
      <c r="K84" s="87"/>
      <c r="L84" s="43"/>
      <c r="M84" s="110">
        <f t="shared" si="23"/>
        <v>0</v>
      </c>
      <c r="N84" s="87"/>
      <c r="O84" s="43"/>
      <c r="P84" s="110">
        <f t="shared" si="24"/>
        <v>0</v>
      </c>
      <c r="Q84" s="87"/>
      <c r="R84" s="43"/>
      <c r="S84" s="110">
        <f t="shared" si="25"/>
        <v>0</v>
      </c>
      <c r="T84" s="87"/>
      <c r="U84" s="43"/>
      <c r="V84" s="110">
        <f t="shared" si="26"/>
        <v>0</v>
      </c>
      <c r="W84" s="87"/>
      <c r="X84" s="43"/>
      <c r="Y84" s="110">
        <f t="shared" si="27"/>
        <v>0</v>
      </c>
      <c r="Z84" s="87"/>
      <c r="AA84" s="43"/>
      <c r="AB84" s="110">
        <f t="shared" si="28"/>
        <v>0</v>
      </c>
      <c r="AC84" s="87"/>
      <c r="AD84" s="43"/>
      <c r="AE84" s="110">
        <f t="shared" si="29"/>
        <v>0</v>
      </c>
      <c r="AF84" s="87"/>
      <c r="AG84" s="43"/>
      <c r="AH84" s="110">
        <f t="shared" si="30"/>
        <v>0</v>
      </c>
      <c r="AI84" s="87"/>
      <c r="AL84" s="87"/>
      <c r="AM84" s="87"/>
      <c r="AN84" s="87"/>
    </row>
    <row r="85" spans="3:40" x14ac:dyDescent="0.25">
      <c r="C85" s="95" t="str">
        <f>'MP Calculations'!D112</f>
        <v>2068-69</v>
      </c>
      <c r="D85" s="110" t="str">
        <f>IF(LEFT($C85,4)*1&lt;LEFT('General inputs'!$I$16,4)+'General inputs'!$H$38,SUM(G85,J85,M85,P85,S85,V85,Y85,AB85,AE85,AH85),"")</f>
        <v/>
      </c>
      <c r="E85" s="87"/>
      <c r="F85" s="43"/>
      <c r="G85" s="110">
        <f t="shared" si="21"/>
        <v>0</v>
      </c>
      <c r="H85" s="87"/>
      <c r="I85" s="43"/>
      <c r="J85" s="110">
        <f t="shared" si="22"/>
        <v>0</v>
      </c>
      <c r="K85" s="87"/>
      <c r="L85" s="43"/>
      <c r="M85" s="110">
        <f t="shared" si="23"/>
        <v>0</v>
      </c>
      <c r="N85" s="87"/>
      <c r="O85" s="43"/>
      <c r="P85" s="110">
        <f t="shared" si="24"/>
        <v>0</v>
      </c>
      <c r="Q85" s="87"/>
      <c r="R85" s="43"/>
      <c r="S85" s="110">
        <f t="shared" si="25"/>
        <v>0</v>
      </c>
      <c r="T85" s="87"/>
      <c r="U85" s="43"/>
      <c r="V85" s="110">
        <f t="shared" si="26"/>
        <v>0</v>
      </c>
      <c r="W85" s="87"/>
      <c r="X85" s="43"/>
      <c r="Y85" s="110">
        <f t="shared" si="27"/>
        <v>0</v>
      </c>
      <c r="Z85" s="87"/>
      <c r="AA85" s="43"/>
      <c r="AB85" s="110">
        <f t="shared" si="28"/>
        <v>0</v>
      </c>
      <c r="AC85" s="87"/>
      <c r="AD85" s="43"/>
      <c r="AE85" s="110">
        <f t="shared" si="29"/>
        <v>0</v>
      </c>
      <c r="AF85" s="87"/>
      <c r="AG85" s="43"/>
      <c r="AH85" s="110">
        <f t="shared" si="30"/>
        <v>0</v>
      </c>
      <c r="AI85" s="87"/>
      <c r="AL85" s="87"/>
      <c r="AM85" s="87"/>
      <c r="AN85" s="87"/>
    </row>
    <row r="86" spans="3:40" x14ac:dyDescent="0.25">
      <c r="C86" s="95" t="str">
        <f>'MP Calculations'!D113</f>
        <v>2069-70</v>
      </c>
      <c r="D86" s="110" t="str">
        <f>IF(LEFT($C86,4)*1&lt;LEFT('General inputs'!$I$16,4)+'General inputs'!$H$38,SUM(G86,J86,M86,P86,S86,V86,Y86,AB86,AE86,AH86),"")</f>
        <v/>
      </c>
      <c r="E86" s="87"/>
      <c r="F86" s="43"/>
      <c r="G86" s="110">
        <f t="shared" si="21"/>
        <v>0</v>
      </c>
      <c r="H86" s="87"/>
      <c r="I86" s="43"/>
      <c r="J86" s="110">
        <f t="shared" si="22"/>
        <v>0</v>
      </c>
      <c r="K86" s="87"/>
      <c r="L86" s="43"/>
      <c r="M86" s="110">
        <f t="shared" si="23"/>
        <v>0</v>
      </c>
      <c r="N86" s="87"/>
      <c r="O86" s="43"/>
      <c r="P86" s="110">
        <f t="shared" si="24"/>
        <v>0</v>
      </c>
      <c r="Q86" s="87"/>
      <c r="R86" s="43"/>
      <c r="S86" s="110">
        <f t="shared" si="25"/>
        <v>0</v>
      </c>
      <c r="T86" s="87"/>
      <c r="U86" s="43"/>
      <c r="V86" s="110">
        <f t="shared" si="26"/>
        <v>0</v>
      </c>
      <c r="W86" s="87"/>
      <c r="X86" s="43"/>
      <c r="Y86" s="110">
        <f t="shared" si="27"/>
        <v>0</v>
      </c>
      <c r="Z86" s="87"/>
      <c r="AA86" s="43"/>
      <c r="AB86" s="110">
        <f t="shared" si="28"/>
        <v>0</v>
      </c>
      <c r="AC86" s="87"/>
      <c r="AD86" s="43"/>
      <c r="AE86" s="110">
        <f t="shared" si="29"/>
        <v>0</v>
      </c>
      <c r="AF86" s="87"/>
      <c r="AG86" s="43"/>
      <c r="AH86" s="110">
        <f t="shared" si="30"/>
        <v>0</v>
      </c>
      <c r="AI86" s="87"/>
      <c r="AL86" s="87"/>
      <c r="AM86" s="87"/>
      <c r="AN86" s="87"/>
    </row>
    <row r="87" spans="3:40" x14ac:dyDescent="0.25">
      <c r="C87" s="95" t="str">
        <f>'MP Calculations'!D114</f>
        <v>2070-71</v>
      </c>
      <c r="D87" s="110" t="str">
        <f>IF(LEFT($C87,4)*1&lt;LEFT('General inputs'!$I$16,4)+'General inputs'!$H$38,SUM(G87,J87,M87,P87,S87,V87,Y87,AB87,AE87,AH87),"")</f>
        <v/>
      </c>
      <c r="E87" s="87"/>
      <c r="F87" s="43"/>
      <c r="G87" s="110">
        <f t="shared" si="21"/>
        <v>0</v>
      </c>
      <c r="H87" s="87"/>
      <c r="I87" s="43"/>
      <c r="J87" s="110">
        <f t="shared" si="22"/>
        <v>0</v>
      </c>
      <c r="K87" s="87"/>
      <c r="L87" s="43"/>
      <c r="M87" s="110">
        <f t="shared" si="23"/>
        <v>0</v>
      </c>
      <c r="N87" s="87"/>
      <c r="O87" s="43"/>
      <c r="P87" s="110">
        <f t="shared" si="24"/>
        <v>0</v>
      </c>
      <c r="Q87" s="87"/>
      <c r="R87" s="43"/>
      <c r="S87" s="110">
        <f t="shared" si="25"/>
        <v>0</v>
      </c>
      <c r="T87" s="87"/>
      <c r="U87" s="43"/>
      <c r="V87" s="110">
        <f t="shared" si="26"/>
        <v>0</v>
      </c>
      <c r="W87" s="87"/>
      <c r="X87" s="43"/>
      <c r="Y87" s="110">
        <f t="shared" si="27"/>
        <v>0</v>
      </c>
      <c r="Z87" s="87"/>
      <c r="AA87" s="43"/>
      <c r="AB87" s="110">
        <f t="shared" si="28"/>
        <v>0</v>
      </c>
      <c r="AC87" s="87"/>
      <c r="AD87" s="43"/>
      <c r="AE87" s="110">
        <f t="shared" si="29"/>
        <v>0</v>
      </c>
      <c r="AF87" s="87"/>
      <c r="AG87" s="43"/>
      <c r="AH87" s="110">
        <f t="shared" si="30"/>
        <v>0</v>
      </c>
      <c r="AI87" s="87"/>
      <c r="AL87" s="87"/>
      <c r="AM87" s="87"/>
      <c r="AN87" s="87"/>
    </row>
    <row r="88" spans="3:40" x14ac:dyDescent="0.25">
      <c r="C88" s="95" t="str">
        <f>'MP Calculations'!D115</f>
        <v>2071-72</v>
      </c>
      <c r="D88" s="110" t="str">
        <f>IF(LEFT($C88,4)*1&lt;LEFT('General inputs'!$I$16,4)+'General inputs'!$H$38,SUM(G88,J88,M88,P88,S88,V88,Y88,AB88,AE88,AH88),"")</f>
        <v/>
      </c>
      <c r="E88" s="87"/>
      <c r="F88" s="43"/>
      <c r="G88" s="110">
        <f t="shared" si="21"/>
        <v>0</v>
      </c>
      <c r="H88" s="87"/>
      <c r="I88" s="43"/>
      <c r="J88" s="110">
        <f t="shared" si="22"/>
        <v>0</v>
      </c>
      <c r="K88" s="87"/>
      <c r="L88" s="43"/>
      <c r="M88" s="110">
        <f t="shared" si="23"/>
        <v>0</v>
      </c>
      <c r="N88" s="87"/>
      <c r="O88" s="43"/>
      <c r="P88" s="110">
        <f t="shared" si="24"/>
        <v>0</v>
      </c>
      <c r="Q88" s="87"/>
      <c r="R88" s="43"/>
      <c r="S88" s="110">
        <f t="shared" si="25"/>
        <v>0</v>
      </c>
      <c r="T88" s="87"/>
      <c r="U88" s="43"/>
      <c r="V88" s="110">
        <f t="shared" si="26"/>
        <v>0</v>
      </c>
      <c r="W88" s="87"/>
      <c r="X88" s="43"/>
      <c r="Y88" s="110">
        <f t="shared" si="27"/>
        <v>0</v>
      </c>
      <c r="Z88" s="87"/>
      <c r="AA88" s="43"/>
      <c r="AB88" s="110">
        <f t="shared" si="28"/>
        <v>0</v>
      </c>
      <c r="AC88" s="87"/>
      <c r="AD88" s="43"/>
      <c r="AE88" s="110">
        <f t="shared" si="29"/>
        <v>0</v>
      </c>
      <c r="AF88" s="87"/>
      <c r="AG88" s="43"/>
      <c r="AH88" s="110">
        <f t="shared" si="30"/>
        <v>0</v>
      </c>
      <c r="AI88" s="87"/>
      <c r="AL88" s="87"/>
      <c r="AM88" s="87"/>
      <c r="AN88" s="87"/>
    </row>
    <row r="89" spans="3:40" x14ac:dyDescent="0.25">
      <c r="C89" s="95" t="str">
        <f>'MP Calculations'!D116</f>
        <v>2072-73</v>
      </c>
      <c r="D89" s="110" t="str">
        <f>IF(LEFT($C89,4)*1&lt;LEFT('General inputs'!$I$16,4)+'General inputs'!$H$38,SUM(G89,J89,M89,P89,S89,V89,Y89,AB89,AE89,AH89),"")</f>
        <v/>
      </c>
      <c r="E89" s="87"/>
      <c r="F89" s="43"/>
      <c r="G89" s="110">
        <f t="shared" si="21"/>
        <v>0</v>
      </c>
      <c r="H89" s="87"/>
      <c r="I89" s="43"/>
      <c r="J89" s="110">
        <f t="shared" si="22"/>
        <v>0</v>
      </c>
      <c r="K89" s="87"/>
      <c r="L89" s="43"/>
      <c r="M89" s="110">
        <f t="shared" si="23"/>
        <v>0</v>
      </c>
      <c r="N89" s="87"/>
      <c r="O89" s="43"/>
      <c r="P89" s="110">
        <f t="shared" si="24"/>
        <v>0</v>
      </c>
      <c r="Q89" s="87"/>
      <c r="R89" s="43"/>
      <c r="S89" s="110">
        <f t="shared" si="25"/>
        <v>0</v>
      </c>
      <c r="T89" s="87"/>
      <c r="U89" s="43"/>
      <c r="V89" s="110">
        <f t="shared" si="26"/>
        <v>0</v>
      </c>
      <c r="W89" s="87"/>
      <c r="X89" s="43"/>
      <c r="Y89" s="110">
        <f t="shared" si="27"/>
        <v>0</v>
      </c>
      <c r="Z89" s="87"/>
      <c r="AA89" s="43"/>
      <c r="AB89" s="110">
        <f t="shared" si="28"/>
        <v>0</v>
      </c>
      <c r="AC89" s="87"/>
      <c r="AD89" s="43"/>
      <c r="AE89" s="110">
        <f t="shared" si="29"/>
        <v>0</v>
      </c>
      <c r="AF89" s="87"/>
      <c r="AG89" s="43"/>
      <c r="AH89" s="110">
        <f t="shared" si="30"/>
        <v>0</v>
      </c>
      <c r="AI89" s="87"/>
      <c r="AL89" s="87"/>
      <c r="AM89" s="87"/>
      <c r="AN89" s="87"/>
    </row>
    <row r="90" spans="3:40" x14ac:dyDescent="0.25">
      <c r="C90" s="95" t="str">
        <f>'MP Calculations'!D117</f>
        <v>2073-74</v>
      </c>
      <c r="D90" s="110" t="str">
        <f>IF(LEFT($C90,4)*1&lt;LEFT('General inputs'!$I$16,4)+'General inputs'!$H$38,SUM(G90,J90,M90,P90,S90,V90,Y90,AB90,AE90,AH90),"")</f>
        <v/>
      </c>
      <c r="E90" s="87"/>
      <c r="F90" s="43"/>
      <c r="G90" s="110">
        <f t="shared" si="21"/>
        <v>0</v>
      </c>
      <c r="H90" s="87"/>
      <c r="I90" s="43"/>
      <c r="J90" s="110">
        <f t="shared" si="22"/>
        <v>0</v>
      </c>
      <c r="K90" s="87"/>
      <c r="L90" s="43"/>
      <c r="M90" s="110">
        <f t="shared" si="23"/>
        <v>0</v>
      </c>
      <c r="N90" s="87"/>
      <c r="O90" s="43"/>
      <c r="P90" s="110">
        <f t="shared" si="24"/>
        <v>0</v>
      </c>
      <c r="Q90" s="87"/>
      <c r="R90" s="43"/>
      <c r="S90" s="110">
        <f t="shared" si="25"/>
        <v>0</v>
      </c>
      <c r="T90" s="87"/>
      <c r="U90" s="43"/>
      <c r="V90" s="110">
        <f t="shared" si="26"/>
        <v>0</v>
      </c>
      <c r="W90" s="87"/>
      <c r="X90" s="43"/>
      <c r="Y90" s="110">
        <f t="shared" si="27"/>
        <v>0</v>
      </c>
      <c r="Z90" s="87"/>
      <c r="AA90" s="43"/>
      <c r="AB90" s="110">
        <f t="shared" si="28"/>
        <v>0</v>
      </c>
      <c r="AC90" s="87"/>
      <c r="AD90" s="43"/>
      <c r="AE90" s="110">
        <f t="shared" si="29"/>
        <v>0</v>
      </c>
      <c r="AF90" s="87"/>
      <c r="AG90" s="43"/>
      <c r="AH90" s="110">
        <f t="shared" si="30"/>
        <v>0</v>
      </c>
      <c r="AI90" s="87"/>
      <c r="AL90" s="87"/>
      <c r="AM90" s="87"/>
      <c r="AN90" s="87"/>
    </row>
    <row r="91" spans="3:40" x14ac:dyDescent="0.25">
      <c r="C91" s="95" t="str">
        <f>'MP Calculations'!D118</f>
        <v>2074-75</v>
      </c>
      <c r="D91" s="110" t="str">
        <f>IF(LEFT($C91,4)*1&lt;LEFT('General inputs'!$I$16,4)+'General inputs'!$H$38,SUM(G91,J91,M91,P91,S91,V91,Y91,AB91,AE91,AH91),"")</f>
        <v/>
      </c>
      <c r="E91" s="87"/>
      <c r="F91" s="43"/>
      <c r="G91" s="110">
        <f t="shared" si="21"/>
        <v>0</v>
      </c>
      <c r="H91" s="87"/>
      <c r="I91" s="43"/>
      <c r="J91" s="110">
        <f t="shared" si="22"/>
        <v>0</v>
      </c>
      <c r="K91" s="87"/>
      <c r="L91" s="43"/>
      <c r="M91" s="110">
        <f t="shared" si="23"/>
        <v>0</v>
      </c>
      <c r="N91" s="87"/>
      <c r="O91" s="43"/>
      <c r="P91" s="110">
        <f t="shared" si="24"/>
        <v>0</v>
      </c>
      <c r="Q91" s="87"/>
      <c r="R91" s="43"/>
      <c r="S91" s="110">
        <f t="shared" si="25"/>
        <v>0</v>
      </c>
      <c r="T91" s="87"/>
      <c r="U91" s="43"/>
      <c r="V91" s="110">
        <f t="shared" si="26"/>
        <v>0</v>
      </c>
      <c r="W91" s="87"/>
      <c r="X91" s="43"/>
      <c r="Y91" s="110">
        <f t="shared" si="27"/>
        <v>0</v>
      </c>
      <c r="Z91" s="87"/>
      <c r="AA91" s="43"/>
      <c r="AB91" s="110">
        <f t="shared" si="28"/>
        <v>0</v>
      </c>
      <c r="AC91" s="87"/>
      <c r="AD91" s="43"/>
      <c r="AE91" s="110">
        <f t="shared" si="29"/>
        <v>0</v>
      </c>
      <c r="AF91" s="87"/>
      <c r="AG91" s="43"/>
      <c r="AH91" s="110">
        <f t="shared" si="30"/>
        <v>0</v>
      </c>
      <c r="AI91" s="87"/>
      <c r="AL91" s="87"/>
      <c r="AM91" s="87"/>
      <c r="AN91" s="87"/>
    </row>
    <row r="92" spans="3:40" x14ac:dyDescent="0.25">
      <c r="C92" s="95" t="str">
        <f>'MP Calculations'!D119</f>
        <v>2075-76</v>
      </c>
      <c r="D92" s="110" t="str">
        <f>IF(LEFT($C92,4)*1&lt;LEFT('General inputs'!$I$16,4)+'General inputs'!$H$38,SUM(G92,J92,M92,P92,S92,V92,Y92,AB92,AE92,AH92),"")</f>
        <v/>
      </c>
      <c r="E92" s="87"/>
      <c r="F92" s="43"/>
      <c r="G92" s="110">
        <f t="shared" si="21"/>
        <v>0</v>
      </c>
      <c r="H92" s="87"/>
      <c r="I92" s="43"/>
      <c r="J92" s="110">
        <f t="shared" si="22"/>
        <v>0</v>
      </c>
      <c r="K92" s="87"/>
      <c r="L92" s="43"/>
      <c r="M92" s="110">
        <f t="shared" si="23"/>
        <v>0</v>
      </c>
      <c r="N92" s="87"/>
      <c r="O92" s="43"/>
      <c r="P92" s="110">
        <f t="shared" si="24"/>
        <v>0</v>
      </c>
      <c r="Q92" s="87"/>
      <c r="R92" s="43"/>
      <c r="S92" s="110">
        <f t="shared" si="25"/>
        <v>0</v>
      </c>
      <c r="T92" s="87"/>
      <c r="U92" s="43"/>
      <c r="V92" s="110">
        <f t="shared" si="26"/>
        <v>0</v>
      </c>
      <c r="W92" s="87"/>
      <c r="X92" s="43"/>
      <c r="Y92" s="110">
        <f t="shared" si="27"/>
        <v>0</v>
      </c>
      <c r="Z92" s="87"/>
      <c r="AA92" s="43"/>
      <c r="AB92" s="110">
        <f t="shared" si="28"/>
        <v>0</v>
      </c>
      <c r="AC92" s="87"/>
      <c r="AD92" s="43"/>
      <c r="AE92" s="110">
        <f t="shared" si="29"/>
        <v>0</v>
      </c>
      <c r="AF92" s="87"/>
      <c r="AG92" s="43"/>
      <c r="AH92" s="110">
        <f t="shared" si="30"/>
        <v>0</v>
      </c>
      <c r="AI92" s="87"/>
      <c r="AL92" s="87"/>
      <c r="AM92" s="87"/>
      <c r="AN92" s="87"/>
    </row>
    <row r="93" spans="3:40" x14ac:dyDescent="0.25">
      <c r="C93" s="95" t="str">
        <f>'MP Calculations'!D120</f>
        <v>2076-77</v>
      </c>
      <c r="D93" s="110" t="str">
        <f>IF(LEFT($C93,4)*1&lt;LEFT('General inputs'!$I$16,4)+'General inputs'!$H$38,SUM(G93,J93,M93,P93,S93,V93,Y93,AB93,AE93,AH93),"")</f>
        <v/>
      </c>
      <c r="E93" s="87"/>
      <c r="F93" s="43"/>
      <c r="G93" s="110">
        <f t="shared" si="21"/>
        <v>0</v>
      </c>
      <c r="H93" s="87"/>
      <c r="I93" s="43"/>
      <c r="J93" s="110">
        <f t="shared" si="22"/>
        <v>0</v>
      </c>
      <c r="K93" s="87"/>
      <c r="L93" s="43"/>
      <c r="M93" s="110">
        <f t="shared" si="23"/>
        <v>0</v>
      </c>
      <c r="N93" s="87"/>
      <c r="O93" s="43"/>
      <c r="P93" s="110">
        <f t="shared" si="24"/>
        <v>0</v>
      </c>
      <c r="Q93" s="87"/>
      <c r="R93" s="43"/>
      <c r="S93" s="110">
        <f t="shared" si="25"/>
        <v>0</v>
      </c>
      <c r="T93" s="87"/>
      <c r="U93" s="43"/>
      <c r="V93" s="110">
        <f t="shared" si="26"/>
        <v>0</v>
      </c>
      <c r="W93" s="87"/>
      <c r="X93" s="43"/>
      <c r="Y93" s="110">
        <f t="shared" si="27"/>
        <v>0</v>
      </c>
      <c r="Z93" s="87"/>
      <c r="AA93" s="43"/>
      <c r="AB93" s="110">
        <f t="shared" si="28"/>
        <v>0</v>
      </c>
      <c r="AC93" s="87"/>
      <c r="AD93" s="43"/>
      <c r="AE93" s="110">
        <f t="shared" si="29"/>
        <v>0</v>
      </c>
      <c r="AF93" s="87"/>
      <c r="AG93" s="43"/>
      <c r="AH93" s="110">
        <f t="shared" si="30"/>
        <v>0</v>
      </c>
      <c r="AI93" s="87"/>
      <c r="AL93" s="87"/>
      <c r="AM93" s="87"/>
      <c r="AN93" s="87"/>
    </row>
    <row r="94" spans="3:40" x14ac:dyDescent="0.25">
      <c r="C94" s="95" t="str">
        <f>'MP Calculations'!D121</f>
        <v>2077-78</v>
      </c>
      <c r="D94" s="110" t="str">
        <f>IF(LEFT($C94,4)*1&lt;LEFT('General inputs'!$I$16,4)+'General inputs'!$H$38,SUM(G94,J94,M94,P94,S94,V94,Y94,AB94,AE94,AH94),"")</f>
        <v/>
      </c>
      <c r="E94" s="87"/>
      <c r="F94" s="43"/>
      <c r="G94" s="110">
        <f t="shared" si="21"/>
        <v>0</v>
      </c>
      <c r="H94" s="87"/>
      <c r="I94" s="43"/>
      <c r="J94" s="110">
        <f t="shared" si="22"/>
        <v>0</v>
      </c>
      <c r="K94" s="87"/>
      <c r="L94" s="43"/>
      <c r="M94" s="110">
        <f t="shared" si="23"/>
        <v>0</v>
      </c>
      <c r="N94" s="87"/>
      <c r="O94" s="43"/>
      <c r="P94" s="110">
        <f t="shared" si="24"/>
        <v>0</v>
      </c>
      <c r="Q94" s="87"/>
      <c r="R94" s="43"/>
      <c r="S94" s="110">
        <f t="shared" si="25"/>
        <v>0</v>
      </c>
      <c r="T94" s="87"/>
      <c r="U94" s="43"/>
      <c r="V94" s="110">
        <f t="shared" si="26"/>
        <v>0</v>
      </c>
      <c r="W94" s="87"/>
      <c r="X94" s="43"/>
      <c r="Y94" s="110">
        <f t="shared" si="27"/>
        <v>0</v>
      </c>
      <c r="Z94" s="87"/>
      <c r="AA94" s="43"/>
      <c r="AB94" s="110">
        <f t="shared" si="28"/>
        <v>0</v>
      </c>
      <c r="AC94" s="87"/>
      <c r="AD94" s="43"/>
      <c r="AE94" s="110">
        <f t="shared" si="29"/>
        <v>0</v>
      </c>
      <c r="AF94" s="87"/>
      <c r="AG94" s="43"/>
      <c r="AH94" s="110">
        <f t="shared" si="30"/>
        <v>0</v>
      </c>
      <c r="AI94" s="87"/>
      <c r="AL94" s="87"/>
      <c r="AM94" s="87"/>
      <c r="AN94" s="87"/>
    </row>
    <row r="95" spans="3:40" x14ac:dyDescent="0.25">
      <c r="C95" s="95" t="str">
        <f>'MP Calculations'!D122</f>
        <v>2078-79</v>
      </c>
      <c r="D95" s="110" t="str">
        <f>IF(LEFT($C95,4)*1&lt;LEFT('General inputs'!$I$16,4)+'General inputs'!$H$38,SUM(G95,J95,M95,P95,S95,V95,Y95,AB95,AE95,AH95),"")</f>
        <v/>
      </c>
      <c r="E95" s="87"/>
      <c r="F95" s="43"/>
      <c r="G95" s="110">
        <f t="shared" si="21"/>
        <v>0</v>
      </c>
      <c r="H95" s="87"/>
      <c r="I95" s="43"/>
      <c r="J95" s="110">
        <f t="shared" si="22"/>
        <v>0</v>
      </c>
      <c r="K95" s="87"/>
      <c r="L95" s="43"/>
      <c r="M95" s="110">
        <f t="shared" si="23"/>
        <v>0</v>
      </c>
      <c r="N95" s="87"/>
      <c r="O95" s="43"/>
      <c r="P95" s="110">
        <f t="shared" si="24"/>
        <v>0</v>
      </c>
      <c r="Q95" s="87"/>
      <c r="R95" s="43"/>
      <c r="S95" s="110">
        <f t="shared" si="25"/>
        <v>0</v>
      </c>
      <c r="T95" s="87"/>
      <c r="U95" s="43"/>
      <c r="V95" s="110">
        <f t="shared" si="26"/>
        <v>0</v>
      </c>
      <c r="W95" s="87"/>
      <c r="X95" s="43"/>
      <c r="Y95" s="110">
        <f t="shared" si="27"/>
        <v>0</v>
      </c>
      <c r="Z95" s="87"/>
      <c r="AA95" s="43"/>
      <c r="AB95" s="110">
        <f t="shared" si="28"/>
        <v>0</v>
      </c>
      <c r="AC95" s="87"/>
      <c r="AD95" s="43"/>
      <c r="AE95" s="110">
        <f t="shared" si="29"/>
        <v>0</v>
      </c>
      <c r="AF95" s="87"/>
      <c r="AG95" s="43"/>
      <c r="AH95" s="110">
        <f t="shared" si="30"/>
        <v>0</v>
      </c>
      <c r="AI95" s="87"/>
      <c r="AL95" s="87"/>
      <c r="AM95" s="87"/>
      <c r="AN95" s="87"/>
    </row>
    <row r="96" spans="3:40" x14ac:dyDescent="0.25">
      <c r="C96" s="95" t="str">
        <f>'MP Calculations'!D123</f>
        <v>2079-80</v>
      </c>
      <c r="D96" s="110" t="str">
        <f>IF(LEFT($C96,4)*1&lt;LEFT('General inputs'!$I$16,4)+'General inputs'!$H$38,SUM(G96,J96,M96,P96,S96,V96,Y96,AB96,AE96,AH96),"")</f>
        <v/>
      </c>
      <c r="E96" s="87"/>
      <c r="F96" s="43"/>
      <c r="G96" s="110">
        <f t="shared" si="21"/>
        <v>0</v>
      </c>
      <c r="H96" s="87"/>
      <c r="I96" s="43"/>
      <c r="J96" s="110">
        <f t="shared" si="22"/>
        <v>0</v>
      </c>
      <c r="K96" s="87"/>
      <c r="L96" s="43"/>
      <c r="M96" s="110">
        <f t="shared" si="23"/>
        <v>0</v>
      </c>
      <c r="N96" s="87"/>
      <c r="O96" s="43"/>
      <c r="P96" s="110">
        <f t="shared" si="24"/>
        <v>0</v>
      </c>
      <c r="Q96" s="87"/>
      <c r="R96" s="43"/>
      <c r="S96" s="110">
        <f t="shared" si="25"/>
        <v>0</v>
      </c>
      <c r="T96" s="87"/>
      <c r="U96" s="43"/>
      <c r="V96" s="110">
        <f t="shared" si="26"/>
        <v>0</v>
      </c>
      <c r="W96" s="87"/>
      <c r="X96" s="43"/>
      <c r="Y96" s="110">
        <f t="shared" si="27"/>
        <v>0</v>
      </c>
      <c r="Z96" s="87"/>
      <c r="AA96" s="43"/>
      <c r="AB96" s="110">
        <f t="shared" si="28"/>
        <v>0</v>
      </c>
      <c r="AC96" s="87"/>
      <c r="AD96" s="43"/>
      <c r="AE96" s="110">
        <f t="shared" si="29"/>
        <v>0</v>
      </c>
      <c r="AF96" s="87"/>
      <c r="AG96" s="43"/>
      <c r="AH96" s="110">
        <f t="shared" si="30"/>
        <v>0</v>
      </c>
      <c r="AI96" s="87"/>
      <c r="AL96" s="87"/>
      <c r="AM96" s="87"/>
      <c r="AN96" s="87"/>
    </row>
    <row r="97" spans="3:40" x14ac:dyDescent="0.25">
      <c r="C97" s="95" t="str">
        <f>'MP Calculations'!D124</f>
        <v>2080-81</v>
      </c>
      <c r="D97" s="110" t="str">
        <f>IF(LEFT($C97,4)*1&lt;LEFT('General inputs'!$I$16,4)+'General inputs'!$H$38,SUM(G97,J97,M97,P97,S97,V97,Y97,AB97,AE97,AH97),"")</f>
        <v/>
      </c>
      <c r="E97" s="87"/>
      <c r="F97" s="43"/>
      <c r="G97" s="110">
        <f t="shared" si="21"/>
        <v>0</v>
      </c>
      <c r="H97" s="87"/>
      <c r="I97" s="43"/>
      <c r="J97" s="110">
        <f t="shared" si="22"/>
        <v>0</v>
      </c>
      <c r="K97" s="87"/>
      <c r="L97" s="43"/>
      <c r="M97" s="110">
        <f t="shared" si="23"/>
        <v>0</v>
      </c>
      <c r="N97" s="87"/>
      <c r="O97" s="43"/>
      <c r="P97" s="110">
        <f t="shared" si="24"/>
        <v>0</v>
      </c>
      <c r="Q97" s="87"/>
      <c r="R97" s="43"/>
      <c r="S97" s="110">
        <f t="shared" si="25"/>
        <v>0</v>
      </c>
      <c r="T97" s="87"/>
      <c r="U97" s="43"/>
      <c r="V97" s="110">
        <f t="shared" si="26"/>
        <v>0</v>
      </c>
      <c r="W97" s="87"/>
      <c r="X97" s="43"/>
      <c r="Y97" s="110">
        <f t="shared" si="27"/>
        <v>0</v>
      </c>
      <c r="Z97" s="87"/>
      <c r="AA97" s="43"/>
      <c r="AB97" s="110">
        <f t="shared" si="28"/>
        <v>0</v>
      </c>
      <c r="AC97" s="87"/>
      <c r="AD97" s="43"/>
      <c r="AE97" s="110">
        <f t="shared" si="29"/>
        <v>0</v>
      </c>
      <c r="AF97" s="87"/>
      <c r="AG97" s="43"/>
      <c r="AH97" s="110">
        <f t="shared" si="30"/>
        <v>0</v>
      </c>
      <c r="AI97" s="87"/>
      <c r="AL97" s="87"/>
      <c r="AM97" s="87"/>
      <c r="AN97" s="87"/>
    </row>
    <row r="98" spans="3:40" x14ac:dyDescent="0.25">
      <c r="C98" s="95" t="str">
        <f>'MP Calculations'!D125</f>
        <v>2081-82</v>
      </c>
      <c r="D98" s="110" t="str">
        <f>IF(LEFT($C98,4)*1&lt;LEFT('General inputs'!$I$16,4)+'General inputs'!$H$38,SUM(G98,J98,M98,P98,S98,V98,Y98,AB98,AE98,AH98),"")</f>
        <v/>
      </c>
      <c r="E98" s="87"/>
      <c r="F98" s="43"/>
      <c r="G98" s="110">
        <f t="shared" si="21"/>
        <v>0</v>
      </c>
      <c r="H98" s="87"/>
      <c r="I98" s="43"/>
      <c r="J98" s="110">
        <f t="shared" si="22"/>
        <v>0</v>
      </c>
      <c r="K98" s="87"/>
      <c r="L98" s="43"/>
      <c r="M98" s="110">
        <f t="shared" si="23"/>
        <v>0</v>
      </c>
      <c r="N98" s="87"/>
      <c r="O98" s="43"/>
      <c r="P98" s="110">
        <f t="shared" si="24"/>
        <v>0</v>
      </c>
      <c r="Q98" s="87"/>
      <c r="R98" s="43"/>
      <c r="S98" s="110">
        <f t="shared" si="25"/>
        <v>0</v>
      </c>
      <c r="T98" s="87"/>
      <c r="U98" s="43"/>
      <c r="V98" s="110">
        <f t="shared" si="26"/>
        <v>0</v>
      </c>
      <c r="W98" s="87"/>
      <c r="X98" s="43"/>
      <c r="Y98" s="110">
        <f t="shared" si="27"/>
        <v>0</v>
      </c>
      <c r="Z98" s="87"/>
      <c r="AA98" s="43"/>
      <c r="AB98" s="110">
        <f t="shared" si="28"/>
        <v>0</v>
      </c>
      <c r="AC98" s="87"/>
      <c r="AD98" s="43"/>
      <c r="AE98" s="110">
        <f t="shared" si="29"/>
        <v>0</v>
      </c>
      <c r="AF98" s="87"/>
      <c r="AG98" s="43"/>
      <c r="AH98" s="110">
        <f t="shared" si="30"/>
        <v>0</v>
      </c>
      <c r="AI98" s="87"/>
      <c r="AL98" s="87"/>
      <c r="AM98" s="87"/>
      <c r="AN98" s="87"/>
    </row>
    <row r="99" spans="3:40" x14ac:dyDescent="0.25">
      <c r="C99" s="95" t="str">
        <f>'MP Calculations'!D126</f>
        <v>2082-83</v>
      </c>
      <c r="D99" s="110" t="str">
        <f>IF(LEFT($C99,4)*1&lt;LEFT('General inputs'!$I$16,4)+'General inputs'!$H$38,SUM(G99,J99,M99,P99,S99,V99,Y99,AB99,AE99,AH99),"")</f>
        <v/>
      </c>
      <c r="E99" s="87"/>
      <c r="F99" s="43"/>
      <c r="G99" s="110">
        <f t="shared" si="21"/>
        <v>0</v>
      </c>
      <c r="H99" s="87"/>
      <c r="I99" s="43"/>
      <c r="J99" s="110">
        <f t="shared" si="22"/>
        <v>0</v>
      </c>
      <c r="K99" s="87"/>
      <c r="L99" s="43"/>
      <c r="M99" s="110">
        <f t="shared" si="23"/>
        <v>0</v>
      </c>
      <c r="N99" s="87"/>
      <c r="O99" s="43"/>
      <c r="P99" s="110">
        <f t="shared" si="24"/>
        <v>0</v>
      </c>
      <c r="Q99" s="87"/>
      <c r="R99" s="43"/>
      <c r="S99" s="110">
        <f t="shared" si="25"/>
        <v>0</v>
      </c>
      <c r="T99" s="87"/>
      <c r="U99" s="43"/>
      <c r="V99" s="110">
        <f t="shared" si="26"/>
        <v>0</v>
      </c>
      <c r="W99" s="87"/>
      <c r="X99" s="43"/>
      <c r="Y99" s="110">
        <f t="shared" si="27"/>
        <v>0</v>
      </c>
      <c r="Z99" s="87"/>
      <c r="AA99" s="43"/>
      <c r="AB99" s="110">
        <f t="shared" si="28"/>
        <v>0</v>
      </c>
      <c r="AC99" s="87"/>
      <c r="AD99" s="43"/>
      <c r="AE99" s="110">
        <f t="shared" si="29"/>
        <v>0</v>
      </c>
      <c r="AF99" s="87"/>
      <c r="AG99" s="43"/>
      <c r="AH99" s="110">
        <f t="shared" si="30"/>
        <v>0</v>
      </c>
      <c r="AI99" s="87"/>
      <c r="AL99" s="87"/>
      <c r="AM99" s="87"/>
      <c r="AN99" s="87"/>
    </row>
    <row r="100" spans="3:40" x14ac:dyDescent="0.25">
      <c r="C100" s="95" t="str">
        <f>'MP Calculations'!D127</f>
        <v>2083-84</v>
      </c>
      <c r="D100" s="110" t="str">
        <f>IF(LEFT($C100,4)*1&lt;LEFT('General inputs'!$I$16,4)+'General inputs'!$H$38,SUM(G100,J100,M100,P100,S100,V100,Y100,AB100,AE100,AH100),"")</f>
        <v/>
      </c>
      <c r="E100" s="87"/>
      <c r="F100" s="43"/>
      <c r="G100" s="110">
        <f t="shared" si="21"/>
        <v>0</v>
      </c>
      <c r="H100" s="87"/>
      <c r="I100" s="43"/>
      <c r="J100" s="110">
        <f t="shared" si="22"/>
        <v>0</v>
      </c>
      <c r="K100" s="87"/>
      <c r="L100" s="43"/>
      <c r="M100" s="110">
        <f t="shared" si="23"/>
        <v>0</v>
      </c>
      <c r="N100" s="87"/>
      <c r="O100" s="43"/>
      <c r="P100" s="110">
        <f t="shared" si="24"/>
        <v>0</v>
      </c>
      <c r="Q100" s="87"/>
      <c r="R100" s="43"/>
      <c r="S100" s="110">
        <f t="shared" si="25"/>
        <v>0</v>
      </c>
      <c r="T100" s="87"/>
      <c r="U100" s="43"/>
      <c r="V100" s="110">
        <f t="shared" si="26"/>
        <v>0</v>
      </c>
      <c r="W100" s="87"/>
      <c r="X100" s="43"/>
      <c r="Y100" s="110">
        <f t="shared" si="27"/>
        <v>0</v>
      </c>
      <c r="Z100" s="87"/>
      <c r="AA100" s="43"/>
      <c r="AB100" s="110">
        <f t="shared" si="28"/>
        <v>0</v>
      </c>
      <c r="AC100" s="87"/>
      <c r="AD100" s="43"/>
      <c r="AE100" s="110">
        <f t="shared" si="29"/>
        <v>0</v>
      </c>
      <c r="AF100" s="87"/>
      <c r="AG100" s="43"/>
      <c r="AH100" s="110">
        <f t="shared" si="30"/>
        <v>0</v>
      </c>
      <c r="AI100" s="87"/>
      <c r="AL100" s="87"/>
      <c r="AM100" s="87"/>
      <c r="AN100" s="87"/>
    </row>
    <row r="101" spans="3:40" x14ac:dyDescent="0.25">
      <c r="C101" s="95" t="str">
        <f>'MP Calculations'!D128</f>
        <v>2084-85</v>
      </c>
      <c r="D101" s="110" t="str">
        <f>IF(LEFT($C101,4)*1&lt;LEFT('General inputs'!$I$16,4)+'General inputs'!$H$38,SUM(G101,J101,M101,P101,S101,V101,Y101,AB101,AE101,AH101),"")</f>
        <v/>
      </c>
      <c r="E101" s="87"/>
      <c r="F101" s="43"/>
      <c r="G101" s="110">
        <f t="shared" si="21"/>
        <v>0</v>
      </c>
      <c r="H101" s="87"/>
      <c r="I101" s="43"/>
      <c r="J101" s="110">
        <f t="shared" si="22"/>
        <v>0</v>
      </c>
      <c r="K101" s="87"/>
      <c r="L101" s="43"/>
      <c r="M101" s="110">
        <f t="shared" si="23"/>
        <v>0</v>
      </c>
      <c r="N101" s="87"/>
      <c r="O101" s="43"/>
      <c r="P101" s="110">
        <f t="shared" si="24"/>
        <v>0</v>
      </c>
      <c r="Q101" s="87"/>
      <c r="R101" s="43"/>
      <c r="S101" s="110">
        <f t="shared" si="25"/>
        <v>0</v>
      </c>
      <c r="T101" s="87"/>
      <c r="U101" s="43"/>
      <c r="V101" s="110">
        <f t="shared" si="26"/>
        <v>0</v>
      </c>
      <c r="W101" s="87"/>
      <c r="X101" s="43"/>
      <c r="Y101" s="110">
        <f t="shared" si="27"/>
        <v>0</v>
      </c>
      <c r="Z101" s="87"/>
      <c r="AA101" s="43"/>
      <c r="AB101" s="110">
        <f t="shared" si="28"/>
        <v>0</v>
      </c>
      <c r="AC101" s="87"/>
      <c r="AD101" s="43"/>
      <c r="AE101" s="110">
        <f t="shared" si="29"/>
        <v>0</v>
      </c>
      <c r="AF101" s="87"/>
      <c r="AG101" s="43"/>
      <c r="AH101" s="110">
        <f t="shared" si="30"/>
        <v>0</v>
      </c>
      <c r="AI101" s="87"/>
      <c r="AL101" s="87"/>
      <c r="AM101" s="87"/>
      <c r="AN101" s="87"/>
    </row>
    <row r="102" spans="3:40" x14ac:dyDescent="0.25">
      <c r="C102" s="95" t="str">
        <f>'MP Calculations'!D129</f>
        <v>2085-86</v>
      </c>
      <c r="D102" s="110" t="str">
        <f>IF(LEFT($C102,4)*1&lt;LEFT('General inputs'!$I$16,4)+'General inputs'!$H$38,SUM(G102,J102,M102,P102,S102,V102,Y102,AB102,AE102,AH102),"")</f>
        <v/>
      </c>
      <c r="E102" s="87"/>
      <c r="F102" s="43"/>
      <c r="G102" s="110">
        <f t="shared" si="21"/>
        <v>0</v>
      </c>
      <c r="H102" s="87"/>
      <c r="I102" s="43"/>
      <c r="J102" s="110">
        <f t="shared" si="22"/>
        <v>0</v>
      </c>
      <c r="K102" s="87"/>
      <c r="L102" s="43"/>
      <c r="M102" s="110">
        <f t="shared" si="23"/>
        <v>0</v>
      </c>
      <c r="N102" s="87"/>
      <c r="O102" s="43"/>
      <c r="P102" s="110">
        <f t="shared" si="24"/>
        <v>0</v>
      </c>
      <c r="Q102" s="87"/>
      <c r="R102" s="43"/>
      <c r="S102" s="110">
        <f t="shared" si="25"/>
        <v>0</v>
      </c>
      <c r="T102" s="87"/>
      <c r="U102" s="43"/>
      <c r="V102" s="110">
        <f t="shared" si="26"/>
        <v>0</v>
      </c>
      <c r="W102" s="87"/>
      <c r="X102" s="43"/>
      <c r="Y102" s="110">
        <f t="shared" si="27"/>
        <v>0</v>
      </c>
      <c r="Z102" s="87"/>
      <c r="AA102" s="43"/>
      <c r="AB102" s="110">
        <f t="shared" si="28"/>
        <v>0</v>
      </c>
      <c r="AC102" s="87"/>
      <c r="AD102" s="43"/>
      <c r="AE102" s="110">
        <f t="shared" si="29"/>
        <v>0</v>
      </c>
      <c r="AF102" s="87"/>
      <c r="AG102" s="43"/>
      <c r="AH102" s="110">
        <f t="shared" si="30"/>
        <v>0</v>
      </c>
      <c r="AI102" s="87"/>
      <c r="AL102" s="87"/>
      <c r="AM102" s="87"/>
      <c r="AN102" s="87"/>
    </row>
    <row r="103" spans="3:40" x14ac:dyDescent="0.25">
      <c r="D103" s="49"/>
      <c r="E103" s="1"/>
      <c r="F103" s="49"/>
      <c r="G103" s="49"/>
      <c r="I103" s="49"/>
      <c r="J103" s="49"/>
      <c r="L103" s="49"/>
      <c r="M103" s="49"/>
      <c r="O103" s="49"/>
      <c r="P103" s="49"/>
      <c r="R103" s="49"/>
      <c r="S103" s="49"/>
      <c r="U103" s="49"/>
      <c r="V103" s="49"/>
      <c r="X103" s="49"/>
      <c r="Y103" s="49"/>
      <c r="AA103" s="49"/>
      <c r="AB103" s="49"/>
      <c r="AD103" s="49"/>
      <c r="AE103" s="49"/>
      <c r="AG103" s="49"/>
      <c r="AH103" s="49"/>
    </row>
  </sheetData>
  <mergeCells count="8">
    <mergeCell ref="AD8:AE8"/>
    <mergeCell ref="AG8:AH8"/>
    <mergeCell ref="L8:M8"/>
    <mergeCell ref="O8:P8"/>
    <mergeCell ref="R8:S8"/>
    <mergeCell ref="U8:V8"/>
    <mergeCell ref="X8:Y8"/>
    <mergeCell ref="AA8:AB8"/>
  </mergeCells>
  <dataValidations count="1">
    <dataValidation type="list" allowBlank="1" showInputMessage="1" showErrorMessage="1" sqref="O9 R9 U9 X9 AA9 AD9 AG9 L9" xr:uid="{00000000-0002-0000-0800-000000000000}">
      <formula1>$AJ$12:$AJ$19</formula1>
    </dataValidation>
  </dataValidations>
  <pageMargins left="0.7" right="0.7" top="0.75" bottom="0.75" header="0.3" footer="0.3"/>
  <pageSetup paperSize="9" orientation="portrait" horizontalDpi="200" verticalDpi="200"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49" id="{95E9D61C-41DD-450B-B9C3-0D029F26CA69}">
            <xm:f>LEFT($C12,4)*1&gt;LEFT('General inputs'!$I$16,4)*1+'General inputs'!$H$38-1</xm:f>
            <x14:dxf>
              <fill>
                <patternFill>
                  <bgColor rgb="FFDDDDDD"/>
                </patternFill>
              </fill>
            </x14:dxf>
          </x14:cfRule>
          <xm:sqref>L12:L102 O12:O102 R12:R102 U12:U102 X12:X102 AA12:AA102 AD12:AD102 AG12:AG102 F12:F102 I12:I102</xm:sqref>
        </x14:conditionalFormatting>
        <x14:conditionalFormatting xmlns:xm="http://schemas.microsoft.com/office/excel/2006/main">
          <x14:cfRule type="expression" priority="60" id="{9AED8FE6-1E3F-40FA-BC8D-6814ADDD04B9}">
            <xm:f>LEFT($C12,4)*1&gt;LEFT('General inputs'!$I$16,4)+'General inputs'!$H$38-1</xm:f>
            <x14:dxf>
              <fill>
                <patternFill>
                  <bgColor rgb="FFDDDDDD"/>
                </patternFill>
              </fill>
            </x14:dxf>
          </x14:cfRule>
          <xm:sqref>D12:D102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BD837AF4D90244EBB7BF4FC0E080314" ma:contentTypeVersion="0" ma:contentTypeDescription="Create a new document." ma:contentTypeScope="" ma:versionID="6b18c3ef351336bd42494718ca00a35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324545-89A4-45ED-9194-47AEDC4BF9A7}">
  <ds:schemaRefs>
    <ds:schemaRef ds:uri="http://schemas.microsoft.com/sharepoint/v3/contenttype/forms"/>
  </ds:schemaRefs>
</ds:datastoreItem>
</file>

<file path=customXml/itemProps2.xml><?xml version="1.0" encoding="utf-8"?>
<ds:datastoreItem xmlns:ds="http://schemas.openxmlformats.org/officeDocument/2006/customXml" ds:itemID="{4E92686B-109C-4C2E-9EB9-58A7DA8EFFF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15FC8A10-DF64-4D31-9D29-5023948F9F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Cover</vt:lpstr>
      <vt:lpstr>Journal of changes</vt:lpstr>
      <vt:lpstr>Summary of result</vt:lpstr>
      <vt:lpstr>MP Calculations</vt:lpstr>
      <vt:lpstr>General inputs</vt:lpstr>
      <vt:lpstr>Pre-1996 assets</vt:lpstr>
      <vt:lpstr>Post-1996 commissioned assets</vt:lpstr>
      <vt:lpstr>Uncommissioned assets</vt:lpstr>
      <vt:lpstr>ET inputs</vt:lpstr>
      <vt:lpstr>Reduction amount</vt:lpstr>
      <vt:lpstr>Headwork assets</vt:lpstr>
      <vt:lpstr>Scheme cost allocation</vt:lpstr>
      <vt:lpstr>Asset exclusions</vt:lpstr>
      <vt:lpstr>Cover!Print_Area</vt:lpstr>
    </vt:vector>
  </TitlesOfParts>
  <Company>IPART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McLennan</dc:creator>
  <cp:lastModifiedBy>Greg McLennan</cp:lastModifiedBy>
  <cp:lastPrinted>2016-12-23T00:30:19Z</cp:lastPrinted>
  <dcterms:created xsi:type="dcterms:W3CDTF">2014-05-19T07:21:06Z</dcterms:created>
  <dcterms:modified xsi:type="dcterms:W3CDTF">2022-09-15T04:50:43Z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0x010100FBD837AF4D90244EBB7BF4FC0E080314</vt:lpwstr>
  </property>
</Properties>
</file>