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theme/theme1.xml" ContentType="application/vnd.openxmlformats-officedocument.them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style8.xml" ContentType="application/vnd.ms-office.chart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morrisonlow.sharepoint.com/sites/CompanyData/Projects/Projects - MLC/7782 - Upper Hunter SC - SRV Community Consultation/Reports/SRV Application/"/>
    </mc:Choice>
  </mc:AlternateContent>
  <xr:revisionPtr revIDLastSave="0" documentId="8_{965D2C66-3CE4-41D5-A81B-5FFC0D37025E}" xr6:coauthVersionLast="47" xr6:coauthVersionMax="47" xr10:uidLastSave="{00000000-0000-0000-0000-000000000000}"/>
  <bookViews>
    <workbookView xWindow="28680" yWindow="-300" windowWidth="29040" windowHeight="15720" tabRatio="1000" xr2:uid="{8F824318-DAAB-403D-BA4E-8C7DB4283054}"/>
  </bookViews>
  <sheets>
    <sheet name="Dashboard" sheetId="8" r:id="rId1"/>
    <sheet name="salary ranges" sheetId="1" r:id="rId2"/>
    <sheet name="All suburbs" sheetId="7" r:id="rId3"/>
    <sheet name="Scone affordability" sheetId="3" r:id="rId4"/>
    <sheet name="Murrurundi Affordability" sheetId="5" r:id="rId5"/>
    <sheet name="Aberdeen Affordability" sheetId="6" r:id="rId6"/>
    <sheet name="Merriwa Affordability" sheetId="4" r:id="rId7"/>
    <sheet name="suburb medians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4" l="1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125" i="8" s="1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C125" i="8" s="1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101" i="8" s="1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C101" i="8" s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77" i="8" s="1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C77" i="8" s="1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34" i="3"/>
  <c r="M53" i="8" s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6" i="3"/>
  <c r="C53" i="8" s="1"/>
  <c r="M1" i="7"/>
  <c r="I7" i="7" l="1"/>
  <c r="I8" i="7"/>
  <c r="I9" i="7"/>
  <c r="I10" i="7"/>
  <c r="J11" i="7" s="1"/>
  <c r="I11" i="7"/>
  <c r="I12" i="7"/>
  <c r="I13" i="7"/>
  <c r="I14" i="7"/>
  <c r="I15" i="7"/>
  <c r="I16" i="7"/>
  <c r="I17" i="7"/>
  <c r="I18" i="7"/>
  <c r="I19" i="7"/>
  <c r="I20" i="7"/>
  <c r="I21" i="7"/>
  <c r="I22" i="7"/>
  <c r="I6" i="7"/>
  <c r="AP13" i="1"/>
  <c r="AP14" i="1"/>
  <c r="AP7" i="1"/>
  <c r="M29" i="8" s="1"/>
  <c r="J17" i="7"/>
  <c r="J18" i="7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J35" i="3"/>
  <c r="J36" i="3" s="1"/>
  <c r="L34" i="3"/>
  <c r="J34" i="3"/>
  <c r="L32" i="3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32" i="5"/>
  <c r="L34" i="5"/>
  <c r="J34" i="5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J34" i="4"/>
  <c r="J35" i="4" s="1"/>
  <c r="L32" i="4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34" i="6"/>
  <c r="L32" i="6"/>
  <c r="I4" i="6"/>
  <c r="J35" i="6"/>
  <c r="J36" i="6" s="1"/>
  <c r="J34" i="6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7" i="1"/>
  <c r="C26" i="7"/>
  <c r="D26" i="7"/>
  <c r="B26" i="7"/>
  <c r="G6" i="7"/>
  <c r="I4" i="7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G6" i="3"/>
  <c r="G7" i="3" s="1"/>
  <c r="I4" i="3"/>
  <c r="I4" i="4"/>
  <c r="I4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G6" i="5"/>
  <c r="G7" i="5" s="1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G6" i="4"/>
  <c r="H6" i="4" s="1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6" i="6"/>
  <c r="G7" i="6"/>
  <c r="G8" i="6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6" i="6"/>
  <c r="J14" i="7" l="1"/>
  <c r="J22" i="7"/>
  <c r="J10" i="7"/>
  <c r="J21" i="7"/>
  <c r="J9" i="7"/>
  <c r="J20" i="7"/>
  <c r="J8" i="7"/>
  <c r="J19" i="7"/>
  <c r="J7" i="7"/>
  <c r="J16" i="7"/>
  <c r="J15" i="7"/>
  <c r="J13" i="7"/>
  <c r="J12" i="7"/>
  <c r="J6" i="7"/>
  <c r="C29" i="8" s="1"/>
  <c r="J37" i="3"/>
  <c r="J35" i="5"/>
  <c r="J36" i="4"/>
  <c r="J37" i="6"/>
  <c r="G7" i="7"/>
  <c r="H6" i="7"/>
  <c r="G8" i="3"/>
  <c r="H7" i="3"/>
  <c r="H6" i="3"/>
  <c r="G8" i="5"/>
  <c r="H7" i="5"/>
  <c r="H6" i="5"/>
  <c r="G7" i="4"/>
  <c r="G8" i="4" s="1"/>
  <c r="H8" i="4" s="1"/>
  <c r="J38" i="3" l="1"/>
  <c r="J36" i="5"/>
  <c r="J37" i="4"/>
  <c r="J38" i="6"/>
  <c r="G8" i="7"/>
  <c r="H7" i="7"/>
  <c r="H8" i="3"/>
  <c r="G9" i="3"/>
  <c r="H8" i="5"/>
  <c r="G9" i="5"/>
  <c r="H7" i="4"/>
  <c r="G9" i="4"/>
  <c r="H9" i="4"/>
  <c r="G10" i="4"/>
  <c r="E15" i="2"/>
  <c r="G31" i="2"/>
  <c r="G33" i="2" s="1"/>
  <c r="F31" i="2"/>
  <c r="F33" i="2" s="1"/>
  <c r="E31" i="2"/>
  <c r="E33" i="2" s="1"/>
  <c r="D31" i="2"/>
  <c r="D33" i="2" s="1"/>
  <c r="G25" i="2"/>
  <c r="G27" i="2" s="1"/>
  <c r="F25" i="2"/>
  <c r="F27" i="2" s="1"/>
  <c r="E25" i="2"/>
  <c r="E27" i="2" s="1"/>
  <c r="D25" i="2"/>
  <c r="D27" i="2" s="1"/>
  <c r="E21" i="2"/>
  <c r="F21" i="2"/>
  <c r="G21" i="2"/>
  <c r="D21" i="2"/>
  <c r="G19" i="2"/>
  <c r="F19" i="2"/>
  <c r="E19" i="2"/>
  <c r="D19" i="2"/>
  <c r="F15" i="2"/>
  <c r="G15" i="2"/>
  <c r="D15" i="2"/>
  <c r="E13" i="2"/>
  <c r="F13" i="2"/>
  <c r="G13" i="2"/>
  <c r="D13" i="2"/>
  <c r="AL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7" i="1"/>
  <c r="Z6" i="1"/>
  <c r="D23" i="1"/>
  <c r="E23" i="1"/>
  <c r="F23" i="1"/>
  <c r="K25" i="1"/>
  <c r="O25" i="1"/>
  <c r="O26" i="1"/>
  <c r="O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6" i="1"/>
  <c r="K6" i="1"/>
  <c r="I6" i="1"/>
  <c r="I7" i="1" s="1"/>
  <c r="M6" i="1"/>
  <c r="AL8" i="1" l="1"/>
  <c r="J39" i="3"/>
  <c r="J37" i="5"/>
  <c r="J38" i="4"/>
  <c r="J39" i="6"/>
  <c r="G9" i="7"/>
  <c r="H8" i="7"/>
  <c r="H9" i="3"/>
  <c r="G10" i="3"/>
  <c r="H9" i="5"/>
  <c r="G10" i="5"/>
  <c r="G11" i="4"/>
  <c r="H10" i="4"/>
  <c r="Z7" i="1"/>
  <c r="K7" i="1"/>
  <c r="N6" i="1"/>
  <c r="J6" i="1"/>
  <c r="I8" i="1"/>
  <c r="J7" i="1"/>
  <c r="M7" i="1"/>
  <c r="N7" i="1" s="1"/>
  <c r="AL9" i="1" l="1"/>
  <c r="J40" i="3"/>
  <c r="J38" i="5"/>
  <c r="J39" i="4"/>
  <c r="J40" i="6"/>
  <c r="G10" i="7"/>
  <c r="H9" i="7"/>
  <c r="G11" i="3"/>
  <c r="H10" i="3"/>
  <c r="G11" i="5"/>
  <c r="H10" i="5"/>
  <c r="G12" i="4"/>
  <c r="H11" i="4"/>
  <c r="Z8" i="1"/>
  <c r="I9" i="1"/>
  <c r="J8" i="1"/>
  <c r="M8" i="1"/>
  <c r="N8" i="1" s="1"/>
  <c r="AL10" i="1" l="1"/>
  <c r="J41" i="3"/>
  <c r="J39" i="5"/>
  <c r="J40" i="4"/>
  <c r="J41" i="6"/>
  <c r="G11" i="7"/>
  <c r="H10" i="7"/>
  <c r="G12" i="3"/>
  <c r="H11" i="3"/>
  <c r="G12" i="5"/>
  <c r="H11" i="5"/>
  <c r="H12" i="4"/>
  <c r="G13" i="4"/>
  <c r="Z9" i="1"/>
  <c r="I10" i="1"/>
  <c r="J9" i="1"/>
  <c r="M9" i="1"/>
  <c r="N9" i="1" s="1"/>
  <c r="AL11" i="1" l="1"/>
  <c r="J42" i="3"/>
  <c r="J40" i="5"/>
  <c r="J41" i="4"/>
  <c r="J42" i="6"/>
  <c r="G12" i="7"/>
  <c r="H11" i="7"/>
  <c r="H12" i="3"/>
  <c r="G13" i="3"/>
  <c r="H12" i="5"/>
  <c r="G13" i="5"/>
  <c r="H13" i="4"/>
  <c r="G14" i="4"/>
  <c r="Z10" i="1"/>
  <c r="I11" i="1"/>
  <c r="J10" i="1"/>
  <c r="M10" i="1"/>
  <c r="N10" i="1" s="1"/>
  <c r="AL12" i="1" l="1"/>
  <c r="J43" i="3"/>
  <c r="J41" i="5"/>
  <c r="J42" i="4"/>
  <c r="J43" i="6"/>
  <c r="G13" i="7"/>
  <c r="H12" i="7"/>
  <c r="H13" i="3"/>
  <c r="G14" i="3"/>
  <c r="G14" i="5"/>
  <c r="H13" i="5"/>
  <c r="G15" i="4"/>
  <c r="H14" i="4"/>
  <c r="Z11" i="1"/>
  <c r="I12" i="1"/>
  <c r="J11" i="1"/>
  <c r="M11" i="1"/>
  <c r="N11" i="1" s="1"/>
  <c r="AL13" i="1" l="1"/>
  <c r="J44" i="3"/>
  <c r="J42" i="5"/>
  <c r="J43" i="4"/>
  <c r="J44" i="6"/>
  <c r="G14" i="7"/>
  <c r="H13" i="7"/>
  <c r="G15" i="3"/>
  <c r="H14" i="3"/>
  <c r="G15" i="5"/>
  <c r="H14" i="5"/>
  <c r="G16" i="4"/>
  <c r="H15" i="4"/>
  <c r="Z12" i="1"/>
  <c r="I13" i="1"/>
  <c r="J12" i="1"/>
  <c r="M12" i="1"/>
  <c r="N12" i="1" s="1"/>
  <c r="AL14" i="1" l="1"/>
  <c r="J45" i="3"/>
  <c r="J43" i="5"/>
  <c r="J44" i="4"/>
  <c r="J45" i="6"/>
  <c r="G15" i="7"/>
  <c r="H14" i="7"/>
  <c r="G16" i="3"/>
  <c r="H15" i="3"/>
  <c r="G16" i="5"/>
  <c r="H15" i="5"/>
  <c r="H16" i="4"/>
  <c r="G17" i="4"/>
  <c r="Z13" i="1"/>
  <c r="I14" i="1"/>
  <c r="J13" i="1"/>
  <c r="M13" i="1"/>
  <c r="N13" i="1" s="1"/>
  <c r="AL15" i="1" l="1"/>
  <c r="J46" i="3"/>
  <c r="J44" i="5"/>
  <c r="J45" i="4"/>
  <c r="J46" i="6"/>
  <c r="G16" i="7"/>
  <c r="H15" i="7"/>
  <c r="H16" i="3"/>
  <c r="G17" i="3"/>
  <c r="H16" i="5"/>
  <c r="G17" i="5"/>
  <c r="G18" i="4"/>
  <c r="H17" i="4"/>
  <c r="Z14" i="1"/>
  <c r="I15" i="1"/>
  <c r="J14" i="1"/>
  <c r="M14" i="1"/>
  <c r="N14" i="1" s="1"/>
  <c r="AL16" i="1" l="1"/>
  <c r="J47" i="3"/>
  <c r="J45" i="5"/>
  <c r="J46" i="4"/>
  <c r="J47" i="6"/>
  <c r="H16" i="7"/>
  <c r="G17" i="7"/>
  <c r="G18" i="3"/>
  <c r="H17" i="3"/>
  <c r="H17" i="5"/>
  <c r="G18" i="5"/>
  <c r="G19" i="4"/>
  <c r="H18" i="4"/>
  <c r="Z15" i="1"/>
  <c r="I16" i="1"/>
  <c r="J15" i="1"/>
  <c r="M15" i="1"/>
  <c r="N15" i="1" s="1"/>
  <c r="AL17" i="1" l="1"/>
  <c r="J48" i="3"/>
  <c r="K34" i="3"/>
  <c r="J46" i="5"/>
  <c r="J47" i="4"/>
  <c r="K46" i="4"/>
  <c r="J48" i="6"/>
  <c r="H17" i="7"/>
  <c r="G18" i="7"/>
  <c r="G19" i="3"/>
  <c r="H18" i="3"/>
  <c r="G19" i="5"/>
  <c r="H18" i="5"/>
  <c r="G20" i="4"/>
  <c r="H19" i="4"/>
  <c r="Z16" i="1"/>
  <c r="I17" i="1"/>
  <c r="J16" i="1"/>
  <c r="M16" i="1"/>
  <c r="N16" i="1" s="1"/>
  <c r="AL18" i="1" l="1"/>
  <c r="J47" i="5"/>
  <c r="J48" i="4"/>
  <c r="K47" i="4"/>
  <c r="K35" i="4"/>
  <c r="K34" i="4"/>
  <c r="K36" i="4"/>
  <c r="K37" i="4"/>
  <c r="K38" i="4"/>
  <c r="K39" i="4"/>
  <c r="K40" i="4"/>
  <c r="K41" i="4"/>
  <c r="K42" i="4"/>
  <c r="K43" i="4"/>
  <c r="K44" i="4"/>
  <c r="K45" i="4"/>
  <c r="G19" i="7"/>
  <c r="H18" i="7"/>
  <c r="G20" i="3"/>
  <c r="H19" i="3"/>
  <c r="G20" i="5"/>
  <c r="H19" i="5"/>
  <c r="H20" i="4"/>
  <c r="G21" i="4"/>
  <c r="Z17" i="1"/>
  <c r="I18" i="1"/>
  <c r="J17" i="1"/>
  <c r="M17" i="1"/>
  <c r="N17" i="1" s="1"/>
  <c r="AL19" i="1" l="1"/>
  <c r="K47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J48" i="5"/>
  <c r="G20" i="7"/>
  <c r="H19" i="7"/>
  <c r="H20" i="3"/>
  <c r="G21" i="3"/>
  <c r="H20" i="5"/>
  <c r="G21" i="5"/>
  <c r="H21" i="4"/>
  <c r="G22" i="4"/>
  <c r="Z18" i="1"/>
  <c r="I19" i="1"/>
  <c r="J18" i="1"/>
  <c r="M18" i="1"/>
  <c r="N18" i="1" s="1"/>
  <c r="AL20" i="1" l="1"/>
  <c r="G21" i="7"/>
  <c r="H20" i="7"/>
  <c r="G22" i="3"/>
  <c r="H21" i="3"/>
  <c r="G22" i="5"/>
  <c r="H21" i="5"/>
  <c r="G23" i="4"/>
  <c r="H22" i="4"/>
  <c r="Z19" i="1"/>
  <c r="I20" i="1"/>
  <c r="J19" i="1"/>
  <c r="M19" i="1"/>
  <c r="N19" i="1" s="1"/>
  <c r="AL21" i="1" l="1"/>
  <c r="AM20" i="1"/>
  <c r="G22" i="7"/>
  <c r="H21" i="7"/>
  <c r="G23" i="3"/>
  <c r="H22" i="3"/>
  <c r="G23" i="5"/>
  <c r="H22" i="5"/>
  <c r="G24" i="4"/>
  <c r="H24" i="4" s="1"/>
  <c r="H23" i="4"/>
  <c r="Z20" i="1"/>
  <c r="I21" i="1"/>
  <c r="J20" i="1"/>
  <c r="M20" i="1"/>
  <c r="N20" i="1" s="1"/>
  <c r="AM21" i="1" l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H22" i="7"/>
  <c r="G24" i="3"/>
  <c r="H24" i="3" s="1"/>
  <c r="H23" i="3"/>
  <c r="G24" i="5"/>
  <c r="H24" i="5" s="1"/>
  <c r="H23" i="5"/>
  <c r="Z21" i="1"/>
  <c r="I22" i="1"/>
  <c r="I25" i="1" s="1"/>
  <c r="J25" i="1" s="1"/>
  <c r="J21" i="1"/>
  <c r="M21" i="1"/>
  <c r="N21" i="1" s="1"/>
  <c r="AP8" i="1" l="1"/>
  <c r="AP9" i="1"/>
  <c r="AP10" i="1"/>
  <c r="AP11" i="1"/>
  <c r="AP18" i="1"/>
  <c r="AP20" i="1"/>
  <c r="AP12" i="1"/>
  <c r="AP15" i="1"/>
  <c r="AP16" i="1"/>
  <c r="AP17" i="1"/>
  <c r="AP19" i="1"/>
  <c r="AP21" i="1"/>
  <c r="Z22" i="1"/>
  <c r="I26" i="1"/>
  <c r="J26" i="1" s="1"/>
  <c r="J22" i="1"/>
  <c r="M22" i="1"/>
  <c r="Z23" i="1" l="1"/>
  <c r="N22" i="1"/>
  <c r="M25" i="1"/>
  <c r="N25" i="1" s="1"/>
  <c r="Z24" i="1" l="1"/>
  <c r="AA23" i="1" s="1"/>
  <c r="M26" i="1"/>
  <c r="N26" i="1" s="1"/>
  <c r="AA24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</calcChain>
</file>

<file path=xl/sharedStrings.xml><?xml version="1.0" encoding="utf-8"?>
<sst xmlns="http://schemas.openxmlformats.org/spreadsheetml/2006/main" count="420" uniqueCount="129">
  <si>
    <t>Family</t>
  </si>
  <si>
    <t>Non-family</t>
  </si>
  <si>
    <t>households</t>
  </si>
  <si>
    <t>households(b)</t>
  </si>
  <si>
    <t>Total</t>
  </si>
  <si>
    <t>Negative/Nil income</t>
  </si>
  <si>
    <t>$1-$149</t>
  </si>
  <si>
    <t>$150-$299</t>
  </si>
  <si>
    <t>$300-$399</t>
  </si>
  <si>
    <t>$400-$499</t>
  </si>
  <si>
    <t>$500-$649</t>
  </si>
  <si>
    <t>$650-$799</t>
  </si>
  <si>
    <t>$800-$999</t>
  </si>
  <si>
    <t>$1,000-$1,249</t>
  </si>
  <si>
    <t>$1,250-$1,499</t>
  </si>
  <si>
    <t>$1,500-$1,749</t>
  </si>
  <si>
    <t>$1,750-$1,999</t>
  </si>
  <si>
    <t>$2,000-$2,499</t>
  </si>
  <si>
    <t>$2,500-$2,999</t>
  </si>
  <si>
    <t>$3,000-$3,499</t>
  </si>
  <si>
    <t>$3,500-$3,999</t>
  </si>
  <si>
    <t>$4,000 or more</t>
  </si>
  <si>
    <t>Partial income stated(c)</t>
  </si>
  <si>
    <t>All incomes not stated(d)</t>
  </si>
  <si>
    <t>This table is based on place of enumeration.</t>
  </si>
  <si>
    <t>Family households</t>
  </si>
  <si>
    <t>AllHouseholds</t>
  </si>
  <si>
    <t>weekly increase after yr 4</t>
  </si>
  <si>
    <t>&lt;- 93 % of households would be impacted by less than 2%</t>
  </si>
  <si>
    <t>This is show as a percentage of all households in the second column</t>
  </si>
  <si>
    <t>Depending on the increase provided in the top of column 3, the remaining percetgaes show the percenatge this amount represents of the weekly household income</t>
  </si>
  <si>
    <t>Couple family with</t>
  </si>
  <si>
    <t>One parent family with</t>
  </si>
  <si>
    <t>Children</t>
  </si>
  <si>
    <t>No children</t>
  </si>
  <si>
    <t>Other</t>
  </si>
  <si>
    <t>under 15(b)</t>
  </si>
  <si>
    <t>family</t>
  </si>
  <si>
    <t>$0–$149</t>
  </si>
  <si>
    <t>$150–$299</t>
  </si>
  <si>
    <t>$300–$449</t>
  </si>
  <si>
    <t>$450–$599</t>
  </si>
  <si>
    <t>$600–$799</t>
  </si>
  <si>
    <t>$800–$999</t>
  </si>
  <si>
    <t>$1,000–$1,199</t>
  </si>
  <si>
    <t>$1,200–$1,399</t>
  </si>
  <si>
    <t>$1,400–$1,599</t>
  </si>
  <si>
    <t>$1,600–$1,799</t>
  </si>
  <si>
    <t>$1,800–$1,999</t>
  </si>
  <si>
    <t>$2,000–$2,199</t>
  </si>
  <si>
    <t>$2,200–$2,399</t>
  </si>
  <si>
    <t>$2,400–$2,599</t>
  </si>
  <si>
    <t>$2,600–$2,999</t>
  </si>
  <si>
    <t>$3,000–$3,999</t>
  </si>
  <si>
    <t>$4,000–$4,999</t>
  </si>
  <si>
    <t>$5,000 and over</t>
  </si>
  <si>
    <t>Mortgage repayment not stated</t>
  </si>
  <si>
    <t>Inverse cumulative percent</t>
  </si>
  <si>
    <t>Mortgage</t>
  </si>
  <si>
    <t>Landlord type</t>
  </si>
  <si>
    <t>State or territory</t>
  </si>
  <si>
    <t>Community</t>
  </si>
  <si>
    <t>Person not in</t>
  </si>
  <si>
    <t>Real estate agent</t>
  </si>
  <si>
    <t>housing authority</t>
  </si>
  <si>
    <t>housing provider</t>
  </si>
  <si>
    <t>same household(c)</t>
  </si>
  <si>
    <t>landlord type(d)</t>
  </si>
  <si>
    <t>Not stated</t>
  </si>
  <si>
    <t>$1-$74</t>
  </si>
  <si>
    <t>$75-$99</t>
  </si>
  <si>
    <t>$100-$149</t>
  </si>
  <si>
    <t>$150-$199</t>
  </si>
  <si>
    <t>$200-$224</t>
  </si>
  <si>
    <t>$225-$274</t>
  </si>
  <si>
    <t>$275-$349</t>
  </si>
  <si>
    <t>$350-$449</t>
  </si>
  <si>
    <t>$450-$549</t>
  </si>
  <si>
    <t>$550-$649</t>
  </si>
  <si>
    <t>$650-$749</t>
  </si>
  <si>
    <t>$750-$849</t>
  </si>
  <si>
    <t>$850-$949</t>
  </si>
  <si>
    <t>$950 and over</t>
  </si>
  <si>
    <t>Rent not stated</t>
  </si>
  <si>
    <t>median</t>
  </si>
  <si>
    <t xml:space="preserve">inverse cumulative </t>
  </si>
  <si>
    <t>$4 / week represented as a percentage of rent</t>
  </si>
  <si>
    <t>Postcode</t>
  </si>
  <si>
    <t>Suburbs</t>
  </si>
  <si>
    <t>Personal median income</t>
  </si>
  <si>
    <t>Median family income</t>
  </si>
  <si>
    <t>median household income</t>
  </si>
  <si>
    <t>Scone, Wingen, Parkville, Moonan</t>
  </si>
  <si>
    <t>Merriwa, Cassilis</t>
  </si>
  <si>
    <t>Average additional rate increase in final year option 1</t>
  </si>
  <si>
    <t>Average additional weekly increase in final year</t>
  </si>
  <si>
    <t>&lt;- Merriwa figure used for both Merriwa and Cassilis</t>
  </si>
  <si>
    <t>Percentage of household income</t>
  </si>
  <si>
    <t>Average additional rate increase in final year option 2</t>
  </si>
  <si>
    <t>Figures are from 2021 Census data by postcode</t>
  </si>
  <si>
    <t>Residential</t>
  </si>
  <si>
    <t>Farmland</t>
  </si>
  <si>
    <t>How to read this table</t>
  </si>
  <si>
    <t>in this example the cumulative number of households are calculated in the first coloured column</t>
  </si>
  <si>
    <t>It can then be interpreted from the last 2 columns that a $5 increase per week will be less than a 2% impact on household incomes in 93% of families</t>
  </si>
  <si>
    <t>Blandford, Murrurundi, Pages Creek, Timor</t>
  </si>
  <si>
    <t>Aberdeen, Rouchel, Upper Dartbrook</t>
  </si>
  <si>
    <t>Used Household income as the denominator as it is the lowest and is most conservative</t>
  </si>
  <si>
    <t>Mid point salary</t>
  </si>
  <si>
    <t>cumulative households</t>
  </si>
  <si>
    <t>inverse cumulative percent</t>
  </si>
  <si>
    <t>Scone Affordability</t>
  </si>
  <si>
    <t>Murrurundi Affordability</t>
  </si>
  <si>
    <t>Aberdeen Affordability</t>
  </si>
  <si>
    <t>Merriwa / Cassilis Affordability</t>
  </si>
  <si>
    <t>All Affordability</t>
  </si>
  <si>
    <t>tab G40</t>
  </si>
  <si>
    <t>Comes from tab G33 and G40 on the GCP POA 2337 file</t>
  </si>
  <si>
    <t>Comes from tab G33 and G40 on the GCP POA 2338 file</t>
  </si>
  <si>
    <t>Comes from tab G33 and G40 on the GCP POA 2336 file</t>
  </si>
  <si>
    <t>Comes from tab G33 and G40 on the GCP POA 2329 file</t>
  </si>
  <si>
    <t>cumulative</t>
  </si>
  <si>
    <t>Threshold</t>
  </si>
  <si>
    <t>threshold</t>
  </si>
  <si>
    <t>Whole of LGA</t>
  </si>
  <si>
    <t>Scone</t>
  </si>
  <si>
    <t>Murrurundi</t>
  </si>
  <si>
    <t>Aberdeen</t>
  </si>
  <si>
    <t>Merriwa / Cassilis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</si>
</sst>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$&quot;\ \ #,##0.00;\-&quot;$&quot;#,##0.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2"/>
      <name val="Arial"/>
      <family val="2"/>
    </font>
    <font>
      <u/>
      <sz val="8"/>
      <color theme="1"/>
      <name val="Arial"/>
      <family val="2"/>
    </font>
    <font>
      <sz val="12"/>
      <color theme="1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3" applyFont="1" applyAlignment="1">
      <alignment horizontal="left"/>
    </xf>
    <xf numFmtId="0" fontId="4" fillId="0" borderId="0" xfId="3" applyFont="1" applyAlignment="1">
      <alignment horizontal="right"/>
    </xf>
    <xf numFmtId="0" fontId="4" fillId="0" borderId="1" xfId="3" applyFont="1" applyBorder="1" applyAlignment="1">
      <alignment horizontal="left"/>
    </xf>
    <xf numFmtId="0" fontId="4" fillId="0" borderId="1" xfId="3" applyFont="1" applyBorder="1" applyAlignment="1">
      <alignment horizontal="right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right"/>
    </xf>
    <xf numFmtId="0" fontId="3" fillId="0" borderId="0" xfId="3" applyFont="1"/>
    <xf numFmtId="3" fontId="3" fillId="0" borderId="0" xfId="0" applyNumberFormat="1" applyFont="1" applyAlignment="1">
      <alignment horizontal="right"/>
    </xf>
    <xf numFmtId="0" fontId="5" fillId="0" borderId="0" xfId="3" applyFont="1"/>
    <xf numFmtId="3" fontId="5" fillId="0" borderId="0" xfId="1" applyNumberFormat="1" applyFont="1" applyFill="1" applyAlignment="1">
      <alignment horizontal="right"/>
    </xf>
    <xf numFmtId="0" fontId="6" fillId="0" borderId="0" xfId="0" applyFont="1"/>
    <xf numFmtId="3" fontId="5" fillId="0" borderId="0" xfId="3" applyNumberFormat="1" applyFont="1" applyAlignment="1">
      <alignment horizontal="right"/>
    </xf>
    <xf numFmtId="0" fontId="4" fillId="2" borderId="0" xfId="3" applyFont="1" applyFill="1" applyAlignment="1">
      <alignment horizontal="right" wrapText="1"/>
    </xf>
    <xf numFmtId="0" fontId="0" fillId="2" borderId="0" xfId="0" applyFill="1"/>
    <xf numFmtId="0" fontId="0" fillId="2" borderId="0" xfId="0" applyFill="1" applyAlignment="1">
      <alignment wrapText="1"/>
    </xf>
    <xf numFmtId="3" fontId="0" fillId="2" borderId="0" xfId="0" applyNumberFormat="1" applyFill="1"/>
    <xf numFmtId="9" fontId="0" fillId="2" borderId="0" xfId="2" applyFont="1" applyFill="1"/>
    <xf numFmtId="0" fontId="0" fillId="3" borderId="0" xfId="0" applyFill="1"/>
    <xf numFmtId="0" fontId="0" fillId="3" borderId="0" xfId="0" applyFill="1" applyAlignment="1">
      <alignment wrapText="1"/>
    </xf>
    <xf numFmtId="3" fontId="0" fillId="3" borderId="0" xfId="0" applyNumberFormat="1" applyFill="1"/>
    <xf numFmtId="9" fontId="0" fillId="3" borderId="0" xfId="2" applyFont="1" applyFill="1"/>
    <xf numFmtId="0" fontId="0" fillId="0" borderId="2" xfId="0" applyBorder="1"/>
    <xf numFmtId="10" fontId="0" fillId="3" borderId="0" xfId="2" applyNumberFormat="1" applyFont="1" applyFill="1"/>
    <xf numFmtId="0" fontId="8" fillId="0" borderId="0" xfId="5" applyFont="1" applyAlignment="1">
      <alignment horizontal="left"/>
    </xf>
    <xf numFmtId="0" fontId="4" fillId="0" borderId="0" xfId="5" applyFont="1"/>
    <xf numFmtId="0" fontId="3" fillId="0" borderId="0" xfId="5" applyFont="1"/>
    <xf numFmtId="0" fontId="4" fillId="0" borderId="0" xfId="5" applyFont="1" applyAlignment="1">
      <alignment horizontal="left"/>
    </xf>
    <xf numFmtId="0" fontId="4" fillId="0" borderId="0" xfId="5" applyFont="1" applyAlignment="1">
      <alignment horizontal="center"/>
    </xf>
    <xf numFmtId="3" fontId="4" fillId="0" borderId="0" xfId="5" applyNumberFormat="1" applyFont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left"/>
    </xf>
    <xf numFmtId="0" fontId="4" fillId="0" borderId="3" xfId="5" applyFont="1" applyBorder="1" applyAlignment="1">
      <alignment horizontal="right"/>
    </xf>
    <xf numFmtId="3" fontId="3" fillId="0" borderId="0" xfId="5" applyNumberFormat="1" applyFont="1" applyAlignment="1">
      <alignment horizontal="left"/>
    </xf>
    <xf numFmtId="3" fontId="3" fillId="0" borderId="0" xfId="5" applyNumberFormat="1" applyFont="1" applyAlignment="1">
      <alignment horizontal="right"/>
    </xf>
    <xf numFmtId="0" fontId="3" fillId="0" borderId="0" xfId="0" applyFont="1"/>
    <xf numFmtId="0" fontId="3" fillId="0" borderId="0" xfId="5" applyFont="1" applyAlignment="1">
      <alignment horizontal="left"/>
    </xf>
    <xf numFmtId="0" fontId="5" fillId="0" borderId="0" xfId="5" applyFont="1" applyAlignment="1">
      <alignment horizontal="left"/>
    </xf>
    <xf numFmtId="3" fontId="5" fillId="0" borderId="0" xfId="5" applyNumberFormat="1" applyFont="1" applyAlignment="1">
      <alignment horizontal="right"/>
    </xf>
    <xf numFmtId="0" fontId="4" fillId="0" borderId="1" xfId="5" applyFont="1" applyBorder="1" applyAlignment="1">
      <alignment horizontal="center"/>
    </xf>
    <xf numFmtId="0" fontId="9" fillId="0" borderId="1" xfId="5" applyFont="1" applyBorder="1"/>
    <xf numFmtId="164" fontId="0" fillId="0" borderId="0" xfId="2" applyNumberFormat="1" applyFont="1"/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3" fontId="3" fillId="0" borderId="0" xfId="6" applyNumberFormat="1" applyFont="1" applyAlignment="1">
      <alignment horizontal="right"/>
    </xf>
    <xf numFmtId="0" fontId="11" fillId="0" borderId="0" xfId="0" applyFont="1"/>
    <xf numFmtId="0" fontId="5" fillId="0" borderId="0" xfId="0" applyFont="1" applyAlignment="1">
      <alignment horizontal="left"/>
    </xf>
    <xf numFmtId="3" fontId="5" fillId="0" borderId="0" xfId="6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0" fontId="0" fillId="0" borderId="0" xfId="0" applyAlignment="1">
      <alignment wrapText="1"/>
    </xf>
    <xf numFmtId="166" fontId="0" fillId="0" borderId="0" xfId="4" applyNumberFormat="1" applyFont="1"/>
    <xf numFmtId="0" fontId="12" fillId="0" borderId="0" xfId="0" applyFont="1"/>
    <xf numFmtId="0" fontId="13" fillId="0" borderId="0" xfId="0" applyFont="1"/>
    <xf numFmtId="10" fontId="0" fillId="0" borderId="4" xfId="2" applyNumberFormat="1" applyFont="1" applyBorder="1"/>
    <xf numFmtId="10" fontId="0" fillId="0" borderId="2" xfId="2" applyNumberFormat="1" applyFont="1" applyBorder="1"/>
    <xf numFmtId="10" fontId="0" fillId="0" borderId="5" xfId="2" applyNumberFormat="1" applyFont="1" applyBorder="1"/>
    <xf numFmtId="0" fontId="14" fillId="0" borderId="0" xfId="0" applyFont="1"/>
    <xf numFmtId="0" fontId="4" fillId="0" borderId="1" xfId="3" applyFont="1" applyBorder="1" applyAlignment="1">
      <alignment horizontal="left" wrapText="1"/>
    </xf>
    <xf numFmtId="0" fontId="4" fillId="0" borderId="1" xfId="3" applyFont="1" applyBorder="1" applyAlignment="1">
      <alignment horizontal="right" wrapText="1"/>
    </xf>
    <xf numFmtId="0" fontId="4" fillId="0" borderId="0" xfId="3" applyFont="1" applyAlignment="1">
      <alignment horizontal="right" wrapText="1"/>
    </xf>
    <xf numFmtId="164" fontId="3" fillId="0" borderId="0" xfId="2" applyNumberFormat="1" applyFont="1" applyAlignment="1">
      <alignment horizontal="right"/>
    </xf>
    <xf numFmtId="164" fontId="15" fillId="0" borderId="0" xfId="2" applyNumberFormat="1" applyFont="1"/>
    <xf numFmtId="8" fontId="0" fillId="2" borderId="6" xfId="0" applyNumberFormat="1" applyFill="1" applyBorder="1"/>
    <xf numFmtId="10" fontId="15" fillId="0" borderId="0" xfId="2" applyNumberFormat="1" applyFont="1"/>
    <xf numFmtId="0" fontId="3" fillId="0" borderId="1" xfId="0" applyFont="1" applyBorder="1" applyAlignment="1">
      <alignment horizontal="left" wrapText="1"/>
    </xf>
    <xf numFmtId="0" fontId="4" fillId="0" borderId="0" xfId="5" applyFont="1" applyAlignment="1">
      <alignment horizontal="left" wrapText="1"/>
    </xf>
    <xf numFmtId="0" fontId="4" fillId="0" borderId="0" xfId="5" applyFont="1" applyAlignment="1">
      <alignment horizontal="right" wrapText="1"/>
    </xf>
    <xf numFmtId="6" fontId="4" fillId="0" borderId="0" xfId="5" applyNumberFormat="1" applyFont="1" applyAlignment="1">
      <alignment horizontal="right" wrapText="1"/>
    </xf>
    <xf numFmtId="6" fontId="4" fillId="0" borderId="1" xfId="5" applyNumberFormat="1" applyFont="1" applyBorder="1" applyAlignment="1">
      <alignment horizontal="right" wrapText="1"/>
    </xf>
    <xf numFmtId="0" fontId="16" fillId="0" borderId="0" xfId="0" applyFont="1" applyAlignment="1">
      <alignment horizontal="right"/>
    </xf>
    <xf numFmtId="44" fontId="15" fillId="0" borderId="0" xfId="4" applyFont="1"/>
    <xf numFmtId="165" fontId="15" fillId="0" borderId="0" xfId="1" applyNumberFormat="1" applyFont="1"/>
    <xf numFmtId="9" fontId="15" fillId="0" borderId="0" xfId="2" applyFont="1"/>
    <xf numFmtId="9" fontId="0" fillId="0" borderId="0" xfId="0" applyNumberFormat="1"/>
    <xf numFmtId="9" fontId="0" fillId="2" borderId="6" xfId="0" applyNumberFormat="1" applyFill="1" applyBorder="1"/>
    <xf numFmtId="0" fontId="15" fillId="0" borderId="0" xfId="0" applyFont="1"/>
    <xf numFmtId="0" fontId="0" fillId="0" borderId="0" xfId="0" applyAlignment="1">
      <alignment horizontal="center" vertical="center"/>
    </xf>
    <xf numFmtId="9" fontId="0" fillId="2" borderId="6" xfId="2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7">
    <cellStyle name="Comma" xfId="1" builtinId="3"/>
    <cellStyle name="Comma 2" xfId="6" xr:uid="{2C9DF1AF-9299-4EB6-A2CB-D3EB5540E551}"/>
    <cellStyle name="Currency" xfId="4" builtinId="4"/>
    <cellStyle name="Normal" xfId="0" builtinId="0"/>
    <cellStyle name="Normal 9" xfId="5" xr:uid="{DE425234-7812-43C2-A7A5-486E803AF022}"/>
    <cellStyle name="Normal_BCP 2006.Draft" xfId="3" xr:uid="{B0115B9C-0DE2-4589-8DC2-051AE4FBC96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Affordability for owners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spPr>
            <a:solidFill>
              <a:schemeClr val="accent6">
                <a:lumMod val="60000"/>
                <a:lumOff val="40000"/>
                <a:alpha val="54000"/>
              </a:schemeClr>
            </a:solidFill>
            <a:ln>
              <a:noFill/>
            </a:ln>
            <a:effectLst/>
          </c:spPr>
          <c:cat>
            <c:numRef>
              <c:f>'All suburbs'!$H$7:$H$22</c:f>
              <c:numCache>
                <c:formatCode>0.0%</c:formatCode>
                <c:ptCount val="16"/>
                <c:pt idx="0">
                  <c:v>0.96615568385427031</c:v>
                </c:pt>
                <c:pt idx="1">
                  <c:v>0.94644634680469841</c:v>
                </c:pt>
                <c:pt idx="2">
                  <c:v>0.9201672307386024</c:v>
                </c:pt>
                <c:pt idx="3">
                  <c:v>0.83854270356360738</c:v>
                </c:pt>
                <c:pt idx="4">
                  <c:v>0.78638263985665935</c:v>
                </c:pt>
                <c:pt idx="5">
                  <c:v>0.70814254429623724</c:v>
                </c:pt>
                <c:pt idx="6">
                  <c:v>0.64144933306788765</c:v>
                </c:pt>
                <c:pt idx="7">
                  <c:v>0.55962572168027069</c:v>
                </c:pt>
                <c:pt idx="8">
                  <c:v>0.4754130997411905</c:v>
                </c:pt>
                <c:pt idx="9">
                  <c:v>0.42146127812064504</c:v>
                </c:pt>
                <c:pt idx="10">
                  <c:v>0.36731037228747765</c:v>
                </c:pt>
                <c:pt idx="11">
                  <c:v>0.251642444754131</c:v>
                </c:pt>
                <c:pt idx="12">
                  <c:v>0.1799721282102329</c:v>
                </c:pt>
                <c:pt idx="13">
                  <c:v>0.11845510651005375</c:v>
                </c:pt>
                <c:pt idx="14">
                  <c:v>8.1823611387616957E-2</c:v>
                </c:pt>
                <c:pt idx="15">
                  <c:v>0</c:v>
                </c:pt>
              </c:numCache>
            </c:numRef>
          </c:cat>
          <c:val>
            <c:numRef>
              <c:f>'All suburbs'!$J$7:$J$22</c:f>
              <c:numCache>
                <c:formatCode>0.00%</c:formatCode>
                <c:ptCount val="16"/>
                <c:pt idx="0">
                  <c:v>1.3333333333333334E-2</c:v>
                </c:pt>
                <c:pt idx="1">
                  <c:v>1.3333333333333334E-2</c:v>
                </c:pt>
                <c:pt idx="2">
                  <c:v>1.3333333333333334E-2</c:v>
                </c:pt>
                <c:pt idx="3">
                  <c:v>1.3333333333333334E-2</c:v>
                </c:pt>
                <c:pt idx="4">
                  <c:v>1.3333333333333334E-2</c:v>
                </c:pt>
                <c:pt idx="5">
                  <c:v>1.3333333333333334E-2</c:v>
                </c:pt>
                <c:pt idx="6">
                  <c:v>1.3333333333333334E-2</c:v>
                </c:pt>
                <c:pt idx="7">
                  <c:v>1.3333333333333334E-2</c:v>
                </c:pt>
                <c:pt idx="8">
                  <c:v>1.3333333333333334E-2</c:v>
                </c:pt>
                <c:pt idx="9">
                  <c:v>1.3333333333333334E-2</c:v>
                </c:pt>
                <c:pt idx="10">
                  <c:v>1.3333333333333334E-2</c:v>
                </c:pt>
                <c:pt idx="11">
                  <c:v>1.3333333333333334E-2</c:v>
                </c:pt>
                <c:pt idx="12">
                  <c:v>1.3333333333333334E-2</c:v>
                </c:pt>
                <c:pt idx="13">
                  <c:v>1.3333333333333334E-2</c:v>
                </c:pt>
                <c:pt idx="14">
                  <c:v>1.3333333333333334E-2</c:v>
                </c:pt>
                <c:pt idx="15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A-4A71-886A-F4D868C6D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301312"/>
        <c:axId val="1724290752"/>
      </c:areaChart>
      <c:scatterChart>
        <c:scatterStyle val="smoothMarker"/>
        <c:varyColors val="0"/>
        <c:ser>
          <c:idx val="0"/>
          <c:order val="0"/>
          <c:spPr>
            <a:ln w="476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'All suburbs'!$H$7:$H$22</c:f>
              <c:numCache>
                <c:formatCode>0.0%</c:formatCode>
                <c:ptCount val="16"/>
                <c:pt idx="0">
                  <c:v>0.96615568385427031</c:v>
                </c:pt>
                <c:pt idx="1">
                  <c:v>0.94644634680469841</c:v>
                </c:pt>
                <c:pt idx="2">
                  <c:v>0.9201672307386024</c:v>
                </c:pt>
                <c:pt idx="3">
                  <c:v>0.83854270356360738</c:v>
                </c:pt>
                <c:pt idx="4">
                  <c:v>0.78638263985665935</c:v>
                </c:pt>
                <c:pt idx="5">
                  <c:v>0.70814254429623724</c:v>
                </c:pt>
                <c:pt idx="6">
                  <c:v>0.64144933306788765</c:v>
                </c:pt>
                <c:pt idx="7">
                  <c:v>0.55962572168027069</c:v>
                </c:pt>
                <c:pt idx="8">
                  <c:v>0.4754130997411905</c:v>
                </c:pt>
                <c:pt idx="9">
                  <c:v>0.42146127812064504</c:v>
                </c:pt>
                <c:pt idx="10">
                  <c:v>0.36731037228747765</c:v>
                </c:pt>
                <c:pt idx="11">
                  <c:v>0.251642444754131</c:v>
                </c:pt>
                <c:pt idx="12">
                  <c:v>0.1799721282102329</c:v>
                </c:pt>
                <c:pt idx="13">
                  <c:v>0.11845510651005375</c:v>
                </c:pt>
                <c:pt idx="14">
                  <c:v>8.1823611387616957E-2</c:v>
                </c:pt>
                <c:pt idx="15">
                  <c:v>0</c:v>
                </c:pt>
              </c:numCache>
            </c:numRef>
          </c:xVal>
          <c:yVal>
            <c:numRef>
              <c:f>'All suburbs'!$I$7:$I$22</c:f>
              <c:numCache>
                <c:formatCode>0.00%</c:formatCode>
                <c:ptCount val="16"/>
                <c:pt idx="0">
                  <c:v>5.3333333333333337E-2</c:v>
                </c:pt>
                <c:pt idx="1">
                  <c:v>2.6666666666666668E-2</c:v>
                </c:pt>
                <c:pt idx="2">
                  <c:v>1.3333333333333334E-2</c:v>
                </c:pt>
                <c:pt idx="3">
                  <c:v>0.01</c:v>
                </c:pt>
                <c:pt idx="4">
                  <c:v>8.0000000000000002E-3</c:v>
                </c:pt>
                <c:pt idx="5">
                  <c:v>6.1538461538461538E-3</c:v>
                </c:pt>
                <c:pt idx="6">
                  <c:v>5.0000000000000001E-3</c:v>
                </c:pt>
                <c:pt idx="7">
                  <c:v>4.0000000000000001E-3</c:v>
                </c:pt>
                <c:pt idx="8">
                  <c:v>3.2000000000000002E-3</c:v>
                </c:pt>
                <c:pt idx="9">
                  <c:v>2.6666666666666666E-3</c:v>
                </c:pt>
                <c:pt idx="10">
                  <c:v>2.2857142857142859E-3</c:v>
                </c:pt>
                <c:pt idx="11">
                  <c:v>2E-3</c:v>
                </c:pt>
                <c:pt idx="12">
                  <c:v>1.6000000000000001E-3</c:v>
                </c:pt>
                <c:pt idx="13">
                  <c:v>1.3333333333333333E-3</c:v>
                </c:pt>
                <c:pt idx="14">
                  <c:v>1.1428571428571429E-3</c:v>
                </c:pt>
                <c:pt idx="15">
                  <c:v>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8A-4A71-886A-F4D868C6D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772832"/>
        <c:axId val="1556773792"/>
      </c:scatterChart>
      <c:valAx>
        <c:axId val="1556772832"/>
        <c:scaling>
          <c:orientation val="minMax"/>
          <c:max val="1.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of Owners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3792"/>
        <c:crosses val="autoZero"/>
        <c:crossBetween val="midCat"/>
      </c:valAx>
      <c:valAx>
        <c:axId val="1556773792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% of</a:t>
                </a:r>
                <a:r>
                  <a:rPr lang="en-US" baseline="0"/>
                  <a:t> weekly income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2832"/>
        <c:crosses val="autoZero"/>
        <c:crossBetween val="midCat"/>
      </c:valAx>
      <c:valAx>
        <c:axId val="1724290752"/>
        <c:scaling>
          <c:orientation val="minMax"/>
          <c:max val="8.0000000000000016E-2"/>
        </c:scaling>
        <c:delete val="1"/>
        <c:axPos val="r"/>
        <c:numFmt formatCode="0.00%" sourceLinked="1"/>
        <c:majorTickMark val="out"/>
        <c:minorTickMark val="none"/>
        <c:tickLblPos val="nextTo"/>
        <c:crossAx val="1724301312"/>
        <c:crosses val="max"/>
        <c:crossBetween val="between"/>
      </c:valAx>
      <c:catAx>
        <c:axId val="1724301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7242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Affordability for tenants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spPr>
            <a:solidFill>
              <a:schemeClr val="accent6">
                <a:lumMod val="40000"/>
                <a:lumOff val="60000"/>
                <a:alpha val="56000"/>
              </a:schemeClr>
            </a:solidFill>
            <a:ln w="25400">
              <a:noFill/>
            </a:ln>
            <a:effectLst/>
          </c:spPr>
          <c:cat>
            <c:numRef>
              <c:f>'All suburbs'!$H$7:$H$22</c:f>
              <c:numCache>
                <c:formatCode>0.0%</c:formatCode>
                <c:ptCount val="16"/>
                <c:pt idx="0">
                  <c:v>0.96615568385427031</c:v>
                </c:pt>
                <c:pt idx="1">
                  <c:v>0.94644634680469841</c:v>
                </c:pt>
                <c:pt idx="2">
                  <c:v>0.9201672307386024</c:v>
                </c:pt>
                <c:pt idx="3">
                  <c:v>0.83854270356360738</c:v>
                </c:pt>
                <c:pt idx="4">
                  <c:v>0.78638263985665935</c:v>
                </c:pt>
                <c:pt idx="5">
                  <c:v>0.70814254429623724</c:v>
                </c:pt>
                <c:pt idx="6">
                  <c:v>0.64144933306788765</c:v>
                </c:pt>
                <c:pt idx="7">
                  <c:v>0.55962572168027069</c:v>
                </c:pt>
                <c:pt idx="8">
                  <c:v>0.4754130997411905</c:v>
                </c:pt>
                <c:pt idx="9">
                  <c:v>0.42146127812064504</c:v>
                </c:pt>
                <c:pt idx="10">
                  <c:v>0.36731037228747765</c:v>
                </c:pt>
                <c:pt idx="11">
                  <c:v>0.251642444754131</c:v>
                </c:pt>
                <c:pt idx="12">
                  <c:v>0.1799721282102329</c:v>
                </c:pt>
                <c:pt idx="13">
                  <c:v>0.11845510651005375</c:v>
                </c:pt>
                <c:pt idx="14">
                  <c:v>8.1823611387616957E-2</c:v>
                </c:pt>
                <c:pt idx="15">
                  <c:v>0</c:v>
                </c:pt>
              </c:numCache>
            </c:numRef>
          </c:cat>
          <c:val>
            <c:numRef>
              <c:f>'Merriwa Affordability'!$M$34:$M$47</c:f>
              <c:numCache>
                <c:formatCode>0.00%</c:formatCode>
                <c:ptCount val="14"/>
                <c:pt idx="0">
                  <c:v>3.2413793103448274E-2</c:v>
                </c:pt>
                <c:pt idx="1">
                  <c:v>3.2413793103448274E-2</c:v>
                </c:pt>
                <c:pt idx="2">
                  <c:v>3.2413793103448274E-2</c:v>
                </c:pt>
                <c:pt idx="3">
                  <c:v>3.2413793103448274E-2</c:v>
                </c:pt>
                <c:pt idx="4">
                  <c:v>3.2413793103448274E-2</c:v>
                </c:pt>
                <c:pt idx="5">
                  <c:v>3.2413793103448274E-2</c:v>
                </c:pt>
                <c:pt idx="6">
                  <c:v>3.2413793103448274E-2</c:v>
                </c:pt>
                <c:pt idx="7">
                  <c:v>3.2413793103448274E-2</c:v>
                </c:pt>
                <c:pt idx="8">
                  <c:v>3.2413793103448274E-2</c:v>
                </c:pt>
                <c:pt idx="9">
                  <c:v>3.2413793103448274E-2</c:v>
                </c:pt>
                <c:pt idx="10">
                  <c:v>3.2413793103448274E-2</c:v>
                </c:pt>
                <c:pt idx="11">
                  <c:v>3.2413793103448274E-2</c:v>
                </c:pt>
                <c:pt idx="12">
                  <c:v>3.2413793103448274E-2</c:v>
                </c:pt>
                <c:pt idx="13">
                  <c:v>3.2413793103448274E-2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E-4DF7-B9EC-4FE35952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301312"/>
        <c:axId val="1724290752"/>
      </c:areaChart>
      <c:scatterChart>
        <c:scatterStyle val="smoothMarker"/>
        <c:varyColors val="0"/>
        <c:ser>
          <c:idx val="0"/>
          <c:order val="0"/>
          <c:spPr>
            <a:ln w="476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'Merriwa Affordability'!$K$35:$K$47</c:f>
              <c:numCache>
                <c:formatCode>0%</c:formatCode>
                <c:ptCount val="13"/>
                <c:pt idx="0">
                  <c:v>0.97241379310344822</c:v>
                </c:pt>
                <c:pt idx="1">
                  <c:v>0.8</c:v>
                </c:pt>
                <c:pt idx="2">
                  <c:v>0.65517241379310343</c:v>
                </c:pt>
                <c:pt idx="3">
                  <c:v>0.55862068965517242</c:v>
                </c:pt>
                <c:pt idx="4">
                  <c:v>0.33793103448275863</c:v>
                </c:pt>
                <c:pt idx="5">
                  <c:v>2.0689655172413834E-2</c:v>
                </c:pt>
                <c:pt idx="6">
                  <c:v>2.0689655172413834E-2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'Merriwa Affordability'!$L$35:$L$47</c:f>
              <c:numCache>
                <c:formatCode>0.0%</c:formatCode>
                <c:ptCount val="13"/>
                <c:pt idx="0">
                  <c:v>3.2413793103448274E-2</c:v>
                </c:pt>
                <c:pt idx="1">
                  <c:v>2.2650602409638555E-2</c:v>
                </c:pt>
                <c:pt idx="2">
                  <c:v>1.6160458452722064E-2</c:v>
                </c:pt>
                <c:pt idx="3">
                  <c:v>1.330188679245283E-2</c:v>
                </c:pt>
                <c:pt idx="4">
                  <c:v>1.1302605210420841E-2</c:v>
                </c:pt>
                <c:pt idx="5">
                  <c:v>9.0384615384615386E-3</c:v>
                </c:pt>
                <c:pt idx="6">
                  <c:v>7.0588235294117641E-3</c:v>
                </c:pt>
                <c:pt idx="7">
                  <c:v>5.6456456456456449E-3</c:v>
                </c:pt>
                <c:pt idx="8">
                  <c:v>4.7039199332777311E-3</c:v>
                </c:pt>
                <c:pt idx="9">
                  <c:v>4.0314510364546103E-3</c:v>
                </c:pt>
                <c:pt idx="10">
                  <c:v>3.5272045028142589E-3</c:v>
                </c:pt>
                <c:pt idx="11">
                  <c:v>3.1350750416898276E-3</c:v>
                </c:pt>
                <c:pt idx="12">
                  <c:v>2.8923076923076923E-3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3E-4DF7-B9EC-4FE35952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772832"/>
        <c:axId val="1556773792"/>
      </c:scatterChart>
      <c:valAx>
        <c:axId val="1556772832"/>
        <c:scaling>
          <c:orientation val="minMax"/>
          <c:max val="1.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of Tenants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3792"/>
        <c:crosses val="autoZero"/>
        <c:crossBetween val="midCat"/>
      </c:valAx>
      <c:valAx>
        <c:axId val="1556773792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% of</a:t>
                </a:r>
                <a:r>
                  <a:rPr lang="en-US" baseline="0"/>
                  <a:t> weekly rent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2832"/>
        <c:crosses val="autoZero"/>
        <c:crossBetween val="midCat"/>
      </c:valAx>
      <c:valAx>
        <c:axId val="1724290752"/>
        <c:scaling>
          <c:orientation val="minMax"/>
          <c:max val="8.0000000000000016E-2"/>
        </c:scaling>
        <c:delete val="1"/>
        <c:axPos val="r"/>
        <c:numFmt formatCode="0.00%" sourceLinked="1"/>
        <c:majorTickMark val="out"/>
        <c:minorTickMark val="none"/>
        <c:tickLblPos val="nextTo"/>
        <c:crossAx val="1724301312"/>
        <c:crosses val="max"/>
        <c:crossBetween val="between"/>
      </c:valAx>
      <c:catAx>
        <c:axId val="1724301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7242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Murrurundi Affordability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'Murrurundi Affordability'!$H$7:$H$22</c:f>
              <c:numCache>
                <c:formatCode>0.0%</c:formatCode>
                <c:ptCount val="16"/>
                <c:pt idx="0">
                  <c:v>0.95431472081218272</c:v>
                </c:pt>
                <c:pt idx="1">
                  <c:v>0.93231810490693734</c:v>
                </c:pt>
                <c:pt idx="2">
                  <c:v>0.89509306260575294</c:v>
                </c:pt>
                <c:pt idx="3">
                  <c:v>0.7766497461928934</c:v>
                </c:pt>
                <c:pt idx="4">
                  <c:v>0.71742808798646363</c:v>
                </c:pt>
                <c:pt idx="5">
                  <c:v>0.59560067681895101</c:v>
                </c:pt>
                <c:pt idx="6">
                  <c:v>0.54145516074450084</c:v>
                </c:pt>
                <c:pt idx="7">
                  <c:v>0.46700507614213194</c:v>
                </c:pt>
                <c:pt idx="8">
                  <c:v>0.39593908629441621</c:v>
                </c:pt>
                <c:pt idx="9">
                  <c:v>0.3536379018612521</c:v>
                </c:pt>
                <c:pt idx="10">
                  <c:v>0.31472081218274117</c:v>
                </c:pt>
                <c:pt idx="11">
                  <c:v>0.23011844331641285</c:v>
                </c:pt>
                <c:pt idx="12">
                  <c:v>0.18612521150592221</c:v>
                </c:pt>
                <c:pt idx="13">
                  <c:v>0.15397631133671741</c:v>
                </c:pt>
                <c:pt idx="14">
                  <c:v>0.13536379018612521</c:v>
                </c:pt>
                <c:pt idx="15">
                  <c:v>9.6446700507614169E-2</c:v>
                </c:pt>
              </c:numCache>
            </c:numRef>
          </c:xVal>
          <c:yVal>
            <c:numRef>
              <c:f>'Murrurundi Affordability'!$I$7:$I$22</c:f>
              <c:numCache>
                <c:formatCode>0.0%</c:formatCode>
                <c:ptCount val="16"/>
                <c:pt idx="0">
                  <c:v>3.56E-2</c:v>
                </c:pt>
                <c:pt idx="1">
                  <c:v>1.78E-2</c:v>
                </c:pt>
                <c:pt idx="2">
                  <c:v>8.8999999999999999E-3</c:v>
                </c:pt>
                <c:pt idx="3">
                  <c:v>6.6749999999999995E-3</c:v>
                </c:pt>
                <c:pt idx="4">
                  <c:v>5.3400000000000001E-3</c:v>
                </c:pt>
                <c:pt idx="5">
                  <c:v>4.1076923076923079E-3</c:v>
                </c:pt>
                <c:pt idx="6">
                  <c:v>3.3374999999999998E-3</c:v>
                </c:pt>
                <c:pt idx="7">
                  <c:v>2.6700000000000001E-3</c:v>
                </c:pt>
                <c:pt idx="8">
                  <c:v>2.1359999999999999E-3</c:v>
                </c:pt>
                <c:pt idx="9">
                  <c:v>1.7799999999999999E-3</c:v>
                </c:pt>
                <c:pt idx="10">
                  <c:v>1.5257142857142856E-3</c:v>
                </c:pt>
                <c:pt idx="11">
                  <c:v>1.335E-3</c:v>
                </c:pt>
                <c:pt idx="12">
                  <c:v>1.0679999999999999E-3</c:v>
                </c:pt>
                <c:pt idx="13">
                  <c:v>8.8999999999999995E-4</c:v>
                </c:pt>
                <c:pt idx="14">
                  <c:v>7.6285714285714281E-4</c:v>
                </c:pt>
                <c:pt idx="15">
                  <c:v>6.6750000000000002E-4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8E-4B08-9FC4-3559CB79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304528"/>
        <c:axId val="1577721696"/>
      </c:scatterChart>
      <c:valAx>
        <c:axId val="169130452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721696"/>
        <c:crosses val="autoZero"/>
        <c:crossBetween val="midCat"/>
      </c:valAx>
      <c:valAx>
        <c:axId val="157772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304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Affordability for tenants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spPr>
            <a:solidFill>
              <a:schemeClr val="accent6">
                <a:lumMod val="60000"/>
                <a:lumOff val="40000"/>
                <a:alpha val="55000"/>
              </a:schemeClr>
            </a:solidFill>
            <a:ln w="25400">
              <a:noFill/>
            </a:ln>
            <a:effectLst/>
          </c:spPr>
          <c:cat>
            <c:numRef>
              <c:f>'All suburbs'!$H$7:$H$22</c:f>
              <c:numCache>
                <c:formatCode>0.0%</c:formatCode>
                <c:ptCount val="16"/>
                <c:pt idx="0">
                  <c:v>0.96615568385427031</c:v>
                </c:pt>
                <c:pt idx="1">
                  <c:v>0.94644634680469841</c:v>
                </c:pt>
                <c:pt idx="2">
                  <c:v>0.9201672307386024</c:v>
                </c:pt>
                <c:pt idx="3">
                  <c:v>0.83854270356360738</c:v>
                </c:pt>
                <c:pt idx="4">
                  <c:v>0.78638263985665935</c:v>
                </c:pt>
                <c:pt idx="5">
                  <c:v>0.70814254429623724</c:v>
                </c:pt>
                <c:pt idx="6">
                  <c:v>0.64144933306788765</c:v>
                </c:pt>
                <c:pt idx="7">
                  <c:v>0.55962572168027069</c:v>
                </c:pt>
                <c:pt idx="8">
                  <c:v>0.4754130997411905</c:v>
                </c:pt>
                <c:pt idx="9">
                  <c:v>0.42146127812064504</c:v>
                </c:pt>
                <c:pt idx="10">
                  <c:v>0.36731037228747765</c:v>
                </c:pt>
                <c:pt idx="11">
                  <c:v>0.251642444754131</c:v>
                </c:pt>
                <c:pt idx="12">
                  <c:v>0.1799721282102329</c:v>
                </c:pt>
                <c:pt idx="13">
                  <c:v>0.11845510651005375</c:v>
                </c:pt>
                <c:pt idx="14">
                  <c:v>8.1823611387616957E-2</c:v>
                </c:pt>
                <c:pt idx="15">
                  <c:v>0</c:v>
                </c:pt>
              </c:numCache>
            </c:numRef>
          </c:cat>
          <c:val>
            <c:numRef>
              <c:f>'salary ranges'!$AP$8:$AP$21</c:f>
              <c:numCache>
                <c:formatCode>0.00%</c:formatCode>
                <c:ptCount val="14"/>
                <c:pt idx="0">
                  <c:v>3.2128514056224897E-2</c:v>
                </c:pt>
                <c:pt idx="1">
                  <c:v>3.2128514056224897E-2</c:v>
                </c:pt>
                <c:pt idx="2">
                  <c:v>3.2128514056224897E-2</c:v>
                </c:pt>
                <c:pt idx="3">
                  <c:v>3.2128514056224897E-2</c:v>
                </c:pt>
                <c:pt idx="4">
                  <c:v>3.2128514056224897E-2</c:v>
                </c:pt>
                <c:pt idx="5">
                  <c:v>3.2128514056224897E-2</c:v>
                </c:pt>
                <c:pt idx="6">
                  <c:v>3.2128514056224897E-2</c:v>
                </c:pt>
                <c:pt idx="7">
                  <c:v>3.2128514056224897E-2</c:v>
                </c:pt>
                <c:pt idx="8">
                  <c:v>3.2128514056224897E-2</c:v>
                </c:pt>
                <c:pt idx="9">
                  <c:v>3.2128514056224897E-2</c:v>
                </c:pt>
                <c:pt idx="10">
                  <c:v>3.2128514056224897E-2</c:v>
                </c:pt>
                <c:pt idx="11">
                  <c:v>3.2128514056224897E-2</c:v>
                </c:pt>
                <c:pt idx="12">
                  <c:v>3.2128514056224897E-2</c:v>
                </c:pt>
                <c:pt idx="13">
                  <c:v>3.2128514056224897E-2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1-4D02-983F-F9FF098E2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301312"/>
        <c:axId val="1724290752"/>
      </c:areaChart>
      <c:scatterChart>
        <c:scatterStyle val="smoothMarker"/>
        <c:varyColors val="0"/>
        <c:ser>
          <c:idx val="0"/>
          <c:order val="0"/>
          <c:spPr>
            <a:ln w="476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'salary ranges'!$AM$8:$AM$21</c:f>
              <c:numCache>
                <c:formatCode>0%</c:formatCode>
                <c:ptCount val="14"/>
                <c:pt idx="0">
                  <c:v>0.98131539611360241</c:v>
                </c:pt>
                <c:pt idx="1">
                  <c:v>0.91405082212257105</c:v>
                </c:pt>
                <c:pt idx="2">
                  <c:v>0.79671150971599403</c:v>
                </c:pt>
                <c:pt idx="3">
                  <c:v>0.70328849028400597</c:v>
                </c:pt>
                <c:pt idx="4">
                  <c:v>0.5246636771300448</c:v>
                </c:pt>
                <c:pt idx="5">
                  <c:v>0.28026905829596416</c:v>
                </c:pt>
                <c:pt idx="6">
                  <c:v>0.13452914798206284</c:v>
                </c:pt>
                <c:pt idx="7">
                  <c:v>8.8938714499252614E-2</c:v>
                </c:pt>
                <c:pt idx="8">
                  <c:v>8.2959641255605399E-2</c:v>
                </c:pt>
                <c:pt idx="9">
                  <c:v>8.0717488789237679E-2</c:v>
                </c:pt>
                <c:pt idx="10">
                  <c:v>8.0717488789237679E-2</c:v>
                </c:pt>
                <c:pt idx="11">
                  <c:v>8.0717488789237679E-2</c:v>
                </c:pt>
                <c:pt idx="12">
                  <c:v>7.3991031390134521E-2</c:v>
                </c:pt>
                <c:pt idx="13">
                  <c:v>0</c:v>
                </c:pt>
              </c:numCache>
            </c:numRef>
          </c:xVal>
          <c:yVal>
            <c:numRef>
              <c:f>'salary ranges'!$AN$8:$AN$21</c:f>
              <c:numCache>
                <c:formatCode>0.0%</c:formatCode>
                <c:ptCount val="14"/>
                <c:pt idx="0">
                  <c:v>4.5977011494252873E-2</c:v>
                </c:pt>
                <c:pt idx="1">
                  <c:v>3.2128514056224897E-2</c:v>
                </c:pt>
                <c:pt idx="2">
                  <c:v>2.2922636103151862E-2</c:v>
                </c:pt>
                <c:pt idx="3">
                  <c:v>1.8867924528301886E-2</c:v>
                </c:pt>
                <c:pt idx="4">
                  <c:v>1.6032064128256512E-2</c:v>
                </c:pt>
                <c:pt idx="5">
                  <c:v>1.282051282051282E-2</c:v>
                </c:pt>
                <c:pt idx="6">
                  <c:v>1.0012515644555695E-2</c:v>
                </c:pt>
                <c:pt idx="7">
                  <c:v>8.0080080080080079E-3</c:v>
                </c:pt>
                <c:pt idx="8">
                  <c:v>6.672226855713094E-3</c:v>
                </c:pt>
                <c:pt idx="9">
                  <c:v>5.7183702644746249E-3</c:v>
                </c:pt>
                <c:pt idx="10">
                  <c:v>5.0031269543464665E-3</c:v>
                </c:pt>
                <c:pt idx="11">
                  <c:v>4.4469149527515284E-3</c:v>
                </c:pt>
                <c:pt idx="12">
                  <c:v>4.1025641025641026E-3</c:v>
                </c:pt>
                <c:pt idx="13">
                  <c:v>3.996003996003996E-3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761-4D02-983F-F9FF098E2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772832"/>
        <c:axId val="1556773792"/>
      </c:scatterChart>
      <c:valAx>
        <c:axId val="1556772832"/>
        <c:scaling>
          <c:orientation val="minMax"/>
          <c:max val="1.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of Tenants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3792"/>
        <c:crosses val="autoZero"/>
        <c:crossBetween val="midCat"/>
      </c:valAx>
      <c:valAx>
        <c:axId val="1556773792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% of</a:t>
                </a:r>
                <a:r>
                  <a:rPr lang="en-US" baseline="0"/>
                  <a:t> weekly rent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2832"/>
        <c:crosses val="autoZero"/>
        <c:crossBetween val="midCat"/>
      </c:valAx>
      <c:valAx>
        <c:axId val="1724290752"/>
        <c:scaling>
          <c:orientation val="minMax"/>
          <c:max val="8.0000000000000016E-2"/>
        </c:scaling>
        <c:delete val="1"/>
        <c:axPos val="r"/>
        <c:numFmt formatCode="0.00%" sourceLinked="1"/>
        <c:majorTickMark val="out"/>
        <c:minorTickMark val="none"/>
        <c:tickLblPos val="nextTo"/>
        <c:crossAx val="1724301312"/>
        <c:crosses val="max"/>
        <c:crossBetween val="between"/>
      </c:valAx>
      <c:catAx>
        <c:axId val="1724301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7242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Affordability for owners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spPr>
            <a:solidFill>
              <a:schemeClr val="accent6">
                <a:lumMod val="60000"/>
                <a:lumOff val="40000"/>
                <a:alpha val="54000"/>
              </a:schemeClr>
            </a:solidFill>
            <a:ln>
              <a:noFill/>
            </a:ln>
            <a:effectLst/>
          </c:spPr>
          <c:cat>
            <c:numRef>
              <c:f>'All suburbs'!$H$7:$H$22</c:f>
              <c:numCache>
                <c:formatCode>0.0%</c:formatCode>
                <c:ptCount val="16"/>
                <c:pt idx="0">
                  <c:v>0.96615568385427031</c:v>
                </c:pt>
                <c:pt idx="1">
                  <c:v>0.94644634680469841</c:v>
                </c:pt>
                <c:pt idx="2">
                  <c:v>0.9201672307386024</c:v>
                </c:pt>
                <c:pt idx="3">
                  <c:v>0.83854270356360738</c:v>
                </c:pt>
                <c:pt idx="4">
                  <c:v>0.78638263985665935</c:v>
                </c:pt>
                <c:pt idx="5">
                  <c:v>0.70814254429623724</c:v>
                </c:pt>
                <c:pt idx="6">
                  <c:v>0.64144933306788765</c:v>
                </c:pt>
                <c:pt idx="7">
                  <c:v>0.55962572168027069</c:v>
                </c:pt>
                <c:pt idx="8">
                  <c:v>0.4754130997411905</c:v>
                </c:pt>
                <c:pt idx="9">
                  <c:v>0.42146127812064504</c:v>
                </c:pt>
                <c:pt idx="10">
                  <c:v>0.36731037228747765</c:v>
                </c:pt>
                <c:pt idx="11">
                  <c:v>0.251642444754131</c:v>
                </c:pt>
                <c:pt idx="12">
                  <c:v>0.1799721282102329</c:v>
                </c:pt>
                <c:pt idx="13">
                  <c:v>0.11845510651005375</c:v>
                </c:pt>
                <c:pt idx="14">
                  <c:v>8.1823611387616957E-2</c:v>
                </c:pt>
                <c:pt idx="15">
                  <c:v>0</c:v>
                </c:pt>
              </c:numCache>
            </c:numRef>
          </c:cat>
          <c:val>
            <c:numRef>
              <c:f>'Scone affordability'!$J$7:$J$22</c:f>
              <c:numCache>
                <c:formatCode>0.00%</c:formatCode>
                <c:ptCount val="16"/>
                <c:pt idx="0">
                  <c:v>1.7100000000000001E-2</c:v>
                </c:pt>
                <c:pt idx="1">
                  <c:v>1.7100000000000001E-2</c:v>
                </c:pt>
                <c:pt idx="2">
                  <c:v>1.7100000000000001E-2</c:v>
                </c:pt>
                <c:pt idx="3">
                  <c:v>1.7100000000000001E-2</c:v>
                </c:pt>
                <c:pt idx="4">
                  <c:v>1.7100000000000001E-2</c:v>
                </c:pt>
                <c:pt idx="5">
                  <c:v>1.7100000000000001E-2</c:v>
                </c:pt>
                <c:pt idx="6">
                  <c:v>1.7100000000000001E-2</c:v>
                </c:pt>
                <c:pt idx="7">
                  <c:v>1.7100000000000001E-2</c:v>
                </c:pt>
                <c:pt idx="8">
                  <c:v>1.7100000000000001E-2</c:v>
                </c:pt>
                <c:pt idx="9">
                  <c:v>1.7100000000000001E-2</c:v>
                </c:pt>
                <c:pt idx="10">
                  <c:v>1.7100000000000001E-2</c:v>
                </c:pt>
                <c:pt idx="11">
                  <c:v>1.7100000000000001E-2</c:v>
                </c:pt>
                <c:pt idx="12">
                  <c:v>1.7100000000000001E-2</c:v>
                </c:pt>
                <c:pt idx="13">
                  <c:v>1.7100000000000001E-2</c:v>
                </c:pt>
                <c:pt idx="14">
                  <c:v>1.7100000000000001E-2</c:v>
                </c:pt>
                <c:pt idx="15">
                  <c:v>1.7100000000000001E-2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F-4923-A54C-D32F35232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301312"/>
        <c:axId val="1724290752"/>
      </c:areaChart>
      <c:scatterChart>
        <c:scatterStyle val="smoothMarker"/>
        <c:varyColors val="0"/>
        <c:ser>
          <c:idx val="0"/>
          <c:order val="0"/>
          <c:spPr>
            <a:ln w="476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'Scone affordability'!$H$7:$H$22</c:f>
              <c:numCache>
                <c:formatCode>0.0%</c:formatCode>
                <c:ptCount val="16"/>
                <c:pt idx="0">
                  <c:v>0.97445845457484648</c:v>
                </c:pt>
                <c:pt idx="1">
                  <c:v>0.95958616230197225</c:v>
                </c:pt>
                <c:pt idx="2">
                  <c:v>0.93857096669899776</c:v>
                </c:pt>
                <c:pt idx="3">
                  <c:v>0.87067571936631105</c:v>
                </c:pt>
                <c:pt idx="4">
                  <c:v>0.82702877465244096</c:v>
                </c:pt>
                <c:pt idx="5">
                  <c:v>0.76462980924668611</c:v>
                </c:pt>
                <c:pt idx="6">
                  <c:v>0.70934367927578401</c:v>
                </c:pt>
                <c:pt idx="7">
                  <c:v>0.63045586808923382</c:v>
                </c:pt>
                <c:pt idx="8">
                  <c:v>0.5512447462010992</c:v>
                </c:pt>
                <c:pt idx="9">
                  <c:v>0.50145489815712896</c:v>
                </c:pt>
                <c:pt idx="10">
                  <c:v>0.44875525379890069</c:v>
                </c:pt>
                <c:pt idx="11">
                  <c:v>0.34141610087293894</c:v>
                </c:pt>
                <c:pt idx="12">
                  <c:v>0.2686711930164889</c:v>
                </c:pt>
                <c:pt idx="13">
                  <c:v>0.20562560620756543</c:v>
                </c:pt>
                <c:pt idx="14">
                  <c:v>0.16618170061429038</c:v>
                </c:pt>
                <c:pt idx="15">
                  <c:v>7.6624636275460678E-2</c:v>
                </c:pt>
              </c:numCache>
            </c:numRef>
          </c:xVal>
          <c:yVal>
            <c:numRef>
              <c:f>'Scone affordability'!$I$7:$I$22</c:f>
              <c:numCache>
                <c:formatCode>0.0%</c:formatCode>
                <c:ptCount val="16"/>
                <c:pt idx="0">
                  <c:v>6.8400000000000002E-2</c:v>
                </c:pt>
                <c:pt idx="1">
                  <c:v>3.4200000000000001E-2</c:v>
                </c:pt>
                <c:pt idx="2">
                  <c:v>1.7100000000000001E-2</c:v>
                </c:pt>
                <c:pt idx="3">
                  <c:v>1.2825E-2</c:v>
                </c:pt>
                <c:pt idx="4">
                  <c:v>1.026E-2</c:v>
                </c:pt>
                <c:pt idx="5">
                  <c:v>7.8923076923076915E-3</c:v>
                </c:pt>
                <c:pt idx="6">
                  <c:v>6.4124999999999998E-3</c:v>
                </c:pt>
                <c:pt idx="7">
                  <c:v>5.13E-3</c:v>
                </c:pt>
                <c:pt idx="8">
                  <c:v>4.104E-3</c:v>
                </c:pt>
                <c:pt idx="9">
                  <c:v>3.4199999999999999E-3</c:v>
                </c:pt>
                <c:pt idx="10">
                  <c:v>2.9314285714285714E-3</c:v>
                </c:pt>
                <c:pt idx="11">
                  <c:v>2.565E-3</c:v>
                </c:pt>
                <c:pt idx="12">
                  <c:v>2.052E-3</c:v>
                </c:pt>
                <c:pt idx="13">
                  <c:v>1.7099999999999999E-3</c:v>
                </c:pt>
                <c:pt idx="14">
                  <c:v>1.4657142857142857E-3</c:v>
                </c:pt>
                <c:pt idx="15">
                  <c:v>1.2825E-3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AF-4923-A54C-D32F35232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772832"/>
        <c:axId val="1556773792"/>
      </c:scatterChart>
      <c:valAx>
        <c:axId val="1556772832"/>
        <c:scaling>
          <c:orientation val="minMax"/>
          <c:max val="1.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of owners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3792"/>
        <c:crosses val="autoZero"/>
        <c:crossBetween val="midCat"/>
      </c:valAx>
      <c:valAx>
        <c:axId val="1556773792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% of</a:t>
                </a:r>
                <a:r>
                  <a:rPr lang="en-US" baseline="0"/>
                  <a:t> weekly income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2832"/>
        <c:crosses val="autoZero"/>
        <c:crossBetween val="midCat"/>
      </c:valAx>
      <c:valAx>
        <c:axId val="1724290752"/>
        <c:scaling>
          <c:orientation val="minMax"/>
          <c:max val="8.0000000000000016E-2"/>
        </c:scaling>
        <c:delete val="1"/>
        <c:axPos val="r"/>
        <c:numFmt formatCode="0.00%" sourceLinked="1"/>
        <c:majorTickMark val="out"/>
        <c:minorTickMark val="none"/>
        <c:tickLblPos val="nextTo"/>
        <c:crossAx val="1724301312"/>
        <c:crosses val="max"/>
        <c:crossBetween val="between"/>
      </c:valAx>
      <c:catAx>
        <c:axId val="1724301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7242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Affordability for tenants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spPr>
            <a:solidFill>
              <a:schemeClr val="accent6">
                <a:lumMod val="40000"/>
                <a:lumOff val="60000"/>
                <a:alpha val="56000"/>
              </a:schemeClr>
            </a:solidFill>
            <a:ln w="25400">
              <a:noFill/>
            </a:ln>
            <a:effectLst/>
          </c:spPr>
          <c:cat>
            <c:numRef>
              <c:f>'All suburbs'!$H$7:$H$22</c:f>
              <c:numCache>
                <c:formatCode>0.0%</c:formatCode>
                <c:ptCount val="16"/>
                <c:pt idx="0">
                  <c:v>0.96615568385427031</c:v>
                </c:pt>
                <c:pt idx="1">
                  <c:v>0.94644634680469841</c:v>
                </c:pt>
                <c:pt idx="2">
                  <c:v>0.9201672307386024</c:v>
                </c:pt>
                <c:pt idx="3">
                  <c:v>0.83854270356360738</c:v>
                </c:pt>
                <c:pt idx="4">
                  <c:v>0.78638263985665935</c:v>
                </c:pt>
                <c:pt idx="5">
                  <c:v>0.70814254429623724</c:v>
                </c:pt>
                <c:pt idx="6">
                  <c:v>0.64144933306788765</c:v>
                </c:pt>
                <c:pt idx="7">
                  <c:v>0.55962572168027069</c:v>
                </c:pt>
                <c:pt idx="8">
                  <c:v>0.4754130997411905</c:v>
                </c:pt>
                <c:pt idx="9">
                  <c:v>0.42146127812064504</c:v>
                </c:pt>
                <c:pt idx="10">
                  <c:v>0.36731037228747765</c:v>
                </c:pt>
                <c:pt idx="11">
                  <c:v>0.251642444754131</c:v>
                </c:pt>
                <c:pt idx="12">
                  <c:v>0.1799721282102329</c:v>
                </c:pt>
                <c:pt idx="13">
                  <c:v>0.11845510651005375</c:v>
                </c:pt>
                <c:pt idx="14">
                  <c:v>8.1823611387616957E-2</c:v>
                </c:pt>
                <c:pt idx="15">
                  <c:v>0</c:v>
                </c:pt>
              </c:numCache>
            </c:numRef>
          </c:cat>
          <c:val>
            <c:numRef>
              <c:f>'Scone affordability'!$M$34:$M$47</c:f>
              <c:numCache>
                <c:formatCode>0.00%</c:formatCode>
                <c:ptCount val="14"/>
                <c:pt idx="0">
                  <c:v>4.120481927710843E-2</c:v>
                </c:pt>
                <c:pt idx="1">
                  <c:v>4.120481927710843E-2</c:v>
                </c:pt>
                <c:pt idx="2">
                  <c:v>4.120481927710843E-2</c:v>
                </c:pt>
                <c:pt idx="3">
                  <c:v>4.120481927710843E-2</c:v>
                </c:pt>
                <c:pt idx="4">
                  <c:v>4.120481927710843E-2</c:v>
                </c:pt>
                <c:pt idx="5">
                  <c:v>4.120481927710843E-2</c:v>
                </c:pt>
                <c:pt idx="6">
                  <c:v>4.120481927710843E-2</c:v>
                </c:pt>
                <c:pt idx="7">
                  <c:v>4.120481927710843E-2</c:v>
                </c:pt>
                <c:pt idx="8">
                  <c:v>4.120481927710843E-2</c:v>
                </c:pt>
                <c:pt idx="9">
                  <c:v>4.120481927710843E-2</c:v>
                </c:pt>
                <c:pt idx="10">
                  <c:v>4.120481927710843E-2</c:v>
                </c:pt>
                <c:pt idx="11">
                  <c:v>4.120481927710843E-2</c:v>
                </c:pt>
                <c:pt idx="12">
                  <c:v>4.120481927710843E-2</c:v>
                </c:pt>
                <c:pt idx="13">
                  <c:v>4.120481927710843E-2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E-4929-AD58-3803C23FE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301312"/>
        <c:axId val="1724290752"/>
      </c:areaChart>
      <c:scatterChart>
        <c:scatterStyle val="smoothMarker"/>
        <c:varyColors val="0"/>
        <c:ser>
          <c:idx val="0"/>
          <c:order val="0"/>
          <c:spPr>
            <a:ln w="476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'Scone affordability'!$K$35:$K$47</c:f>
              <c:numCache>
                <c:formatCode>0%</c:formatCode>
                <c:ptCount val="13"/>
                <c:pt idx="0">
                  <c:v>0.98143236074270557</c:v>
                </c:pt>
                <c:pt idx="1">
                  <c:v>0.92572944297082227</c:v>
                </c:pt>
                <c:pt idx="2">
                  <c:v>0.81432360742705567</c:v>
                </c:pt>
                <c:pt idx="3">
                  <c:v>0.71618037135278523</c:v>
                </c:pt>
                <c:pt idx="4">
                  <c:v>0.54244031830238726</c:v>
                </c:pt>
                <c:pt idx="5">
                  <c:v>0.29840848806366049</c:v>
                </c:pt>
                <c:pt idx="6">
                  <c:v>9.0185676392572911E-2</c:v>
                </c:pt>
                <c:pt idx="7">
                  <c:v>2.3872679045092826E-2</c:v>
                </c:pt>
                <c:pt idx="8">
                  <c:v>1.1936339522546469E-2</c:v>
                </c:pt>
                <c:pt idx="9">
                  <c:v>7.9575596816976457E-3</c:v>
                </c:pt>
                <c:pt idx="10">
                  <c:v>7.9575596816976457E-3</c:v>
                </c:pt>
                <c:pt idx="11">
                  <c:v>7.9575596816976457E-3</c:v>
                </c:pt>
                <c:pt idx="12">
                  <c:v>0</c:v>
                </c:pt>
              </c:numCache>
            </c:numRef>
          </c:xVal>
          <c:yVal>
            <c:numRef>
              <c:f>'Scone affordability'!$L$35:$L$47</c:f>
              <c:numCache>
                <c:formatCode>0.0%</c:formatCode>
                <c:ptCount val="13"/>
                <c:pt idx="0">
                  <c:v>5.8965517241379307E-2</c:v>
                </c:pt>
                <c:pt idx="1">
                  <c:v>4.120481927710843E-2</c:v>
                </c:pt>
                <c:pt idx="2">
                  <c:v>2.9398280802292263E-2</c:v>
                </c:pt>
                <c:pt idx="3">
                  <c:v>2.4198113207547171E-2</c:v>
                </c:pt>
                <c:pt idx="4">
                  <c:v>2.0561122244488979E-2</c:v>
                </c:pt>
                <c:pt idx="5">
                  <c:v>1.6442307692307694E-2</c:v>
                </c:pt>
                <c:pt idx="6">
                  <c:v>1.2841051314142678E-2</c:v>
                </c:pt>
                <c:pt idx="7">
                  <c:v>1.0270270270270269E-2</c:v>
                </c:pt>
                <c:pt idx="8">
                  <c:v>8.5571309424520431E-3</c:v>
                </c:pt>
                <c:pt idx="9">
                  <c:v>7.333809864188706E-3</c:v>
                </c:pt>
                <c:pt idx="10">
                  <c:v>6.4165103189493429E-3</c:v>
                </c:pt>
                <c:pt idx="11">
                  <c:v>5.703168426903835E-3</c:v>
                </c:pt>
                <c:pt idx="12">
                  <c:v>5.2615384615384616E-3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2E-4929-AD58-3803C23FE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772832"/>
        <c:axId val="1556773792"/>
      </c:scatterChart>
      <c:valAx>
        <c:axId val="1556772832"/>
        <c:scaling>
          <c:orientation val="minMax"/>
          <c:max val="1.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of Tenants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3792"/>
        <c:crosses val="autoZero"/>
        <c:crossBetween val="midCat"/>
      </c:valAx>
      <c:valAx>
        <c:axId val="1556773792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% of</a:t>
                </a:r>
                <a:r>
                  <a:rPr lang="en-US" baseline="0"/>
                  <a:t> weekly rent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2832"/>
        <c:crosses val="autoZero"/>
        <c:crossBetween val="midCat"/>
      </c:valAx>
      <c:valAx>
        <c:axId val="1724290752"/>
        <c:scaling>
          <c:orientation val="minMax"/>
          <c:max val="8.0000000000000016E-2"/>
        </c:scaling>
        <c:delete val="1"/>
        <c:axPos val="r"/>
        <c:numFmt formatCode="0.00%" sourceLinked="1"/>
        <c:majorTickMark val="out"/>
        <c:minorTickMark val="none"/>
        <c:tickLblPos val="nextTo"/>
        <c:crossAx val="1724301312"/>
        <c:crosses val="max"/>
        <c:crossBetween val="between"/>
      </c:valAx>
      <c:catAx>
        <c:axId val="1724301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7242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Affordability for owners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spPr>
            <a:solidFill>
              <a:schemeClr val="accent6">
                <a:lumMod val="60000"/>
                <a:lumOff val="40000"/>
                <a:alpha val="54000"/>
              </a:schemeClr>
            </a:solidFill>
            <a:ln>
              <a:noFill/>
            </a:ln>
            <a:effectLst/>
          </c:spPr>
          <c:cat>
            <c:numRef>
              <c:f>'All suburbs'!$H$7:$H$22</c:f>
              <c:numCache>
                <c:formatCode>0.0%</c:formatCode>
                <c:ptCount val="16"/>
                <c:pt idx="0">
                  <c:v>0.96615568385427031</c:v>
                </c:pt>
                <c:pt idx="1">
                  <c:v>0.94644634680469841</c:v>
                </c:pt>
                <c:pt idx="2">
                  <c:v>0.9201672307386024</c:v>
                </c:pt>
                <c:pt idx="3">
                  <c:v>0.83854270356360738</c:v>
                </c:pt>
                <c:pt idx="4">
                  <c:v>0.78638263985665935</c:v>
                </c:pt>
                <c:pt idx="5">
                  <c:v>0.70814254429623724</c:v>
                </c:pt>
                <c:pt idx="6">
                  <c:v>0.64144933306788765</c:v>
                </c:pt>
                <c:pt idx="7">
                  <c:v>0.55962572168027069</c:v>
                </c:pt>
                <c:pt idx="8">
                  <c:v>0.4754130997411905</c:v>
                </c:pt>
                <c:pt idx="9">
                  <c:v>0.42146127812064504</c:v>
                </c:pt>
                <c:pt idx="10">
                  <c:v>0.36731037228747765</c:v>
                </c:pt>
                <c:pt idx="11">
                  <c:v>0.251642444754131</c:v>
                </c:pt>
                <c:pt idx="12">
                  <c:v>0.1799721282102329</c:v>
                </c:pt>
                <c:pt idx="13">
                  <c:v>0.11845510651005375</c:v>
                </c:pt>
                <c:pt idx="14">
                  <c:v>8.1823611387616957E-2</c:v>
                </c:pt>
                <c:pt idx="15">
                  <c:v>0</c:v>
                </c:pt>
              </c:numCache>
            </c:numRef>
          </c:cat>
          <c:val>
            <c:numRef>
              <c:f>'Murrurundi Affordability'!$J$7:$J$22</c:f>
              <c:numCache>
                <c:formatCode>0.00%</c:formatCode>
                <c:ptCount val="16"/>
                <c:pt idx="0">
                  <c:v>1.78E-2</c:v>
                </c:pt>
                <c:pt idx="1">
                  <c:v>1.78E-2</c:v>
                </c:pt>
                <c:pt idx="2">
                  <c:v>1.78E-2</c:v>
                </c:pt>
                <c:pt idx="3">
                  <c:v>1.78E-2</c:v>
                </c:pt>
                <c:pt idx="4">
                  <c:v>1.78E-2</c:v>
                </c:pt>
                <c:pt idx="5">
                  <c:v>1.78E-2</c:v>
                </c:pt>
                <c:pt idx="6">
                  <c:v>1.78E-2</c:v>
                </c:pt>
                <c:pt idx="7">
                  <c:v>1.78E-2</c:v>
                </c:pt>
                <c:pt idx="8">
                  <c:v>1.78E-2</c:v>
                </c:pt>
                <c:pt idx="9">
                  <c:v>1.78E-2</c:v>
                </c:pt>
                <c:pt idx="10">
                  <c:v>1.78E-2</c:v>
                </c:pt>
                <c:pt idx="11">
                  <c:v>1.78E-2</c:v>
                </c:pt>
                <c:pt idx="12">
                  <c:v>1.78E-2</c:v>
                </c:pt>
                <c:pt idx="13">
                  <c:v>1.78E-2</c:v>
                </c:pt>
                <c:pt idx="14">
                  <c:v>1.78E-2</c:v>
                </c:pt>
                <c:pt idx="15">
                  <c:v>1.78E-2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CAB-BE2A-D26A6F86B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301312"/>
        <c:axId val="1724290752"/>
      </c:areaChart>
      <c:scatterChart>
        <c:scatterStyle val="smoothMarker"/>
        <c:varyColors val="0"/>
        <c:ser>
          <c:idx val="0"/>
          <c:order val="0"/>
          <c:spPr>
            <a:ln w="476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'Murrurundi Affordability'!$H$7:$H$22</c:f>
              <c:numCache>
                <c:formatCode>0.0%</c:formatCode>
                <c:ptCount val="16"/>
                <c:pt idx="0">
                  <c:v>0.95431472081218272</c:v>
                </c:pt>
                <c:pt idx="1">
                  <c:v>0.93231810490693734</c:v>
                </c:pt>
                <c:pt idx="2">
                  <c:v>0.89509306260575294</c:v>
                </c:pt>
                <c:pt idx="3">
                  <c:v>0.7766497461928934</c:v>
                </c:pt>
                <c:pt idx="4">
                  <c:v>0.71742808798646363</c:v>
                </c:pt>
                <c:pt idx="5">
                  <c:v>0.59560067681895101</c:v>
                </c:pt>
                <c:pt idx="6">
                  <c:v>0.54145516074450084</c:v>
                </c:pt>
                <c:pt idx="7">
                  <c:v>0.46700507614213194</c:v>
                </c:pt>
                <c:pt idx="8">
                  <c:v>0.39593908629441621</c:v>
                </c:pt>
                <c:pt idx="9">
                  <c:v>0.3536379018612521</c:v>
                </c:pt>
                <c:pt idx="10">
                  <c:v>0.31472081218274117</c:v>
                </c:pt>
                <c:pt idx="11">
                  <c:v>0.23011844331641285</c:v>
                </c:pt>
                <c:pt idx="12">
                  <c:v>0.18612521150592221</c:v>
                </c:pt>
                <c:pt idx="13">
                  <c:v>0.15397631133671741</c:v>
                </c:pt>
                <c:pt idx="14">
                  <c:v>0.13536379018612521</c:v>
                </c:pt>
                <c:pt idx="15">
                  <c:v>9.6446700507614169E-2</c:v>
                </c:pt>
              </c:numCache>
            </c:numRef>
          </c:xVal>
          <c:yVal>
            <c:numRef>
              <c:f>'Murrurundi Affordability'!$I$7:$I$22</c:f>
              <c:numCache>
                <c:formatCode>0.0%</c:formatCode>
                <c:ptCount val="16"/>
                <c:pt idx="0">
                  <c:v>3.56E-2</c:v>
                </c:pt>
                <c:pt idx="1">
                  <c:v>1.78E-2</c:v>
                </c:pt>
                <c:pt idx="2">
                  <c:v>8.8999999999999999E-3</c:v>
                </c:pt>
                <c:pt idx="3">
                  <c:v>6.6749999999999995E-3</c:v>
                </c:pt>
                <c:pt idx="4">
                  <c:v>5.3400000000000001E-3</c:v>
                </c:pt>
                <c:pt idx="5">
                  <c:v>4.1076923076923079E-3</c:v>
                </c:pt>
                <c:pt idx="6">
                  <c:v>3.3374999999999998E-3</c:v>
                </c:pt>
                <c:pt idx="7">
                  <c:v>2.6700000000000001E-3</c:v>
                </c:pt>
                <c:pt idx="8">
                  <c:v>2.1359999999999999E-3</c:v>
                </c:pt>
                <c:pt idx="9">
                  <c:v>1.7799999999999999E-3</c:v>
                </c:pt>
                <c:pt idx="10">
                  <c:v>1.5257142857142856E-3</c:v>
                </c:pt>
                <c:pt idx="11">
                  <c:v>1.335E-3</c:v>
                </c:pt>
                <c:pt idx="12">
                  <c:v>1.0679999999999999E-3</c:v>
                </c:pt>
                <c:pt idx="13">
                  <c:v>8.8999999999999995E-4</c:v>
                </c:pt>
                <c:pt idx="14">
                  <c:v>7.6285714285714281E-4</c:v>
                </c:pt>
                <c:pt idx="15">
                  <c:v>6.6750000000000002E-4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DA-4CAB-BE2A-D26A6F86B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772832"/>
        <c:axId val="1556773792"/>
      </c:scatterChart>
      <c:valAx>
        <c:axId val="1556772832"/>
        <c:scaling>
          <c:orientation val="minMax"/>
          <c:max val="1.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of owners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3792"/>
        <c:crosses val="autoZero"/>
        <c:crossBetween val="midCat"/>
      </c:valAx>
      <c:valAx>
        <c:axId val="1556773792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% of</a:t>
                </a:r>
                <a:r>
                  <a:rPr lang="en-US" baseline="0"/>
                  <a:t> weekly income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2832"/>
        <c:crosses val="autoZero"/>
        <c:crossBetween val="midCat"/>
      </c:valAx>
      <c:valAx>
        <c:axId val="1724290752"/>
        <c:scaling>
          <c:orientation val="minMax"/>
          <c:max val="8.0000000000000016E-2"/>
        </c:scaling>
        <c:delete val="1"/>
        <c:axPos val="r"/>
        <c:numFmt formatCode="0.00%" sourceLinked="1"/>
        <c:majorTickMark val="out"/>
        <c:minorTickMark val="none"/>
        <c:tickLblPos val="nextTo"/>
        <c:crossAx val="1724301312"/>
        <c:crosses val="max"/>
        <c:crossBetween val="between"/>
      </c:valAx>
      <c:catAx>
        <c:axId val="1724301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7242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Affordability for tenants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spPr>
            <a:solidFill>
              <a:schemeClr val="accent6">
                <a:lumMod val="40000"/>
                <a:lumOff val="60000"/>
                <a:alpha val="56000"/>
              </a:schemeClr>
            </a:solidFill>
            <a:ln w="25400">
              <a:noFill/>
            </a:ln>
            <a:effectLst/>
          </c:spPr>
          <c:cat>
            <c:numRef>
              <c:f>'All suburbs'!$H$7:$H$22</c:f>
              <c:numCache>
                <c:formatCode>0.0%</c:formatCode>
                <c:ptCount val="16"/>
                <c:pt idx="0">
                  <c:v>0.96615568385427031</c:v>
                </c:pt>
                <c:pt idx="1">
                  <c:v>0.94644634680469841</c:v>
                </c:pt>
                <c:pt idx="2">
                  <c:v>0.9201672307386024</c:v>
                </c:pt>
                <c:pt idx="3">
                  <c:v>0.83854270356360738</c:v>
                </c:pt>
                <c:pt idx="4">
                  <c:v>0.78638263985665935</c:v>
                </c:pt>
                <c:pt idx="5">
                  <c:v>0.70814254429623724</c:v>
                </c:pt>
                <c:pt idx="6">
                  <c:v>0.64144933306788765</c:v>
                </c:pt>
                <c:pt idx="7">
                  <c:v>0.55962572168027069</c:v>
                </c:pt>
                <c:pt idx="8">
                  <c:v>0.4754130997411905</c:v>
                </c:pt>
                <c:pt idx="9">
                  <c:v>0.42146127812064504</c:v>
                </c:pt>
                <c:pt idx="10">
                  <c:v>0.36731037228747765</c:v>
                </c:pt>
                <c:pt idx="11">
                  <c:v>0.251642444754131</c:v>
                </c:pt>
                <c:pt idx="12">
                  <c:v>0.1799721282102329</c:v>
                </c:pt>
                <c:pt idx="13">
                  <c:v>0.11845510651005375</c:v>
                </c:pt>
                <c:pt idx="14">
                  <c:v>8.1823611387616957E-2</c:v>
                </c:pt>
                <c:pt idx="15">
                  <c:v>0</c:v>
                </c:pt>
              </c:numCache>
            </c:numRef>
          </c:cat>
          <c:val>
            <c:numRef>
              <c:f>'Murrurundi Affordability'!$M$34:$M$47</c:f>
              <c:numCache>
                <c:formatCode>0.00%</c:formatCode>
                <c:ptCount val="14"/>
                <c:pt idx="0">
                  <c:v>3.0689655172413791E-2</c:v>
                </c:pt>
                <c:pt idx="1">
                  <c:v>3.0689655172413791E-2</c:v>
                </c:pt>
                <c:pt idx="2">
                  <c:v>3.0689655172413791E-2</c:v>
                </c:pt>
                <c:pt idx="3">
                  <c:v>3.0689655172413791E-2</c:v>
                </c:pt>
                <c:pt idx="4">
                  <c:v>3.0689655172413791E-2</c:v>
                </c:pt>
                <c:pt idx="5">
                  <c:v>3.0689655172413791E-2</c:v>
                </c:pt>
                <c:pt idx="6">
                  <c:v>3.0689655172413791E-2</c:v>
                </c:pt>
                <c:pt idx="7">
                  <c:v>3.0689655172413791E-2</c:v>
                </c:pt>
                <c:pt idx="8">
                  <c:v>3.0689655172413791E-2</c:v>
                </c:pt>
                <c:pt idx="9">
                  <c:v>3.0689655172413791E-2</c:v>
                </c:pt>
                <c:pt idx="10">
                  <c:v>3.0689655172413791E-2</c:v>
                </c:pt>
                <c:pt idx="11">
                  <c:v>3.0689655172413791E-2</c:v>
                </c:pt>
                <c:pt idx="12">
                  <c:v>3.0689655172413791E-2</c:v>
                </c:pt>
                <c:pt idx="13">
                  <c:v>3.0689655172413791E-2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1-4FCD-9F4E-2CBAD5451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301312"/>
        <c:axId val="1724290752"/>
      </c:areaChart>
      <c:scatterChart>
        <c:scatterStyle val="smoothMarker"/>
        <c:varyColors val="0"/>
        <c:ser>
          <c:idx val="0"/>
          <c:order val="0"/>
          <c:spPr>
            <a:ln w="476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'Murrurundi Affordability'!$K$35:$K$47</c:f>
              <c:numCache>
                <c:formatCode>0%</c:formatCode>
                <c:ptCount val="13"/>
                <c:pt idx="0">
                  <c:v>1</c:v>
                </c:pt>
                <c:pt idx="1">
                  <c:v>0.87962962962962965</c:v>
                </c:pt>
                <c:pt idx="2">
                  <c:v>0.75</c:v>
                </c:pt>
                <c:pt idx="3">
                  <c:v>0.62037037037037035</c:v>
                </c:pt>
                <c:pt idx="4">
                  <c:v>0.28703703703703709</c:v>
                </c:pt>
                <c:pt idx="5">
                  <c:v>9.259259259259256E-2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'Murrurundi Affordability'!$L$35:$L$47</c:f>
              <c:numCache>
                <c:formatCode>0.0%</c:formatCode>
                <c:ptCount val="13"/>
                <c:pt idx="0">
                  <c:v>3.0689655172413791E-2</c:v>
                </c:pt>
                <c:pt idx="1">
                  <c:v>2.1445783132530118E-2</c:v>
                </c:pt>
                <c:pt idx="2">
                  <c:v>1.5300859598853868E-2</c:v>
                </c:pt>
                <c:pt idx="3">
                  <c:v>1.2594339622641509E-2</c:v>
                </c:pt>
                <c:pt idx="4">
                  <c:v>1.0701402805611222E-2</c:v>
                </c:pt>
                <c:pt idx="5">
                  <c:v>8.5576923076923078E-3</c:v>
                </c:pt>
                <c:pt idx="6">
                  <c:v>6.6833541927409264E-3</c:v>
                </c:pt>
                <c:pt idx="7">
                  <c:v>5.3453453453453448E-3</c:v>
                </c:pt>
                <c:pt idx="8">
                  <c:v>4.4537114261884907E-3</c:v>
                </c:pt>
                <c:pt idx="9">
                  <c:v>3.817012151536812E-3</c:v>
                </c:pt>
                <c:pt idx="10">
                  <c:v>3.3395872420262664E-3</c:v>
                </c:pt>
                <c:pt idx="11">
                  <c:v>2.9683157309616454E-3</c:v>
                </c:pt>
                <c:pt idx="12">
                  <c:v>2.7384615384615386E-3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11-4FCD-9F4E-2CBAD5451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772832"/>
        <c:axId val="1556773792"/>
      </c:scatterChart>
      <c:valAx>
        <c:axId val="1556772832"/>
        <c:scaling>
          <c:orientation val="minMax"/>
          <c:max val="1.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of Tenants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3792"/>
        <c:crosses val="autoZero"/>
        <c:crossBetween val="midCat"/>
      </c:valAx>
      <c:valAx>
        <c:axId val="1556773792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% of</a:t>
                </a:r>
                <a:r>
                  <a:rPr lang="en-US" baseline="0"/>
                  <a:t> weekly rent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2832"/>
        <c:crosses val="autoZero"/>
        <c:crossBetween val="midCat"/>
      </c:valAx>
      <c:valAx>
        <c:axId val="1724290752"/>
        <c:scaling>
          <c:orientation val="minMax"/>
          <c:max val="8.0000000000000016E-2"/>
        </c:scaling>
        <c:delete val="1"/>
        <c:axPos val="r"/>
        <c:numFmt formatCode="0.00%" sourceLinked="1"/>
        <c:majorTickMark val="out"/>
        <c:minorTickMark val="none"/>
        <c:tickLblPos val="nextTo"/>
        <c:crossAx val="1724301312"/>
        <c:crosses val="max"/>
        <c:crossBetween val="between"/>
      </c:valAx>
      <c:catAx>
        <c:axId val="1724301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7242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Affordability for owners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spPr>
            <a:solidFill>
              <a:schemeClr val="accent6">
                <a:lumMod val="60000"/>
                <a:lumOff val="40000"/>
                <a:alpha val="54000"/>
              </a:schemeClr>
            </a:solidFill>
            <a:ln>
              <a:noFill/>
            </a:ln>
            <a:effectLst/>
          </c:spPr>
          <c:cat>
            <c:numRef>
              <c:f>'All suburbs'!$H$7:$H$22</c:f>
              <c:numCache>
                <c:formatCode>0.0%</c:formatCode>
                <c:ptCount val="16"/>
                <c:pt idx="0">
                  <c:v>0.96615568385427031</c:v>
                </c:pt>
                <c:pt idx="1">
                  <c:v>0.94644634680469841</c:v>
                </c:pt>
                <c:pt idx="2">
                  <c:v>0.9201672307386024</c:v>
                </c:pt>
                <c:pt idx="3">
                  <c:v>0.83854270356360738</c:v>
                </c:pt>
                <c:pt idx="4">
                  <c:v>0.78638263985665935</c:v>
                </c:pt>
                <c:pt idx="5">
                  <c:v>0.70814254429623724</c:v>
                </c:pt>
                <c:pt idx="6">
                  <c:v>0.64144933306788765</c:v>
                </c:pt>
                <c:pt idx="7">
                  <c:v>0.55962572168027069</c:v>
                </c:pt>
                <c:pt idx="8">
                  <c:v>0.4754130997411905</c:v>
                </c:pt>
                <c:pt idx="9">
                  <c:v>0.42146127812064504</c:v>
                </c:pt>
                <c:pt idx="10">
                  <c:v>0.36731037228747765</c:v>
                </c:pt>
                <c:pt idx="11">
                  <c:v>0.251642444754131</c:v>
                </c:pt>
                <c:pt idx="12">
                  <c:v>0.1799721282102329</c:v>
                </c:pt>
                <c:pt idx="13">
                  <c:v>0.11845510651005375</c:v>
                </c:pt>
                <c:pt idx="14">
                  <c:v>8.1823611387616957E-2</c:v>
                </c:pt>
                <c:pt idx="15">
                  <c:v>0</c:v>
                </c:pt>
              </c:numCache>
            </c:numRef>
          </c:cat>
          <c:val>
            <c:numRef>
              <c:f>'Aberdeen Affordability'!$J$7:$J$22</c:f>
              <c:numCache>
                <c:formatCode>0.00%</c:formatCode>
                <c:ptCount val="16"/>
                <c:pt idx="0">
                  <c:v>9.633333333333334E-3</c:v>
                </c:pt>
                <c:pt idx="1">
                  <c:v>9.633333333333334E-3</c:v>
                </c:pt>
                <c:pt idx="2">
                  <c:v>9.633333333333334E-3</c:v>
                </c:pt>
                <c:pt idx="3">
                  <c:v>9.633333333333334E-3</c:v>
                </c:pt>
                <c:pt idx="4">
                  <c:v>9.633333333333334E-3</c:v>
                </c:pt>
                <c:pt idx="5">
                  <c:v>9.633333333333334E-3</c:v>
                </c:pt>
                <c:pt idx="6">
                  <c:v>9.633333333333334E-3</c:v>
                </c:pt>
                <c:pt idx="7">
                  <c:v>9.633333333333334E-3</c:v>
                </c:pt>
                <c:pt idx="8">
                  <c:v>9.633333333333334E-3</c:v>
                </c:pt>
                <c:pt idx="9">
                  <c:v>9.633333333333334E-3</c:v>
                </c:pt>
                <c:pt idx="10">
                  <c:v>9.633333333333334E-3</c:v>
                </c:pt>
                <c:pt idx="11">
                  <c:v>9.633333333333334E-3</c:v>
                </c:pt>
                <c:pt idx="12">
                  <c:v>9.633333333333334E-3</c:v>
                </c:pt>
                <c:pt idx="13">
                  <c:v>9.633333333333334E-3</c:v>
                </c:pt>
                <c:pt idx="14">
                  <c:v>9.633333333333334E-3</c:v>
                </c:pt>
                <c:pt idx="15">
                  <c:v>9.633333333333334E-3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B-40BC-B850-0DE60508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301312"/>
        <c:axId val="1724290752"/>
      </c:areaChart>
      <c:scatterChart>
        <c:scatterStyle val="smoothMarker"/>
        <c:varyColors val="0"/>
        <c:ser>
          <c:idx val="0"/>
          <c:order val="0"/>
          <c:spPr>
            <a:ln w="476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'Aberdeen Affordability'!$H$7:$H$22</c:f>
              <c:numCache>
                <c:formatCode>0.0%</c:formatCode>
                <c:ptCount val="16"/>
                <c:pt idx="0">
                  <c:v>0.97370983446932813</c:v>
                </c:pt>
                <c:pt idx="1">
                  <c:v>0.95326192794547226</c:v>
                </c:pt>
                <c:pt idx="2">
                  <c:v>0.93184031158714697</c:v>
                </c:pt>
                <c:pt idx="3">
                  <c:v>0.87828627069133403</c:v>
                </c:pt>
                <c:pt idx="4">
                  <c:v>0.81986368062317427</c:v>
                </c:pt>
                <c:pt idx="5">
                  <c:v>0.74391431353456672</c:v>
                </c:pt>
                <c:pt idx="6">
                  <c:v>0.67478091528724438</c:v>
                </c:pt>
                <c:pt idx="7">
                  <c:v>0.61343719571567679</c:v>
                </c:pt>
                <c:pt idx="8">
                  <c:v>0.55209347614410897</c:v>
                </c:pt>
                <c:pt idx="9">
                  <c:v>0.50340798442064272</c:v>
                </c:pt>
                <c:pt idx="10">
                  <c:v>0.44595910418695228</c:v>
                </c:pt>
                <c:pt idx="11">
                  <c:v>0.33300876338851026</c:v>
                </c:pt>
                <c:pt idx="12">
                  <c:v>0.2736124634858812</c:v>
                </c:pt>
                <c:pt idx="13">
                  <c:v>0.21129503407984418</c:v>
                </c:pt>
                <c:pt idx="14">
                  <c:v>0.17624148003894835</c:v>
                </c:pt>
                <c:pt idx="15">
                  <c:v>9.9318403115871479E-2</c:v>
                </c:pt>
              </c:numCache>
            </c:numRef>
          </c:xVal>
          <c:yVal>
            <c:numRef>
              <c:f>'Aberdeen Affordability'!$I$7:$I$22</c:f>
              <c:numCache>
                <c:formatCode>0.0%</c:formatCode>
                <c:ptCount val="16"/>
                <c:pt idx="0">
                  <c:v>3.8533333333333336E-2</c:v>
                </c:pt>
                <c:pt idx="1">
                  <c:v>1.9266666666666668E-2</c:v>
                </c:pt>
                <c:pt idx="2">
                  <c:v>9.633333333333334E-3</c:v>
                </c:pt>
                <c:pt idx="3">
                  <c:v>7.2250000000000005E-3</c:v>
                </c:pt>
                <c:pt idx="4">
                  <c:v>5.7800000000000004E-3</c:v>
                </c:pt>
                <c:pt idx="5">
                  <c:v>4.4461538461538462E-3</c:v>
                </c:pt>
                <c:pt idx="6">
                  <c:v>3.6125000000000003E-3</c:v>
                </c:pt>
                <c:pt idx="7">
                  <c:v>2.8900000000000002E-3</c:v>
                </c:pt>
                <c:pt idx="8">
                  <c:v>2.3120000000000003E-3</c:v>
                </c:pt>
                <c:pt idx="9">
                  <c:v>1.9266666666666668E-3</c:v>
                </c:pt>
                <c:pt idx="10">
                  <c:v>1.6514285714285715E-3</c:v>
                </c:pt>
                <c:pt idx="11">
                  <c:v>1.4450000000000001E-3</c:v>
                </c:pt>
                <c:pt idx="12">
                  <c:v>1.1560000000000001E-3</c:v>
                </c:pt>
                <c:pt idx="13">
                  <c:v>9.633333333333334E-4</c:v>
                </c:pt>
                <c:pt idx="14">
                  <c:v>8.2571428571428574E-4</c:v>
                </c:pt>
                <c:pt idx="15">
                  <c:v>7.2250000000000005E-4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2B-40BC-B850-0DE60508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772832"/>
        <c:axId val="1556773792"/>
      </c:scatterChart>
      <c:valAx>
        <c:axId val="1556772832"/>
        <c:scaling>
          <c:orientation val="minMax"/>
          <c:max val="1.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of owners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3792"/>
        <c:crosses val="autoZero"/>
        <c:crossBetween val="midCat"/>
      </c:valAx>
      <c:valAx>
        <c:axId val="1556773792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% of</a:t>
                </a:r>
                <a:r>
                  <a:rPr lang="en-US" baseline="0"/>
                  <a:t> weekly income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2832"/>
        <c:crosses val="autoZero"/>
        <c:crossBetween val="midCat"/>
      </c:valAx>
      <c:valAx>
        <c:axId val="1724290752"/>
        <c:scaling>
          <c:orientation val="minMax"/>
          <c:max val="8.0000000000000016E-2"/>
        </c:scaling>
        <c:delete val="1"/>
        <c:axPos val="r"/>
        <c:numFmt formatCode="0.00%" sourceLinked="1"/>
        <c:majorTickMark val="out"/>
        <c:minorTickMark val="none"/>
        <c:tickLblPos val="nextTo"/>
        <c:crossAx val="1724301312"/>
        <c:crosses val="max"/>
        <c:crossBetween val="between"/>
      </c:valAx>
      <c:catAx>
        <c:axId val="1724301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7242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Affordability for tenants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spPr>
            <a:solidFill>
              <a:schemeClr val="accent6">
                <a:lumMod val="40000"/>
                <a:lumOff val="60000"/>
                <a:alpha val="56000"/>
              </a:schemeClr>
            </a:solidFill>
            <a:ln w="25400">
              <a:noFill/>
            </a:ln>
            <a:effectLst/>
          </c:spPr>
          <c:cat>
            <c:numRef>
              <c:f>'All suburbs'!$H$7:$H$22</c:f>
              <c:numCache>
                <c:formatCode>0.0%</c:formatCode>
                <c:ptCount val="16"/>
                <c:pt idx="0">
                  <c:v>0.96615568385427031</c:v>
                </c:pt>
                <c:pt idx="1">
                  <c:v>0.94644634680469841</c:v>
                </c:pt>
                <c:pt idx="2">
                  <c:v>0.9201672307386024</c:v>
                </c:pt>
                <c:pt idx="3">
                  <c:v>0.83854270356360738</c:v>
                </c:pt>
                <c:pt idx="4">
                  <c:v>0.78638263985665935</c:v>
                </c:pt>
                <c:pt idx="5">
                  <c:v>0.70814254429623724</c:v>
                </c:pt>
                <c:pt idx="6">
                  <c:v>0.64144933306788765</c:v>
                </c:pt>
                <c:pt idx="7">
                  <c:v>0.55962572168027069</c:v>
                </c:pt>
                <c:pt idx="8">
                  <c:v>0.4754130997411905</c:v>
                </c:pt>
                <c:pt idx="9">
                  <c:v>0.42146127812064504</c:v>
                </c:pt>
                <c:pt idx="10">
                  <c:v>0.36731037228747765</c:v>
                </c:pt>
                <c:pt idx="11">
                  <c:v>0.251642444754131</c:v>
                </c:pt>
                <c:pt idx="12">
                  <c:v>0.1799721282102329</c:v>
                </c:pt>
                <c:pt idx="13">
                  <c:v>0.11845510651005375</c:v>
                </c:pt>
                <c:pt idx="14">
                  <c:v>8.1823611387616957E-2</c:v>
                </c:pt>
                <c:pt idx="15">
                  <c:v>0</c:v>
                </c:pt>
              </c:numCache>
            </c:numRef>
          </c:cat>
          <c:val>
            <c:numRef>
              <c:f>'Aberdeen Affordability'!$M$34:$M$47</c:f>
              <c:numCache>
                <c:formatCode>0.00%</c:formatCode>
                <c:ptCount val="14"/>
                <c:pt idx="0">
                  <c:v>2.321285140562249E-2</c:v>
                </c:pt>
                <c:pt idx="1">
                  <c:v>2.321285140562249E-2</c:v>
                </c:pt>
                <c:pt idx="2">
                  <c:v>2.321285140562249E-2</c:v>
                </c:pt>
                <c:pt idx="3">
                  <c:v>2.321285140562249E-2</c:v>
                </c:pt>
                <c:pt idx="4">
                  <c:v>2.321285140562249E-2</c:v>
                </c:pt>
                <c:pt idx="5">
                  <c:v>2.321285140562249E-2</c:v>
                </c:pt>
                <c:pt idx="6">
                  <c:v>2.321285140562249E-2</c:v>
                </c:pt>
                <c:pt idx="7">
                  <c:v>2.321285140562249E-2</c:v>
                </c:pt>
                <c:pt idx="8">
                  <c:v>2.321285140562249E-2</c:v>
                </c:pt>
                <c:pt idx="9">
                  <c:v>2.321285140562249E-2</c:v>
                </c:pt>
                <c:pt idx="10">
                  <c:v>2.321285140562249E-2</c:v>
                </c:pt>
                <c:pt idx="11">
                  <c:v>2.321285140562249E-2</c:v>
                </c:pt>
                <c:pt idx="12">
                  <c:v>2.321285140562249E-2</c:v>
                </c:pt>
                <c:pt idx="13">
                  <c:v>2.321285140562249E-2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D-48F8-B880-96110AF54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301312"/>
        <c:axId val="1724290752"/>
      </c:areaChart>
      <c:scatterChart>
        <c:scatterStyle val="smoothMarker"/>
        <c:varyColors val="0"/>
        <c:ser>
          <c:idx val="0"/>
          <c:order val="0"/>
          <c:spPr>
            <a:ln w="476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'Aberdeen Affordability'!$K$35:$K$47</c:f>
              <c:numCache>
                <c:formatCode>0%</c:formatCode>
                <c:ptCount val="13"/>
                <c:pt idx="0">
                  <c:v>1</c:v>
                </c:pt>
                <c:pt idx="1">
                  <c:v>0.94312796208530802</c:v>
                </c:pt>
                <c:pt idx="2">
                  <c:v>0.7582938388625593</c:v>
                </c:pt>
                <c:pt idx="3">
                  <c:v>0.6635071090047393</c:v>
                </c:pt>
                <c:pt idx="4">
                  <c:v>0.48815165876777256</c:v>
                </c:pt>
                <c:pt idx="5">
                  <c:v>0.16113744075829384</c:v>
                </c:pt>
                <c:pt idx="6">
                  <c:v>2.3696682464454999E-2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'Aberdeen Affordability'!$L$35:$L$47</c:f>
              <c:numCache>
                <c:formatCode>0.0%</c:formatCode>
                <c:ptCount val="13"/>
                <c:pt idx="0">
                  <c:v>3.3218390804597701E-2</c:v>
                </c:pt>
                <c:pt idx="1">
                  <c:v>2.321285140562249E-2</c:v>
                </c:pt>
                <c:pt idx="2">
                  <c:v>1.6561604584527222E-2</c:v>
                </c:pt>
                <c:pt idx="3">
                  <c:v>1.3632075471698113E-2</c:v>
                </c:pt>
                <c:pt idx="4">
                  <c:v>1.1583166332665332E-2</c:v>
                </c:pt>
                <c:pt idx="5">
                  <c:v>9.2628205128205132E-3</c:v>
                </c:pt>
                <c:pt idx="6">
                  <c:v>7.2340425531914896E-3</c:v>
                </c:pt>
                <c:pt idx="7">
                  <c:v>5.7857857857857862E-3</c:v>
                </c:pt>
                <c:pt idx="8">
                  <c:v>4.8206839032527106E-3</c:v>
                </c:pt>
                <c:pt idx="9">
                  <c:v>4.1315225160829163E-3</c:v>
                </c:pt>
                <c:pt idx="10">
                  <c:v>3.6147592245153221E-3</c:v>
                </c:pt>
                <c:pt idx="11">
                  <c:v>3.2128960533629796E-3</c:v>
                </c:pt>
                <c:pt idx="12">
                  <c:v>2.9641025641025643E-3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CD-48F8-B880-96110AF54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772832"/>
        <c:axId val="1556773792"/>
      </c:scatterChart>
      <c:valAx>
        <c:axId val="1556772832"/>
        <c:scaling>
          <c:orientation val="minMax"/>
          <c:max val="1.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of Tenants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3792"/>
        <c:crosses val="autoZero"/>
        <c:crossBetween val="midCat"/>
      </c:valAx>
      <c:valAx>
        <c:axId val="1556773792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% of</a:t>
                </a:r>
                <a:r>
                  <a:rPr lang="en-US" baseline="0"/>
                  <a:t> weekly rent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2832"/>
        <c:crosses val="autoZero"/>
        <c:crossBetween val="midCat"/>
      </c:valAx>
      <c:valAx>
        <c:axId val="1724290752"/>
        <c:scaling>
          <c:orientation val="minMax"/>
          <c:max val="8.0000000000000016E-2"/>
        </c:scaling>
        <c:delete val="1"/>
        <c:axPos val="r"/>
        <c:numFmt formatCode="0.00%" sourceLinked="1"/>
        <c:majorTickMark val="out"/>
        <c:minorTickMark val="none"/>
        <c:tickLblPos val="nextTo"/>
        <c:crossAx val="1724301312"/>
        <c:crosses val="max"/>
        <c:crossBetween val="between"/>
      </c:valAx>
      <c:catAx>
        <c:axId val="1724301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7242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Affordability for owners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spPr>
            <a:solidFill>
              <a:schemeClr val="accent6">
                <a:lumMod val="60000"/>
                <a:lumOff val="40000"/>
                <a:alpha val="54000"/>
              </a:schemeClr>
            </a:solidFill>
            <a:ln>
              <a:noFill/>
            </a:ln>
            <a:effectLst/>
          </c:spPr>
          <c:cat>
            <c:numRef>
              <c:f>'All suburbs'!$H$7:$H$22</c:f>
              <c:numCache>
                <c:formatCode>0.0%</c:formatCode>
                <c:ptCount val="16"/>
                <c:pt idx="0">
                  <c:v>0.96615568385427031</c:v>
                </c:pt>
                <c:pt idx="1">
                  <c:v>0.94644634680469841</c:v>
                </c:pt>
                <c:pt idx="2">
                  <c:v>0.9201672307386024</c:v>
                </c:pt>
                <c:pt idx="3">
                  <c:v>0.83854270356360738</c:v>
                </c:pt>
                <c:pt idx="4">
                  <c:v>0.78638263985665935</c:v>
                </c:pt>
                <c:pt idx="5">
                  <c:v>0.70814254429623724</c:v>
                </c:pt>
                <c:pt idx="6">
                  <c:v>0.64144933306788765</c:v>
                </c:pt>
                <c:pt idx="7">
                  <c:v>0.55962572168027069</c:v>
                </c:pt>
                <c:pt idx="8">
                  <c:v>0.4754130997411905</c:v>
                </c:pt>
                <c:pt idx="9">
                  <c:v>0.42146127812064504</c:v>
                </c:pt>
                <c:pt idx="10">
                  <c:v>0.36731037228747765</c:v>
                </c:pt>
                <c:pt idx="11">
                  <c:v>0.251642444754131</c:v>
                </c:pt>
                <c:pt idx="12">
                  <c:v>0.1799721282102329</c:v>
                </c:pt>
                <c:pt idx="13">
                  <c:v>0.11845510651005375</c:v>
                </c:pt>
                <c:pt idx="14">
                  <c:v>8.1823611387616957E-2</c:v>
                </c:pt>
                <c:pt idx="15">
                  <c:v>0</c:v>
                </c:pt>
              </c:numCache>
            </c:numRef>
          </c:cat>
          <c:val>
            <c:numRef>
              <c:f>'Merriwa Affordability'!$J$7:$J$22</c:f>
              <c:numCache>
                <c:formatCode>0.00%</c:formatCode>
                <c:ptCount val="16"/>
                <c:pt idx="0">
                  <c:v>9.3999999999999986E-3</c:v>
                </c:pt>
                <c:pt idx="1">
                  <c:v>9.3999999999999986E-3</c:v>
                </c:pt>
                <c:pt idx="2">
                  <c:v>9.3999999999999986E-3</c:v>
                </c:pt>
                <c:pt idx="3">
                  <c:v>9.3999999999999986E-3</c:v>
                </c:pt>
                <c:pt idx="4">
                  <c:v>9.3999999999999986E-3</c:v>
                </c:pt>
                <c:pt idx="5">
                  <c:v>9.3999999999999986E-3</c:v>
                </c:pt>
                <c:pt idx="6">
                  <c:v>9.3999999999999986E-3</c:v>
                </c:pt>
                <c:pt idx="7">
                  <c:v>9.3999999999999986E-3</c:v>
                </c:pt>
                <c:pt idx="8">
                  <c:v>9.3999999999999986E-3</c:v>
                </c:pt>
                <c:pt idx="9">
                  <c:v>9.3999999999999986E-3</c:v>
                </c:pt>
                <c:pt idx="10">
                  <c:v>9.3999999999999986E-3</c:v>
                </c:pt>
                <c:pt idx="11">
                  <c:v>9.3999999999999986E-3</c:v>
                </c:pt>
                <c:pt idx="12">
                  <c:v>9.3999999999999986E-3</c:v>
                </c:pt>
                <c:pt idx="13">
                  <c:v>9.3999999999999986E-3</c:v>
                </c:pt>
                <c:pt idx="14">
                  <c:v>9.3999999999999986E-3</c:v>
                </c:pt>
                <c:pt idx="15">
                  <c:v>9.3999999999999986E-3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7-4374-B5F6-678056761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301312"/>
        <c:axId val="1724290752"/>
      </c:areaChart>
      <c:scatterChart>
        <c:scatterStyle val="smoothMarker"/>
        <c:varyColors val="0"/>
        <c:ser>
          <c:idx val="0"/>
          <c:order val="0"/>
          <c:spPr>
            <a:ln w="476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'Merriwa Affordability'!$H$7:$H$22</c:f>
              <c:numCache>
                <c:formatCode>0.0%</c:formatCode>
                <c:ptCount val="16"/>
                <c:pt idx="0">
                  <c:v>0.94967741935483874</c:v>
                </c:pt>
                <c:pt idx="1">
                  <c:v>0.9380645161290323</c:v>
                </c:pt>
                <c:pt idx="2">
                  <c:v>0.91096774193548391</c:v>
                </c:pt>
                <c:pt idx="3">
                  <c:v>0.82322580645161292</c:v>
                </c:pt>
                <c:pt idx="4">
                  <c:v>0.77161290322580645</c:v>
                </c:pt>
                <c:pt idx="5">
                  <c:v>0.70064516129032262</c:v>
                </c:pt>
                <c:pt idx="6">
                  <c:v>0.63096774193548388</c:v>
                </c:pt>
                <c:pt idx="7">
                  <c:v>0.55225806451612902</c:v>
                </c:pt>
                <c:pt idx="8">
                  <c:v>0.46193548387096772</c:v>
                </c:pt>
                <c:pt idx="9">
                  <c:v>0.41032258064516125</c:v>
                </c:pt>
                <c:pt idx="10">
                  <c:v>0.37161290322580642</c:v>
                </c:pt>
                <c:pt idx="11">
                  <c:v>0.27612903225806451</c:v>
                </c:pt>
                <c:pt idx="12">
                  <c:v>0.22193548387096773</c:v>
                </c:pt>
                <c:pt idx="13">
                  <c:v>0.18580645161290321</c:v>
                </c:pt>
                <c:pt idx="14">
                  <c:v>0.16774193548387095</c:v>
                </c:pt>
                <c:pt idx="15">
                  <c:v>0.11870967741935479</c:v>
                </c:pt>
              </c:numCache>
            </c:numRef>
          </c:xVal>
          <c:yVal>
            <c:numRef>
              <c:f>'Merriwa Affordability'!$I$7:$I$22</c:f>
              <c:numCache>
                <c:formatCode>0.0%</c:formatCode>
                <c:ptCount val="16"/>
                <c:pt idx="0">
                  <c:v>3.7599999999999995E-2</c:v>
                </c:pt>
                <c:pt idx="1">
                  <c:v>1.8799999999999997E-2</c:v>
                </c:pt>
                <c:pt idx="2">
                  <c:v>9.3999999999999986E-3</c:v>
                </c:pt>
                <c:pt idx="3">
                  <c:v>7.0499999999999998E-3</c:v>
                </c:pt>
                <c:pt idx="4">
                  <c:v>5.64E-3</c:v>
                </c:pt>
                <c:pt idx="5">
                  <c:v>4.3384615384615384E-3</c:v>
                </c:pt>
                <c:pt idx="6">
                  <c:v>3.5249999999999999E-3</c:v>
                </c:pt>
                <c:pt idx="7">
                  <c:v>2.82E-3</c:v>
                </c:pt>
                <c:pt idx="8">
                  <c:v>2.2559999999999998E-3</c:v>
                </c:pt>
                <c:pt idx="9">
                  <c:v>1.8799999999999999E-3</c:v>
                </c:pt>
                <c:pt idx="10">
                  <c:v>1.6114285714285714E-3</c:v>
                </c:pt>
                <c:pt idx="11">
                  <c:v>1.41E-3</c:v>
                </c:pt>
                <c:pt idx="12">
                  <c:v>1.1279999999999999E-3</c:v>
                </c:pt>
                <c:pt idx="13">
                  <c:v>9.3999999999999997E-4</c:v>
                </c:pt>
                <c:pt idx="14">
                  <c:v>8.0571428571428569E-4</c:v>
                </c:pt>
                <c:pt idx="15">
                  <c:v>7.0500000000000001E-4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07-4374-B5F6-678056761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772832"/>
        <c:axId val="1556773792"/>
      </c:scatterChart>
      <c:valAx>
        <c:axId val="1556772832"/>
        <c:scaling>
          <c:orientation val="minMax"/>
          <c:max val="1.0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of owners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3792"/>
        <c:crosses val="autoZero"/>
        <c:crossBetween val="midCat"/>
      </c:valAx>
      <c:valAx>
        <c:axId val="1556773792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% of</a:t>
                </a:r>
                <a:r>
                  <a:rPr lang="en-US" baseline="0"/>
                  <a:t> weekly income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772832"/>
        <c:crosses val="autoZero"/>
        <c:crossBetween val="midCat"/>
      </c:valAx>
      <c:valAx>
        <c:axId val="1724290752"/>
        <c:scaling>
          <c:orientation val="minMax"/>
          <c:max val="8.0000000000000016E-2"/>
        </c:scaling>
        <c:delete val="1"/>
        <c:axPos val="r"/>
        <c:numFmt formatCode="0.00%" sourceLinked="1"/>
        <c:majorTickMark val="out"/>
        <c:minorTickMark val="none"/>
        <c:tickLblPos val="nextTo"/>
        <c:crossAx val="1724301312"/>
        <c:crosses val="max"/>
        <c:crossBetween val="between"/>
      </c:valAx>
      <c:catAx>
        <c:axId val="1724301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72429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10</xdr:col>
      <xdr:colOff>349848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AFC133-FC0D-4461-ACBF-1696E7A99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</xdr:row>
      <xdr:rowOff>0</xdr:rowOff>
    </xdr:from>
    <xdr:to>
      <xdr:col>20</xdr:col>
      <xdr:colOff>568923</xdr:colOff>
      <xdr:row>27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65C460-B8C7-4175-9699-6A037DC0A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31</xdr:row>
      <xdr:rowOff>0</xdr:rowOff>
    </xdr:from>
    <xdr:to>
      <xdr:col>10</xdr:col>
      <xdr:colOff>349848</xdr:colOff>
      <xdr:row>51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8E3F89B-4B9E-4F12-8751-D1A1E2ABC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31</xdr:row>
      <xdr:rowOff>0</xdr:rowOff>
    </xdr:from>
    <xdr:to>
      <xdr:col>20</xdr:col>
      <xdr:colOff>568923</xdr:colOff>
      <xdr:row>51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1C11542-9725-406A-8F10-849BC4C00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55</xdr:row>
      <xdr:rowOff>0</xdr:rowOff>
    </xdr:from>
    <xdr:to>
      <xdr:col>10</xdr:col>
      <xdr:colOff>349848</xdr:colOff>
      <xdr:row>75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7DD6BB2-34E7-454C-97FA-7F4308B07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55</xdr:row>
      <xdr:rowOff>0</xdr:rowOff>
    </xdr:from>
    <xdr:to>
      <xdr:col>20</xdr:col>
      <xdr:colOff>568923</xdr:colOff>
      <xdr:row>75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DBB5EFC-5A77-438D-9B56-382811AC3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79</xdr:row>
      <xdr:rowOff>0</xdr:rowOff>
    </xdr:from>
    <xdr:to>
      <xdr:col>10</xdr:col>
      <xdr:colOff>349848</xdr:colOff>
      <xdr:row>99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CAB2722-F432-4C21-8889-3338FDD2D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79</xdr:row>
      <xdr:rowOff>0</xdr:rowOff>
    </xdr:from>
    <xdr:to>
      <xdr:col>20</xdr:col>
      <xdr:colOff>568923</xdr:colOff>
      <xdr:row>99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84F6028-E0B7-4EB2-84C1-B63B90904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103</xdr:row>
      <xdr:rowOff>0</xdr:rowOff>
    </xdr:from>
    <xdr:to>
      <xdr:col>10</xdr:col>
      <xdr:colOff>349848</xdr:colOff>
      <xdr:row>123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A9D235E-5D06-480B-999A-F927B2603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103</xdr:row>
      <xdr:rowOff>0</xdr:rowOff>
    </xdr:from>
    <xdr:to>
      <xdr:col>20</xdr:col>
      <xdr:colOff>568923</xdr:colOff>
      <xdr:row>123</xdr:row>
      <xdr:rowOff>9525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BAAA86A-D478-4979-878C-C991088DF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3</xdr:row>
      <xdr:rowOff>1233487</xdr:rowOff>
    </xdr:from>
    <xdr:to>
      <xdr:col>18</xdr:col>
      <xdr:colOff>228600</xdr:colOff>
      <xdr:row>17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97C02D-A5A3-7754-1C17-DDD1DB553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3F73D-60E9-48C7-8FDC-00A1A7C53453}">
  <dimension ref="B1:U125"/>
  <sheetViews>
    <sheetView tabSelected="1" topLeftCell="A97" zoomScaleNormal="100" workbookViewId="0">
      <selection activeCell="J3" sqref="J3"/>
    </sheetView>
  </sheetViews>
  <sheetFormatPr defaultRowHeight="15" x14ac:dyDescent="0.25"/>
  <cols>
    <col min="4" max="4" width="12.42578125" customWidth="1"/>
  </cols>
  <sheetData>
    <row r="1" spans="2:9" ht="15.75" thickBot="1" x14ac:dyDescent="0.3"/>
    <row r="2" spans="2:9" ht="15.75" thickBot="1" x14ac:dyDescent="0.3">
      <c r="D2" t="s">
        <v>122</v>
      </c>
      <c r="E2" s="84">
        <v>0.9</v>
      </c>
    </row>
    <row r="6" spans="2:9" ht="21" x14ac:dyDescent="0.35">
      <c r="B6" s="63" t="s">
        <v>124</v>
      </c>
      <c r="I6" s="83"/>
    </row>
    <row r="29" spans="2:21" ht="29.25" customHeight="1" x14ac:dyDescent="0.25">
      <c r="C29" s="86" t="str">
        <f>$E$2 *100 &amp; "% of all households will be affected by less than " &amp; ROUND('All suburbs'!J6*100,2) &amp; "% of their weekly houshold income from an SRV impact of $" &amp; TEXT('All suburbs'!I1,"##.00") &amp; " per week"</f>
        <v>90% of all households will be affected by less than 1.33% of their weekly houshold income from an SRV impact of $4.00 per week</v>
      </c>
      <c r="D29" s="86"/>
      <c r="E29" s="86"/>
      <c r="F29" s="86"/>
      <c r="G29" s="86"/>
      <c r="H29" s="86"/>
      <c r="I29" s="86"/>
      <c r="J29" s="86"/>
      <c r="K29" s="86"/>
      <c r="L29" s="85"/>
      <c r="M29" s="86" t="str">
        <f>$E$2 *100 &amp; "% of all households will be affected by less than " &amp; ROUND('salary ranges'!AP7*100,2) &amp; "% of their weekly houshold income from an SRV impact of $" &amp; TEXT('All suburbs'!I1,"##.00") &amp; " per week"</f>
        <v>90% of all households will be affected by less than 3.21% of their weekly houshold income from an SRV impact of $4.00 per week</v>
      </c>
      <c r="N29" s="86"/>
      <c r="O29" s="86"/>
      <c r="P29" s="86"/>
      <c r="Q29" s="86"/>
      <c r="R29" s="86"/>
      <c r="S29" s="86"/>
      <c r="T29" s="86"/>
      <c r="U29" s="86"/>
    </row>
    <row r="31" spans="2:21" ht="21" x14ac:dyDescent="0.35">
      <c r="B31" s="63" t="s">
        <v>125</v>
      </c>
    </row>
    <row r="53" spans="2:21" ht="34.5" customHeight="1" x14ac:dyDescent="0.25">
      <c r="C53" s="86" t="str">
        <f>$E$2 *100 &amp; "% of all households will be affected by less than " &amp; ROUND('Scone affordability'!J6*100,2) &amp; "% of their weekly houshold income from an SRV impact of $" &amp; TEXT('Scone affordability'!I1,"##.00") &amp; " per week"</f>
        <v>90% of all households will be affected by less than 1.71% of their weekly houshold income from an SRV impact of $5.13 per week</v>
      </c>
      <c r="D53" s="86"/>
      <c r="E53" s="86"/>
      <c r="F53" s="86"/>
      <c r="G53" s="86"/>
      <c r="H53" s="86"/>
      <c r="I53" s="86"/>
      <c r="J53" s="86"/>
      <c r="K53" s="86"/>
      <c r="L53" s="85"/>
      <c r="M53" s="86" t="str">
        <f>$E$2 *100 &amp; "% of all households will be affected by less than " &amp; ROUND('Scone affordability'!M34*100,2) &amp; "% of their weekly rental expense from an SRV impact of $" &amp; TEXT('Scone affordability'!I1,"##.00") &amp; " per week"</f>
        <v>90% of all households will be affected by less than 4.12% of their weekly rental expense from an SRV impact of $5.13 per week</v>
      </c>
      <c r="N53" s="86"/>
      <c r="O53" s="86"/>
      <c r="P53" s="86"/>
      <c r="Q53" s="86"/>
      <c r="R53" s="86"/>
      <c r="S53" s="86"/>
      <c r="T53" s="86"/>
      <c r="U53" s="86"/>
    </row>
    <row r="55" spans="2:21" ht="21" x14ac:dyDescent="0.35">
      <c r="B55" s="63" t="s">
        <v>126</v>
      </c>
    </row>
    <row r="77" spans="2:21" ht="37.5" customHeight="1" x14ac:dyDescent="0.25">
      <c r="C77" s="86" t="str">
        <f>$E$2 *100 &amp; "% of all households will be affected by less than " &amp; ROUND('Murrurundi Affordability'!J6*100,2) &amp; "% of their weekly houshold income from an SRV impact of $" &amp; TEXT('Murrurundi Affordability'!I1,"##.00") &amp; " per week"</f>
        <v>90% of all households will be affected by less than 1.78% of their weekly houshold income from an SRV impact of $2.67 per week</v>
      </c>
      <c r="D77" s="86"/>
      <c r="E77" s="86"/>
      <c r="F77" s="86"/>
      <c r="G77" s="86"/>
      <c r="H77" s="86"/>
      <c r="I77" s="86"/>
      <c r="J77" s="86"/>
      <c r="K77" s="86"/>
      <c r="L77" s="85"/>
      <c r="M77" s="86" t="str">
        <f>$E$2 *100 &amp; "% of all households will be affected by less than " &amp; ROUND('Murrurundi Affordability'!M34*100,2) &amp; "% of their weekly rental expense from an SRV impact of $" &amp; TEXT('Murrurundi Affordability'!I1,"##.00") &amp; " per week"</f>
        <v>90% of all households will be affected by less than 3.07% of their weekly rental expense from an SRV impact of $2.67 per week</v>
      </c>
      <c r="N77" s="86"/>
      <c r="O77" s="86"/>
      <c r="P77" s="86"/>
      <c r="Q77" s="86"/>
      <c r="R77" s="86"/>
      <c r="S77" s="86"/>
      <c r="T77" s="86"/>
      <c r="U77" s="86"/>
    </row>
    <row r="79" spans="2:21" ht="21" x14ac:dyDescent="0.35">
      <c r="B79" s="63" t="s">
        <v>127</v>
      </c>
    </row>
    <row r="101" spans="2:21" ht="29.25" customHeight="1" x14ac:dyDescent="0.25">
      <c r="C101" s="86" t="str">
        <f>$E$2 *100 &amp; "% of all households will be affected by less than " &amp; ROUND('Aberdeen Affordability'!J6*100,2) &amp; "% of their weekly houshold income from an SRV impact of $" &amp; TEXT('Aberdeen Affordability'!I1,"##.00") &amp; " per week"</f>
        <v>90% of all households will be affected by less than 0.96% of their weekly houshold income from an SRV impact of $2.89 per week</v>
      </c>
      <c r="D101" s="86"/>
      <c r="E101" s="86"/>
      <c r="F101" s="86"/>
      <c r="G101" s="86"/>
      <c r="H101" s="86"/>
      <c r="I101" s="86"/>
      <c r="J101" s="86"/>
      <c r="K101" s="86"/>
      <c r="L101" s="85"/>
      <c r="M101" s="86" t="str">
        <f>$E$2 *100 &amp; "% of all households will be affected by less than " &amp; ROUND('Aberdeen Affordability'!M34*100,2) &amp; "% of their weekly rental expense from an SRV impact of $" &amp; TEXT('Aberdeen Affordability'!I1,"##.00") &amp; " per week"</f>
        <v>90% of all households will be affected by less than 2.32% of their weekly rental expense from an SRV impact of $2.89 per week</v>
      </c>
      <c r="N101" s="86"/>
      <c r="O101" s="86"/>
      <c r="P101" s="86"/>
      <c r="Q101" s="86"/>
      <c r="R101" s="86"/>
      <c r="S101" s="86"/>
      <c r="T101" s="86"/>
      <c r="U101" s="86"/>
    </row>
    <row r="103" spans="2:21" ht="21" x14ac:dyDescent="0.35">
      <c r="B103" s="63" t="s">
        <v>128</v>
      </c>
    </row>
    <row r="125" spans="3:21" ht="39" customHeight="1" x14ac:dyDescent="0.25">
      <c r="C125" s="86" t="str">
        <f>$E$2 *100 &amp; "% of all households will be affected by less than " &amp; ROUND('Merriwa Affordability'!J6*100,2) &amp; "% of their weekly houshold income from an SRV impact of $" &amp; TEXT('Merriwa Affordability'!I1,"##.00") &amp; " per week"</f>
        <v>90% of all households will be affected by less than 0.94% of their weekly houshold income from an SRV impact of $2.82 per week</v>
      </c>
      <c r="D125" s="86"/>
      <c r="E125" s="86"/>
      <c r="F125" s="86"/>
      <c r="G125" s="86"/>
      <c r="H125" s="86"/>
      <c r="I125" s="86"/>
      <c r="J125" s="86"/>
      <c r="K125" s="86"/>
      <c r="L125" s="85"/>
      <c r="M125" s="86" t="str">
        <f>$E$2 *100 &amp; "% of all households will be affected by less than " &amp; ROUND('Merriwa Affordability'!M34*100,2) &amp; "% of their weekly rental expense from an SRV impact of $" &amp; TEXT('Merriwa Affordability'!I1,"##.00") &amp; " per week"</f>
        <v>90% of all households will be affected by less than 3.24% of their weekly rental expense from an SRV impact of $2.82 per week</v>
      </c>
      <c r="N125" s="86"/>
      <c r="O125" s="86"/>
      <c r="P125" s="86"/>
      <c r="Q125" s="86"/>
      <c r="R125" s="86"/>
      <c r="S125" s="86"/>
      <c r="T125" s="86"/>
      <c r="U125" s="86"/>
    </row>
  </sheetData>
  <mergeCells count="10">
    <mergeCell ref="C101:K101"/>
    <mergeCell ref="M101:U101"/>
    <mergeCell ref="C125:K125"/>
    <mergeCell ref="M125:U125"/>
    <mergeCell ref="C29:K29"/>
    <mergeCell ref="M29:U29"/>
    <mergeCell ref="C53:K53"/>
    <mergeCell ref="M53:U53"/>
    <mergeCell ref="C77:K77"/>
    <mergeCell ref="M77:U7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D6D-6DA3-4D8A-8D5C-99C9EF3AFFB0}">
  <sheetPr codeName="Sheet1">
    <pageSetUpPr fitToPage="1"/>
  </sheetPr>
  <dimension ref="C1:AP36"/>
  <sheetViews>
    <sheetView topLeftCell="AL1" workbookViewId="0">
      <pane xSplit="5280" topLeftCell="G1" activePane="topRight"/>
      <selection activeCell="D6" sqref="D6:F22"/>
      <selection pane="topRight" activeCell="AP5" sqref="AP5:AP21"/>
    </sheetView>
  </sheetViews>
  <sheetFormatPr defaultRowHeight="15" x14ac:dyDescent="0.25"/>
  <cols>
    <col min="1" max="2" width="3.140625" customWidth="1"/>
    <col min="3" max="3" width="28.42578125" customWidth="1"/>
    <col min="8" max="8" width="3.28515625" customWidth="1"/>
    <col min="16" max="16" width="16.140625" customWidth="1"/>
    <col min="37" max="37" width="10.5703125" bestFit="1" customWidth="1"/>
    <col min="38" max="39" width="10.5703125" customWidth="1"/>
    <col min="40" max="40" width="10.7109375" customWidth="1"/>
    <col min="41" max="41" width="4.140625" customWidth="1"/>
  </cols>
  <sheetData>
    <row r="1" spans="3:42" x14ac:dyDescent="0.25">
      <c r="Q1" t="s">
        <v>58</v>
      </c>
      <c r="AC1" s="42"/>
      <c r="AD1" s="43"/>
      <c r="AE1" s="44"/>
      <c r="AF1" s="44"/>
      <c r="AG1" s="44"/>
      <c r="AH1" s="44"/>
      <c r="AI1" s="44"/>
      <c r="AJ1" s="35"/>
    </row>
    <row r="2" spans="3:42" x14ac:dyDescent="0.25">
      <c r="Q2" s="24"/>
      <c r="R2" s="25"/>
      <c r="S2" s="25"/>
      <c r="T2" s="25"/>
      <c r="U2" s="25"/>
      <c r="V2" s="25"/>
      <c r="W2" s="25"/>
      <c r="X2" s="25"/>
      <c r="Y2" s="26"/>
      <c r="AC2" s="42"/>
      <c r="AD2" s="87" t="s">
        <v>59</v>
      </c>
      <c r="AE2" s="87"/>
      <c r="AF2" s="87"/>
      <c r="AG2" s="87"/>
      <c r="AH2" s="87"/>
      <c r="AI2" s="87"/>
      <c r="AJ2" s="35"/>
    </row>
    <row r="3" spans="3:42" ht="15.75" x14ac:dyDescent="0.25">
      <c r="C3" s="1"/>
      <c r="D3" s="2" t="s">
        <v>0</v>
      </c>
      <c r="E3" s="2" t="s">
        <v>1</v>
      </c>
      <c r="F3" s="2"/>
      <c r="Q3" s="27"/>
      <c r="R3" s="39" t="s">
        <v>31</v>
      </c>
      <c r="S3" s="40"/>
      <c r="T3" s="40"/>
      <c r="U3" s="28"/>
      <c r="V3" s="39" t="s">
        <v>32</v>
      </c>
      <c r="W3" s="39"/>
      <c r="X3" s="28"/>
      <c r="Y3" s="25"/>
      <c r="AC3" s="43"/>
      <c r="AD3" s="76" t="s">
        <v>116</v>
      </c>
      <c r="AE3" s="44"/>
      <c r="AF3" s="44"/>
      <c r="AG3" s="35"/>
      <c r="AH3" s="35"/>
      <c r="AI3" s="44"/>
      <c r="AJ3" s="45"/>
    </row>
    <row r="4" spans="3:42" ht="45" x14ac:dyDescent="0.25">
      <c r="C4" s="3"/>
      <c r="D4" s="4" t="s">
        <v>2</v>
      </c>
      <c r="E4" s="4" t="s">
        <v>3</v>
      </c>
      <c r="F4" s="4" t="s">
        <v>4</v>
      </c>
      <c r="I4" s="13" t="s">
        <v>25</v>
      </c>
      <c r="J4" s="14"/>
      <c r="K4" s="15" t="s">
        <v>27</v>
      </c>
      <c r="M4" s="18" t="s">
        <v>26</v>
      </c>
      <c r="N4" s="18"/>
      <c r="O4" s="19" t="s">
        <v>27</v>
      </c>
      <c r="Q4" s="27"/>
      <c r="R4" s="29"/>
      <c r="S4" s="30" t="s">
        <v>33</v>
      </c>
      <c r="T4" s="30" t="s">
        <v>34</v>
      </c>
      <c r="U4" s="30"/>
      <c r="V4" s="30" t="s">
        <v>33</v>
      </c>
      <c r="W4" s="30" t="s">
        <v>34</v>
      </c>
      <c r="X4" s="30" t="s">
        <v>35</v>
      </c>
      <c r="Y4" s="30"/>
      <c r="AA4" s="30" t="s">
        <v>57</v>
      </c>
      <c r="AC4" s="43"/>
      <c r="AD4" s="46"/>
      <c r="AE4" s="44" t="s">
        <v>60</v>
      </c>
      <c r="AF4" s="44" t="s">
        <v>61</v>
      </c>
      <c r="AG4" s="44" t="s">
        <v>62</v>
      </c>
      <c r="AH4" s="44" t="s">
        <v>35</v>
      </c>
      <c r="AI4" s="44"/>
      <c r="AJ4" s="45"/>
    </row>
    <row r="5" spans="3:42" ht="88.15" customHeight="1" x14ac:dyDescent="0.25">
      <c r="C5" s="5"/>
      <c r="D5" s="6"/>
      <c r="E5" s="6"/>
      <c r="F5" s="6"/>
      <c r="I5" s="14"/>
      <c r="J5" s="14"/>
      <c r="K5" s="14">
        <v>5</v>
      </c>
      <c r="M5" s="18"/>
      <c r="N5" s="18"/>
      <c r="O5" s="18">
        <v>4</v>
      </c>
      <c r="Q5" s="72"/>
      <c r="R5" s="73" t="s">
        <v>34</v>
      </c>
      <c r="S5" s="74" t="s">
        <v>36</v>
      </c>
      <c r="T5" s="74" t="s">
        <v>36</v>
      </c>
      <c r="U5" s="74"/>
      <c r="V5" s="74" t="s">
        <v>36</v>
      </c>
      <c r="W5" s="74" t="s">
        <v>36</v>
      </c>
      <c r="X5" s="74" t="s">
        <v>37</v>
      </c>
      <c r="Y5" s="75" t="s">
        <v>4</v>
      </c>
      <c r="AC5" s="71"/>
      <c r="AD5" s="49" t="s">
        <v>63</v>
      </c>
      <c r="AE5" s="49" t="s">
        <v>64</v>
      </c>
      <c r="AF5" s="49" t="s">
        <v>65</v>
      </c>
      <c r="AG5" s="49" t="s">
        <v>66</v>
      </c>
      <c r="AH5" s="49" t="s">
        <v>67</v>
      </c>
      <c r="AI5" s="49" t="s">
        <v>68</v>
      </c>
      <c r="AJ5" s="49" t="s">
        <v>4</v>
      </c>
      <c r="AK5" s="56" t="s">
        <v>84</v>
      </c>
      <c r="AM5" s="55" t="s">
        <v>85</v>
      </c>
      <c r="AN5" s="55" t="s">
        <v>86</v>
      </c>
      <c r="AP5" s="66" t="s">
        <v>123</v>
      </c>
    </row>
    <row r="6" spans="3:42" x14ac:dyDescent="0.25">
      <c r="C6" s="7" t="s">
        <v>5</v>
      </c>
      <c r="D6" s="8">
        <v>56</v>
      </c>
      <c r="E6" s="8">
        <v>62</v>
      </c>
      <c r="F6" s="8">
        <v>123</v>
      </c>
      <c r="G6" s="8">
        <v>0</v>
      </c>
      <c r="H6" s="8"/>
      <c r="I6" s="16">
        <f>D6+I5</f>
        <v>56</v>
      </c>
      <c r="J6" s="17">
        <f t="shared" ref="J6:J22" si="0">I6/$D$23</f>
        <v>1.6470588235294119E-2</v>
      </c>
      <c r="K6" s="17" t="e">
        <f>$K$5/G6</f>
        <v>#DIV/0!</v>
      </c>
      <c r="L6" s="8"/>
      <c r="M6" s="20">
        <f>F6+M5</f>
        <v>123</v>
      </c>
      <c r="N6" s="21">
        <f t="shared" ref="N6:N22" si="1">1 -M6/$F$23</f>
        <v>0.97551264184750153</v>
      </c>
      <c r="O6" s="21" t="e">
        <f>$O$5/G6</f>
        <v>#DIV/0!</v>
      </c>
      <c r="Q6" s="31"/>
      <c r="R6" s="32"/>
      <c r="S6" s="32"/>
      <c r="T6" s="32"/>
      <c r="U6" s="32"/>
      <c r="V6" s="32"/>
      <c r="W6" s="32"/>
      <c r="X6" s="32"/>
      <c r="Y6" s="26">
        <v>0</v>
      </c>
      <c r="Z6">
        <f>Y6+Z5</f>
        <v>0</v>
      </c>
      <c r="AA6" s="41">
        <f>1 -Z6/$Z$24</f>
        <v>1</v>
      </c>
      <c r="AC6" s="42"/>
      <c r="AD6" s="42"/>
      <c r="AE6" s="44"/>
      <c r="AF6" s="44"/>
      <c r="AG6" s="44"/>
      <c r="AH6" s="44"/>
      <c r="AI6" s="44"/>
      <c r="AJ6" s="35"/>
    </row>
    <row r="7" spans="3:42" x14ac:dyDescent="0.25">
      <c r="C7" s="7" t="s">
        <v>6</v>
      </c>
      <c r="D7" s="8">
        <v>29</v>
      </c>
      <c r="E7" s="8">
        <v>25</v>
      </c>
      <c r="F7" s="8">
        <v>47</v>
      </c>
      <c r="G7" s="8">
        <v>75</v>
      </c>
      <c r="H7" s="8"/>
      <c r="I7" s="16">
        <f t="shared" ref="I7:I22" si="2">D7+I6</f>
        <v>85</v>
      </c>
      <c r="J7" s="17">
        <f t="shared" si="0"/>
        <v>2.5000000000000001E-2</v>
      </c>
      <c r="K7" s="17">
        <f t="shared" ref="K7:K26" si="3">$K$5/G7</f>
        <v>6.6666666666666666E-2</v>
      </c>
      <c r="L7" s="8"/>
      <c r="M7" s="20">
        <f t="shared" ref="M7:M22" si="4">F7+M6</f>
        <v>170</v>
      </c>
      <c r="N7" s="21">
        <f t="shared" si="1"/>
        <v>0.96615568385427031</v>
      </c>
      <c r="O7" s="23">
        <f t="shared" ref="O7:O26" si="5">$O$5/G7</f>
        <v>5.3333333333333337E-2</v>
      </c>
      <c r="Q7" s="33" t="s">
        <v>38</v>
      </c>
      <c r="R7" s="34">
        <v>40</v>
      </c>
      <c r="S7" s="34">
        <v>14</v>
      </c>
      <c r="T7" s="34">
        <v>7</v>
      </c>
      <c r="U7" s="35"/>
      <c r="V7" s="34">
        <v>0</v>
      </c>
      <c r="W7" s="34">
        <v>6</v>
      </c>
      <c r="X7" s="34">
        <v>0</v>
      </c>
      <c r="Y7" s="34">
        <v>68</v>
      </c>
      <c r="Z7">
        <f t="shared" ref="Z7:Z24" si="6">Y7+Z6</f>
        <v>68</v>
      </c>
      <c r="AA7" s="41">
        <f t="shared" ref="AA7:AA24" si="7">1 -Z7/$Z$24</f>
        <v>0.95201129146083274</v>
      </c>
      <c r="AC7" s="42" t="s">
        <v>69</v>
      </c>
      <c r="AD7" s="50">
        <v>4</v>
      </c>
      <c r="AE7" s="50">
        <v>0</v>
      </c>
      <c r="AF7" s="50">
        <v>0</v>
      </c>
      <c r="AG7" s="50">
        <v>3</v>
      </c>
      <c r="AH7" s="50">
        <v>3</v>
      </c>
      <c r="AI7" s="50">
        <v>0</v>
      </c>
      <c r="AJ7" s="50">
        <v>16</v>
      </c>
      <c r="AK7" s="77">
        <v>37.5</v>
      </c>
      <c r="AL7" s="78">
        <f>AL6+AJ7</f>
        <v>16</v>
      </c>
      <c r="AM7" s="79">
        <f>1-AL7/$AL$21</f>
        <v>0.98804185351270557</v>
      </c>
      <c r="AN7" s="68">
        <f>4/AK7</f>
        <v>0.10666666666666667</v>
      </c>
      <c r="AP7" s="70">
        <f>INDEX($AN$6:$AN$22,MATCH('All suburbs'!$M$1,$AM$6:$AM$22,-1))</f>
        <v>3.2128514056224897E-2</v>
      </c>
    </row>
    <row r="8" spans="3:42" ht="15.75" thickBot="1" x14ac:dyDescent="0.3">
      <c r="C8" s="7" t="s">
        <v>7</v>
      </c>
      <c r="D8" s="8">
        <v>27</v>
      </c>
      <c r="E8" s="8">
        <v>71</v>
      </c>
      <c r="F8" s="8">
        <v>99</v>
      </c>
      <c r="G8" s="8">
        <v>150</v>
      </c>
      <c r="H8" s="8"/>
      <c r="I8" s="16">
        <f t="shared" si="2"/>
        <v>112</v>
      </c>
      <c r="J8" s="17">
        <f t="shared" si="0"/>
        <v>3.2941176470588238E-2</v>
      </c>
      <c r="K8" s="17">
        <f t="shared" si="3"/>
        <v>3.3333333333333333E-2</v>
      </c>
      <c r="L8" s="8"/>
      <c r="M8" s="20">
        <f t="shared" si="4"/>
        <v>269</v>
      </c>
      <c r="N8" s="21">
        <f t="shared" si="1"/>
        <v>0.94644634680469841</v>
      </c>
      <c r="O8" s="23">
        <f t="shared" si="5"/>
        <v>2.6666666666666668E-2</v>
      </c>
      <c r="Q8" s="33" t="s">
        <v>39</v>
      </c>
      <c r="R8" s="34">
        <v>4</v>
      </c>
      <c r="S8" s="34">
        <v>4</v>
      </c>
      <c r="T8" s="34">
        <v>0</v>
      </c>
      <c r="U8" s="35"/>
      <c r="V8" s="34">
        <v>0</v>
      </c>
      <c r="W8" s="34">
        <v>0</v>
      </c>
      <c r="X8" s="34">
        <v>0</v>
      </c>
      <c r="Y8" s="34">
        <v>10</v>
      </c>
      <c r="Z8">
        <f t="shared" si="6"/>
        <v>78</v>
      </c>
      <c r="AA8" s="41">
        <f t="shared" si="7"/>
        <v>0.94495412844036697</v>
      </c>
      <c r="AC8" s="42" t="s">
        <v>70</v>
      </c>
      <c r="AD8" s="50">
        <v>0</v>
      </c>
      <c r="AE8" s="50">
        <v>0</v>
      </c>
      <c r="AF8" s="50">
        <v>4</v>
      </c>
      <c r="AG8" s="50">
        <v>0</v>
      </c>
      <c r="AH8" s="50">
        <v>0</v>
      </c>
      <c r="AI8" s="50">
        <v>0</v>
      </c>
      <c r="AJ8" s="50">
        <v>9</v>
      </c>
      <c r="AK8" s="77">
        <v>87</v>
      </c>
      <c r="AL8" s="78">
        <f t="shared" ref="AL8:AL21" si="8">AL7+AJ8</f>
        <v>25</v>
      </c>
      <c r="AM8" s="79">
        <f t="shared" ref="AM8:AM21" si="9">1-AL8/$AL$21</f>
        <v>0.98131539611360241</v>
      </c>
      <c r="AN8" s="68">
        <f t="shared" ref="AN8:AN21" si="10">4/AK8</f>
        <v>4.5977011494252873E-2</v>
      </c>
      <c r="AP8" s="70">
        <f>INDEX($AN$6:$AN$22,MATCH('All suburbs'!$M$1,$AM$6:$AM$22,-1))</f>
        <v>3.2128514056224897E-2</v>
      </c>
    </row>
    <row r="9" spans="3:42" ht="15.75" thickBot="1" x14ac:dyDescent="0.3">
      <c r="C9" s="7" t="s">
        <v>8</v>
      </c>
      <c r="D9" s="8">
        <v>24</v>
      </c>
      <c r="E9" s="8">
        <v>110</v>
      </c>
      <c r="F9" s="8">
        <v>132</v>
      </c>
      <c r="G9" s="8">
        <v>300</v>
      </c>
      <c r="H9" s="8"/>
      <c r="I9" s="16">
        <f t="shared" si="2"/>
        <v>136</v>
      </c>
      <c r="J9" s="17">
        <f t="shared" si="0"/>
        <v>0.04</v>
      </c>
      <c r="K9" s="17">
        <f t="shared" si="3"/>
        <v>1.6666666666666666E-2</v>
      </c>
      <c r="L9" s="8"/>
      <c r="M9" s="20">
        <f t="shared" si="4"/>
        <v>401</v>
      </c>
      <c r="N9" s="21">
        <f t="shared" si="1"/>
        <v>0.9201672307386024</v>
      </c>
      <c r="O9" s="23">
        <f t="shared" si="5"/>
        <v>1.3333333333333334E-2</v>
      </c>
      <c r="P9" s="22" t="s">
        <v>28</v>
      </c>
      <c r="Q9" s="33" t="s">
        <v>40</v>
      </c>
      <c r="R9" s="34">
        <v>16</v>
      </c>
      <c r="S9" s="34">
        <v>3</v>
      </c>
      <c r="T9" s="34">
        <v>6</v>
      </c>
      <c r="U9" s="34"/>
      <c r="V9" s="34">
        <v>0</v>
      </c>
      <c r="W9" s="34">
        <v>0</v>
      </c>
      <c r="X9" s="34">
        <v>0</v>
      </c>
      <c r="Y9" s="34">
        <v>28</v>
      </c>
      <c r="Z9">
        <f t="shared" si="6"/>
        <v>106</v>
      </c>
      <c r="AA9" s="41">
        <f t="shared" si="7"/>
        <v>0.9251940719830628</v>
      </c>
      <c r="AC9" s="42" t="s">
        <v>71</v>
      </c>
      <c r="AD9" s="50">
        <v>20</v>
      </c>
      <c r="AE9" s="50">
        <v>17</v>
      </c>
      <c r="AF9" s="50">
        <v>16</v>
      </c>
      <c r="AG9" s="50">
        <v>24</v>
      </c>
      <c r="AH9" s="50">
        <v>13</v>
      </c>
      <c r="AI9" s="50">
        <v>0</v>
      </c>
      <c r="AJ9" s="50">
        <v>90</v>
      </c>
      <c r="AK9" s="77">
        <v>124.5</v>
      </c>
      <c r="AL9" s="78">
        <f t="shared" si="8"/>
        <v>115</v>
      </c>
      <c r="AM9" s="79">
        <f t="shared" si="9"/>
        <v>0.91405082212257105</v>
      </c>
      <c r="AN9" s="68">
        <f t="shared" si="10"/>
        <v>3.2128514056224897E-2</v>
      </c>
      <c r="AP9" s="70">
        <f>INDEX($AN$6:$AN$22,MATCH('All suburbs'!$M$1,$AM$6:$AM$22,-1))</f>
        <v>3.2128514056224897E-2</v>
      </c>
    </row>
    <row r="10" spans="3:42" x14ac:dyDescent="0.25">
      <c r="C10" s="7" t="s">
        <v>9</v>
      </c>
      <c r="D10" s="8">
        <v>82</v>
      </c>
      <c r="E10" s="8">
        <v>327</v>
      </c>
      <c r="F10" s="8">
        <v>410</v>
      </c>
      <c r="G10" s="8">
        <v>400</v>
      </c>
      <c r="H10" s="8"/>
      <c r="I10" s="16">
        <f t="shared" si="2"/>
        <v>218</v>
      </c>
      <c r="J10" s="17">
        <f t="shared" si="0"/>
        <v>6.4117647058823529E-2</v>
      </c>
      <c r="K10" s="17">
        <f t="shared" si="3"/>
        <v>1.2500000000000001E-2</v>
      </c>
      <c r="L10" s="8"/>
      <c r="M10" s="20">
        <f t="shared" si="4"/>
        <v>811</v>
      </c>
      <c r="N10" s="21">
        <f t="shared" si="1"/>
        <v>0.83854270356360738</v>
      </c>
      <c r="O10" s="23">
        <f t="shared" si="5"/>
        <v>0.01</v>
      </c>
      <c r="Q10" s="33" t="s">
        <v>41</v>
      </c>
      <c r="R10" s="34">
        <v>6</v>
      </c>
      <c r="S10" s="34">
        <v>6</v>
      </c>
      <c r="T10" s="34">
        <v>9</v>
      </c>
      <c r="U10" s="34"/>
      <c r="V10" s="34">
        <v>4</v>
      </c>
      <c r="W10" s="34">
        <v>3</v>
      </c>
      <c r="X10" s="34">
        <v>0</v>
      </c>
      <c r="Y10" s="34">
        <v>25</v>
      </c>
      <c r="Z10">
        <f t="shared" si="6"/>
        <v>131</v>
      </c>
      <c r="AA10" s="41">
        <f t="shared" si="7"/>
        <v>0.90755116443189832</v>
      </c>
      <c r="AC10" s="42" t="s">
        <v>72</v>
      </c>
      <c r="AD10" s="50">
        <v>49</v>
      </c>
      <c r="AE10" s="50">
        <v>37</v>
      </c>
      <c r="AF10" s="50">
        <v>16</v>
      </c>
      <c r="AG10" s="50">
        <v>47</v>
      </c>
      <c r="AH10" s="50">
        <v>16</v>
      </c>
      <c r="AI10" s="50">
        <v>0</v>
      </c>
      <c r="AJ10" s="50">
        <v>157</v>
      </c>
      <c r="AK10" s="77">
        <v>174.5</v>
      </c>
      <c r="AL10" s="78">
        <f t="shared" si="8"/>
        <v>272</v>
      </c>
      <c r="AM10" s="79">
        <f t="shared" si="9"/>
        <v>0.79671150971599403</v>
      </c>
      <c r="AN10" s="68">
        <f t="shared" si="10"/>
        <v>2.2922636103151862E-2</v>
      </c>
      <c r="AP10" s="70">
        <f>INDEX($AN$6:$AN$22,MATCH('All suburbs'!$M$1,$AM$6:$AM$22,-1))</f>
        <v>3.2128514056224897E-2</v>
      </c>
    </row>
    <row r="11" spans="3:42" x14ac:dyDescent="0.25">
      <c r="C11" s="7" t="s">
        <v>10</v>
      </c>
      <c r="D11" s="8">
        <v>81</v>
      </c>
      <c r="E11" s="8">
        <v>182</v>
      </c>
      <c r="F11" s="8">
        <v>262</v>
      </c>
      <c r="G11" s="8">
        <v>500</v>
      </c>
      <c r="H11" s="8"/>
      <c r="I11" s="16">
        <f t="shared" si="2"/>
        <v>299</v>
      </c>
      <c r="J11" s="17">
        <f t="shared" si="0"/>
        <v>8.7941176470588231E-2</v>
      </c>
      <c r="K11" s="17">
        <f t="shared" si="3"/>
        <v>0.01</v>
      </c>
      <c r="L11" s="8"/>
      <c r="M11" s="20">
        <f t="shared" si="4"/>
        <v>1073</v>
      </c>
      <c r="N11" s="21">
        <f t="shared" si="1"/>
        <v>0.78638263985665935</v>
      </c>
      <c r="O11" s="23">
        <f t="shared" si="5"/>
        <v>8.0000000000000002E-3</v>
      </c>
      <c r="Q11" s="33" t="s">
        <v>42</v>
      </c>
      <c r="R11" s="34">
        <v>20</v>
      </c>
      <c r="S11" s="34">
        <v>14</v>
      </c>
      <c r="T11" s="34">
        <v>9</v>
      </c>
      <c r="U11" s="34"/>
      <c r="V11" s="34">
        <v>3</v>
      </c>
      <c r="W11" s="34">
        <v>3</v>
      </c>
      <c r="X11" s="34">
        <v>0</v>
      </c>
      <c r="Y11" s="34">
        <v>53</v>
      </c>
      <c r="Z11">
        <f t="shared" si="6"/>
        <v>184</v>
      </c>
      <c r="AA11" s="41">
        <f t="shared" si="7"/>
        <v>0.87014820042342977</v>
      </c>
      <c r="AC11" s="42" t="s">
        <v>73</v>
      </c>
      <c r="AD11" s="50">
        <v>54</v>
      </c>
      <c r="AE11" s="50">
        <v>13</v>
      </c>
      <c r="AF11" s="50">
        <v>5</v>
      </c>
      <c r="AG11" s="50">
        <v>42</v>
      </c>
      <c r="AH11" s="50">
        <v>8</v>
      </c>
      <c r="AI11" s="50">
        <v>0</v>
      </c>
      <c r="AJ11" s="50">
        <v>125</v>
      </c>
      <c r="AK11" s="77">
        <v>212</v>
      </c>
      <c r="AL11" s="78">
        <f t="shared" si="8"/>
        <v>397</v>
      </c>
      <c r="AM11" s="79">
        <f t="shared" si="9"/>
        <v>0.70328849028400597</v>
      </c>
      <c r="AN11" s="68">
        <f t="shared" si="10"/>
        <v>1.8867924528301886E-2</v>
      </c>
      <c r="AP11" s="70">
        <f>INDEX($AN$6:$AN$22,MATCH('All suburbs'!$M$1,$AM$6:$AM$22,-1))</f>
        <v>3.2128514056224897E-2</v>
      </c>
    </row>
    <row r="12" spans="3:42" x14ac:dyDescent="0.25">
      <c r="C12" s="7" t="s">
        <v>11</v>
      </c>
      <c r="D12" s="8">
        <v>289</v>
      </c>
      <c r="E12" s="8">
        <v>105</v>
      </c>
      <c r="F12" s="8">
        <v>393</v>
      </c>
      <c r="G12" s="8">
        <v>650</v>
      </c>
      <c r="H12" s="8"/>
      <c r="I12" s="16">
        <f t="shared" si="2"/>
        <v>588</v>
      </c>
      <c r="J12" s="17">
        <f t="shared" si="0"/>
        <v>0.17294117647058824</v>
      </c>
      <c r="K12" s="17">
        <f t="shared" si="3"/>
        <v>7.6923076923076927E-3</v>
      </c>
      <c r="L12" s="8"/>
      <c r="M12" s="20">
        <f t="shared" si="4"/>
        <v>1466</v>
      </c>
      <c r="N12" s="21">
        <f t="shared" si="1"/>
        <v>0.70814254429623724</v>
      </c>
      <c r="O12" s="23">
        <f t="shared" si="5"/>
        <v>6.1538461538461538E-3</v>
      </c>
      <c r="Q12" s="33" t="s">
        <v>43</v>
      </c>
      <c r="R12" s="34">
        <v>35</v>
      </c>
      <c r="S12" s="34">
        <v>29</v>
      </c>
      <c r="T12" s="34">
        <v>8</v>
      </c>
      <c r="U12" s="34"/>
      <c r="V12" s="34">
        <v>3</v>
      </c>
      <c r="W12" s="34">
        <v>4</v>
      </c>
      <c r="X12" s="34">
        <v>0</v>
      </c>
      <c r="Y12" s="34">
        <v>79</v>
      </c>
      <c r="Z12">
        <f t="shared" si="6"/>
        <v>263</v>
      </c>
      <c r="AA12" s="41">
        <f t="shared" si="7"/>
        <v>0.81439661256175011</v>
      </c>
      <c r="AC12" s="42" t="s">
        <v>74</v>
      </c>
      <c r="AD12" s="50">
        <v>149</v>
      </c>
      <c r="AE12" s="50">
        <v>21</v>
      </c>
      <c r="AF12" s="50">
        <v>4</v>
      </c>
      <c r="AG12" s="50">
        <v>46</v>
      </c>
      <c r="AH12" s="50">
        <v>12</v>
      </c>
      <c r="AI12" s="50">
        <v>4</v>
      </c>
      <c r="AJ12" s="50">
        <v>239</v>
      </c>
      <c r="AK12" s="77">
        <v>249.5</v>
      </c>
      <c r="AL12" s="78">
        <f t="shared" si="8"/>
        <v>636</v>
      </c>
      <c r="AM12" s="79">
        <f t="shared" si="9"/>
        <v>0.5246636771300448</v>
      </c>
      <c r="AN12" s="68">
        <f t="shared" si="10"/>
        <v>1.6032064128256512E-2</v>
      </c>
      <c r="AP12" s="70">
        <f>INDEX($AN$6:$AN$22,MATCH('All suburbs'!$M$1,$AM$6:$AM$22,-1))</f>
        <v>3.2128514056224897E-2</v>
      </c>
    </row>
    <row r="13" spans="3:42" x14ac:dyDescent="0.25">
      <c r="C13" s="7" t="s">
        <v>12</v>
      </c>
      <c r="D13" s="8">
        <v>190</v>
      </c>
      <c r="E13" s="8">
        <v>139</v>
      </c>
      <c r="F13" s="8">
        <v>335</v>
      </c>
      <c r="G13" s="8">
        <v>800</v>
      </c>
      <c r="H13" s="8"/>
      <c r="I13" s="16">
        <f t="shared" si="2"/>
        <v>778</v>
      </c>
      <c r="J13" s="17">
        <f t="shared" si="0"/>
        <v>0.2288235294117647</v>
      </c>
      <c r="K13" s="17">
        <f t="shared" si="3"/>
        <v>6.2500000000000003E-3</v>
      </c>
      <c r="L13" s="8"/>
      <c r="M13" s="20">
        <f t="shared" si="4"/>
        <v>1801</v>
      </c>
      <c r="N13" s="21">
        <f t="shared" si="1"/>
        <v>0.64144933306788765</v>
      </c>
      <c r="O13" s="23">
        <f t="shared" si="5"/>
        <v>5.0000000000000001E-3</v>
      </c>
      <c r="Q13" s="33" t="s">
        <v>44</v>
      </c>
      <c r="R13" s="34">
        <v>39</v>
      </c>
      <c r="S13" s="34">
        <v>46</v>
      </c>
      <c r="T13" s="34">
        <v>20</v>
      </c>
      <c r="U13" s="34"/>
      <c r="V13" s="34">
        <v>5</v>
      </c>
      <c r="W13" s="34">
        <v>3</v>
      </c>
      <c r="X13" s="34">
        <v>3</v>
      </c>
      <c r="Y13" s="34">
        <v>117</v>
      </c>
      <c r="Z13">
        <f t="shared" si="6"/>
        <v>380</v>
      </c>
      <c r="AA13" s="41">
        <f t="shared" si="7"/>
        <v>0.73182780522230062</v>
      </c>
      <c r="AC13" s="42" t="s">
        <v>75</v>
      </c>
      <c r="AD13" s="50">
        <v>222</v>
      </c>
      <c r="AE13" s="50">
        <v>15</v>
      </c>
      <c r="AF13" s="50">
        <v>3</v>
      </c>
      <c r="AG13" s="50">
        <v>81</v>
      </c>
      <c r="AH13" s="50">
        <v>13</v>
      </c>
      <c r="AI13" s="50">
        <v>0</v>
      </c>
      <c r="AJ13" s="50">
        <v>327</v>
      </c>
      <c r="AK13" s="77">
        <v>312</v>
      </c>
      <c r="AL13" s="78">
        <f t="shared" si="8"/>
        <v>963</v>
      </c>
      <c r="AM13" s="79">
        <f t="shared" si="9"/>
        <v>0.28026905829596416</v>
      </c>
      <c r="AN13" s="68">
        <f t="shared" si="10"/>
        <v>1.282051282051282E-2</v>
      </c>
      <c r="AP13" s="70">
        <f>INDEX($AN$6:$AN$22,MATCH('All suburbs'!$M$1,$AM$6:$AM$22,-1))</f>
        <v>3.2128514056224897E-2</v>
      </c>
    </row>
    <row r="14" spans="3:42" x14ac:dyDescent="0.25">
      <c r="C14" s="7" t="s">
        <v>13</v>
      </c>
      <c r="D14" s="8">
        <v>234</v>
      </c>
      <c r="E14" s="8">
        <v>183</v>
      </c>
      <c r="F14" s="8">
        <v>411</v>
      </c>
      <c r="G14" s="8">
        <v>1000</v>
      </c>
      <c r="H14" s="8"/>
      <c r="I14" s="16">
        <f t="shared" si="2"/>
        <v>1012</v>
      </c>
      <c r="J14" s="17">
        <f t="shared" si="0"/>
        <v>0.29764705882352943</v>
      </c>
      <c r="K14" s="17">
        <f t="shared" si="3"/>
        <v>5.0000000000000001E-3</v>
      </c>
      <c r="L14" s="8"/>
      <c r="M14" s="20">
        <f t="shared" si="4"/>
        <v>2212</v>
      </c>
      <c r="N14" s="21">
        <f t="shared" si="1"/>
        <v>0.55962572168027069</v>
      </c>
      <c r="O14" s="23">
        <f t="shared" si="5"/>
        <v>4.0000000000000001E-3</v>
      </c>
      <c r="Q14" s="33" t="s">
        <v>45</v>
      </c>
      <c r="R14" s="34">
        <v>53</v>
      </c>
      <c r="S14" s="34">
        <v>56</v>
      </c>
      <c r="T14" s="34">
        <v>24</v>
      </c>
      <c r="U14" s="34"/>
      <c r="V14" s="34">
        <v>8</v>
      </c>
      <c r="W14" s="34">
        <v>13</v>
      </c>
      <c r="X14" s="34">
        <v>0</v>
      </c>
      <c r="Y14" s="34">
        <v>145</v>
      </c>
      <c r="Z14">
        <f t="shared" si="6"/>
        <v>525</v>
      </c>
      <c r="AA14" s="41">
        <f t="shared" si="7"/>
        <v>0.62949894142554697</v>
      </c>
      <c r="AC14" s="42" t="s">
        <v>76</v>
      </c>
      <c r="AD14" s="50">
        <v>127</v>
      </c>
      <c r="AE14" s="50">
        <v>13</v>
      </c>
      <c r="AF14" s="50">
        <v>6</v>
      </c>
      <c r="AG14" s="50">
        <v>41</v>
      </c>
      <c r="AH14" s="50">
        <v>9</v>
      </c>
      <c r="AI14" s="50">
        <v>0</v>
      </c>
      <c r="AJ14" s="50">
        <v>195</v>
      </c>
      <c r="AK14" s="77">
        <v>399.5</v>
      </c>
      <c r="AL14" s="78">
        <f t="shared" si="8"/>
        <v>1158</v>
      </c>
      <c r="AM14" s="79">
        <f t="shared" si="9"/>
        <v>0.13452914798206284</v>
      </c>
      <c r="AN14" s="68">
        <f t="shared" si="10"/>
        <v>1.0012515644555695E-2</v>
      </c>
      <c r="AP14" s="70">
        <f>INDEX($AN$6:$AN$22,MATCH('All suburbs'!$M$1,$AM$6:$AM$22,-1))</f>
        <v>3.2128514056224897E-2</v>
      </c>
    </row>
    <row r="15" spans="3:42" x14ac:dyDescent="0.25">
      <c r="C15" s="7" t="s">
        <v>14</v>
      </c>
      <c r="D15" s="8">
        <v>321</v>
      </c>
      <c r="E15" s="8">
        <v>102</v>
      </c>
      <c r="F15" s="8">
        <v>423</v>
      </c>
      <c r="G15" s="8">
        <v>1250</v>
      </c>
      <c r="H15" s="8"/>
      <c r="I15" s="16">
        <f t="shared" si="2"/>
        <v>1333</v>
      </c>
      <c r="J15" s="17">
        <f t="shared" si="0"/>
        <v>0.39205882352941174</v>
      </c>
      <c r="K15" s="17">
        <f t="shared" si="3"/>
        <v>4.0000000000000001E-3</v>
      </c>
      <c r="L15" s="8"/>
      <c r="M15" s="20">
        <f t="shared" si="4"/>
        <v>2635</v>
      </c>
      <c r="N15" s="21">
        <f t="shared" si="1"/>
        <v>0.4754130997411905</v>
      </c>
      <c r="O15" s="23">
        <f t="shared" si="5"/>
        <v>3.2000000000000002E-3</v>
      </c>
      <c r="Q15" s="33" t="s">
        <v>46</v>
      </c>
      <c r="R15" s="34">
        <v>38</v>
      </c>
      <c r="S15" s="34">
        <v>72</v>
      </c>
      <c r="T15" s="34">
        <v>17</v>
      </c>
      <c r="U15" s="34"/>
      <c r="V15" s="34">
        <v>5</v>
      </c>
      <c r="W15" s="34">
        <v>4</v>
      </c>
      <c r="X15" s="34">
        <v>0</v>
      </c>
      <c r="Y15" s="34">
        <v>139</v>
      </c>
      <c r="Z15">
        <f t="shared" si="6"/>
        <v>664</v>
      </c>
      <c r="AA15" s="41">
        <f t="shared" si="7"/>
        <v>0.53140437544107266</v>
      </c>
      <c r="AC15" s="42" t="s">
        <v>77</v>
      </c>
      <c r="AD15" s="50">
        <v>34</v>
      </c>
      <c r="AE15" s="50">
        <v>0</v>
      </c>
      <c r="AF15" s="50">
        <v>0</v>
      </c>
      <c r="AG15" s="50">
        <v>22</v>
      </c>
      <c r="AH15" s="50">
        <v>7</v>
      </c>
      <c r="AI15" s="50">
        <v>0</v>
      </c>
      <c r="AJ15" s="50">
        <v>61</v>
      </c>
      <c r="AK15" s="77">
        <v>499.5</v>
      </c>
      <c r="AL15" s="78">
        <f t="shared" si="8"/>
        <v>1219</v>
      </c>
      <c r="AM15" s="79">
        <f t="shared" si="9"/>
        <v>8.8938714499252614E-2</v>
      </c>
      <c r="AN15" s="68">
        <f t="shared" si="10"/>
        <v>8.0080080080080079E-3</v>
      </c>
      <c r="AP15" s="70">
        <f>INDEX($AN$6:$AN$22,MATCH('All suburbs'!$M$1,$AM$6:$AM$22,-1))</f>
        <v>3.2128514056224897E-2</v>
      </c>
    </row>
    <row r="16" spans="3:42" x14ac:dyDescent="0.25">
      <c r="C16" s="7" t="s">
        <v>15</v>
      </c>
      <c r="D16" s="8">
        <v>192</v>
      </c>
      <c r="E16" s="8">
        <v>76</v>
      </c>
      <c r="F16" s="8">
        <v>271</v>
      </c>
      <c r="G16" s="8">
        <v>1500</v>
      </c>
      <c r="H16" s="8"/>
      <c r="I16" s="16">
        <f t="shared" si="2"/>
        <v>1525</v>
      </c>
      <c r="J16" s="17">
        <f t="shared" si="0"/>
        <v>0.4485294117647059</v>
      </c>
      <c r="K16" s="17">
        <f t="shared" si="3"/>
        <v>3.3333333333333335E-3</v>
      </c>
      <c r="L16" s="8"/>
      <c r="M16" s="20">
        <f t="shared" si="4"/>
        <v>2906</v>
      </c>
      <c r="N16" s="21">
        <f t="shared" si="1"/>
        <v>0.42146127812064504</v>
      </c>
      <c r="O16" s="23">
        <f t="shared" si="5"/>
        <v>2.6666666666666666E-3</v>
      </c>
      <c r="Q16" s="33" t="s">
        <v>47</v>
      </c>
      <c r="R16" s="34">
        <v>52</v>
      </c>
      <c r="S16" s="34">
        <v>79</v>
      </c>
      <c r="T16" s="34">
        <v>20</v>
      </c>
      <c r="U16" s="34"/>
      <c r="V16" s="34">
        <v>8</v>
      </c>
      <c r="W16" s="34">
        <v>10</v>
      </c>
      <c r="X16" s="34">
        <v>0</v>
      </c>
      <c r="Y16" s="34">
        <v>162</v>
      </c>
      <c r="Z16">
        <f t="shared" si="6"/>
        <v>826</v>
      </c>
      <c r="AA16" s="41">
        <f t="shared" si="7"/>
        <v>0.41707833450952714</v>
      </c>
      <c r="AC16" s="42" t="s">
        <v>78</v>
      </c>
      <c r="AD16" s="50">
        <v>4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8</v>
      </c>
      <c r="AK16" s="77">
        <v>599.5</v>
      </c>
      <c r="AL16" s="78">
        <f t="shared" si="8"/>
        <v>1227</v>
      </c>
      <c r="AM16" s="79">
        <f t="shared" si="9"/>
        <v>8.2959641255605399E-2</v>
      </c>
      <c r="AN16" s="68">
        <f t="shared" si="10"/>
        <v>6.672226855713094E-3</v>
      </c>
      <c r="AP16" s="70">
        <f>INDEX($AN$6:$AN$22,MATCH('All suburbs'!$M$1,$AM$6:$AM$22,-1))</f>
        <v>3.2128514056224897E-2</v>
      </c>
    </row>
    <row r="17" spans="3:42" x14ac:dyDescent="0.25">
      <c r="C17" s="7" t="s">
        <v>16</v>
      </c>
      <c r="D17" s="8">
        <v>207</v>
      </c>
      <c r="E17" s="8">
        <v>67</v>
      </c>
      <c r="F17" s="8">
        <v>272</v>
      </c>
      <c r="G17" s="8">
        <v>1750</v>
      </c>
      <c r="H17" s="8"/>
      <c r="I17" s="16">
        <f t="shared" si="2"/>
        <v>1732</v>
      </c>
      <c r="J17" s="17">
        <f t="shared" si="0"/>
        <v>0.50941176470588234</v>
      </c>
      <c r="K17" s="17">
        <f t="shared" si="3"/>
        <v>2.8571428571428571E-3</v>
      </c>
      <c r="L17" s="8"/>
      <c r="M17" s="20">
        <f t="shared" si="4"/>
        <v>3178</v>
      </c>
      <c r="N17" s="21">
        <f t="shared" si="1"/>
        <v>0.36731037228747765</v>
      </c>
      <c r="O17" s="23">
        <f t="shared" si="5"/>
        <v>2.2857142857142859E-3</v>
      </c>
      <c r="Q17" s="33" t="s">
        <v>48</v>
      </c>
      <c r="R17" s="34">
        <v>22</v>
      </c>
      <c r="S17" s="34">
        <v>40</v>
      </c>
      <c r="T17" s="34">
        <v>12</v>
      </c>
      <c r="U17" s="34"/>
      <c r="V17" s="34">
        <v>3</v>
      </c>
      <c r="W17" s="34">
        <v>0</v>
      </c>
      <c r="X17" s="34">
        <v>0</v>
      </c>
      <c r="Y17" s="34">
        <v>76</v>
      </c>
      <c r="Z17">
        <f t="shared" si="6"/>
        <v>902</v>
      </c>
      <c r="AA17" s="41">
        <f t="shared" si="7"/>
        <v>0.36344389555398726</v>
      </c>
      <c r="AC17" s="42" t="s">
        <v>79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3</v>
      </c>
      <c r="AK17" s="77">
        <v>699.5</v>
      </c>
      <c r="AL17" s="78">
        <f t="shared" si="8"/>
        <v>1230</v>
      </c>
      <c r="AM17" s="79">
        <f t="shared" si="9"/>
        <v>8.0717488789237679E-2</v>
      </c>
      <c r="AN17" s="68">
        <f t="shared" si="10"/>
        <v>5.7183702644746249E-3</v>
      </c>
      <c r="AP17" s="70">
        <f>INDEX($AN$6:$AN$22,MATCH('All suburbs'!$M$1,$AM$6:$AM$22,-1))</f>
        <v>3.2128514056224897E-2</v>
      </c>
    </row>
    <row r="18" spans="3:42" x14ac:dyDescent="0.25">
      <c r="C18" s="7" t="s">
        <v>17</v>
      </c>
      <c r="D18" s="8">
        <v>460</v>
      </c>
      <c r="E18" s="8">
        <v>118</v>
      </c>
      <c r="F18" s="8">
        <v>581</v>
      </c>
      <c r="G18" s="8">
        <v>2000</v>
      </c>
      <c r="H18" s="8"/>
      <c r="I18" s="16">
        <f t="shared" si="2"/>
        <v>2192</v>
      </c>
      <c r="J18" s="17">
        <f t="shared" si="0"/>
        <v>0.64470588235294113</v>
      </c>
      <c r="K18" s="17">
        <f t="shared" si="3"/>
        <v>2.5000000000000001E-3</v>
      </c>
      <c r="L18" s="8"/>
      <c r="M18" s="20">
        <f t="shared" si="4"/>
        <v>3759</v>
      </c>
      <c r="N18" s="21">
        <f t="shared" si="1"/>
        <v>0.251642444754131</v>
      </c>
      <c r="O18" s="23">
        <f t="shared" si="5"/>
        <v>2E-3</v>
      </c>
      <c r="Q18" s="33" t="s">
        <v>49</v>
      </c>
      <c r="R18" s="34">
        <v>37</v>
      </c>
      <c r="S18" s="34">
        <v>87</v>
      </c>
      <c r="T18" s="34">
        <v>26</v>
      </c>
      <c r="U18" s="34"/>
      <c r="V18" s="34">
        <v>12</v>
      </c>
      <c r="W18" s="34">
        <v>0</v>
      </c>
      <c r="X18" s="34">
        <v>0</v>
      </c>
      <c r="Y18" s="34">
        <v>161</v>
      </c>
      <c r="Z18">
        <f t="shared" si="6"/>
        <v>1063</v>
      </c>
      <c r="AA18" s="41">
        <f t="shared" si="7"/>
        <v>0.24982357092448837</v>
      </c>
      <c r="AC18" s="42" t="s">
        <v>80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77">
        <v>799.5</v>
      </c>
      <c r="AL18" s="78">
        <f t="shared" si="8"/>
        <v>1230</v>
      </c>
      <c r="AM18" s="79">
        <f t="shared" si="9"/>
        <v>8.0717488789237679E-2</v>
      </c>
      <c r="AN18" s="68">
        <f t="shared" si="10"/>
        <v>5.0031269543464665E-3</v>
      </c>
      <c r="AP18" s="70">
        <f>INDEX($AN$6:$AN$22,MATCH('All suburbs'!$M$1,$AM$6:$AM$22,-1))</f>
        <v>3.2128514056224897E-2</v>
      </c>
    </row>
    <row r="19" spans="3:42" x14ac:dyDescent="0.25">
      <c r="C19" s="7" t="s">
        <v>18</v>
      </c>
      <c r="D19" s="8">
        <v>350</v>
      </c>
      <c r="E19" s="8">
        <v>14</v>
      </c>
      <c r="F19" s="8">
        <v>360</v>
      </c>
      <c r="G19" s="8">
        <v>2500</v>
      </c>
      <c r="H19" s="8"/>
      <c r="I19" s="16">
        <f t="shared" si="2"/>
        <v>2542</v>
      </c>
      <c r="J19" s="17">
        <f t="shared" si="0"/>
        <v>0.74764705882352944</v>
      </c>
      <c r="K19" s="17">
        <f t="shared" si="3"/>
        <v>2E-3</v>
      </c>
      <c r="L19" s="8"/>
      <c r="M19" s="20">
        <f t="shared" si="4"/>
        <v>4119</v>
      </c>
      <c r="N19" s="21">
        <f t="shared" si="1"/>
        <v>0.1799721282102329</v>
      </c>
      <c r="O19" s="23">
        <f t="shared" si="5"/>
        <v>1.6000000000000001E-3</v>
      </c>
      <c r="Q19" s="33" t="s">
        <v>50</v>
      </c>
      <c r="R19" s="34">
        <v>9</v>
      </c>
      <c r="S19" s="34">
        <v>29</v>
      </c>
      <c r="T19" s="34">
        <v>5</v>
      </c>
      <c r="U19" s="34"/>
      <c r="V19" s="34">
        <v>0</v>
      </c>
      <c r="W19" s="34">
        <v>0</v>
      </c>
      <c r="X19" s="34">
        <v>0</v>
      </c>
      <c r="Y19" s="34">
        <v>50</v>
      </c>
      <c r="Z19">
        <f t="shared" si="6"/>
        <v>1113</v>
      </c>
      <c r="AA19" s="41">
        <f t="shared" si="7"/>
        <v>0.2145377558221595</v>
      </c>
      <c r="AC19" s="42" t="s">
        <v>81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77">
        <v>899.5</v>
      </c>
      <c r="AL19" s="78">
        <f t="shared" si="8"/>
        <v>1230</v>
      </c>
      <c r="AM19" s="79">
        <f t="shared" si="9"/>
        <v>8.0717488789237679E-2</v>
      </c>
      <c r="AN19" s="68">
        <f t="shared" si="10"/>
        <v>4.4469149527515284E-3</v>
      </c>
      <c r="AP19" s="70">
        <f>INDEX($AN$6:$AN$22,MATCH('All suburbs'!$M$1,$AM$6:$AM$22,-1))</f>
        <v>3.2128514056224897E-2</v>
      </c>
    </row>
    <row r="20" spans="3:42" x14ac:dyDescent="0.25">
      <c r="C20" s="7" t="s">
        <v>19</v>
      </c>
      <c r="D20" s="8">
        <v>283</v>
      </c>
      <c r="E20" s="8">
        <v>26</v>
      </c>
      <c r="F20" s="8">
        <v>309</v>
      </c>
      <c r="G20" s="8">
        <v>3000</v>
      </c>
      <c r="H20" s="8"/>
      <c r="I20" s="16">
        <f t="shared" si="2"/>
        <v>2825</v>
      </c>
      <c r="J20" s="17">
        <f t="shared" si="0"/>
        <v>0.83088235294117652</v>
      </c>
      <c r="K20" s="17">
        <f t="shared" si="3"/>
        <v>1.6666666666666668E-3</v>
      </c>
      <c r="L20" s="8"/>
      <c r="M20" s="20">
        <f t="shared" si="4"/>
        <v>4428</v>
      </c>
      <c r="N20" s="21">
        <f t="shared" si="1"/>
        <v>0.11845510651005375</v>
      </c>
      <c r="O20" s="23">
        <f t="shared" si="5"/>
        <v>1.3333333333333333E-3</v>
      </c>
      <c r="Q20" s="33" t="s">
        <v>51</v>
      </c>
      <c r="R20" s="34">
        <v>3</v>
      </c>
      <c r="S20" s="34">
        <v>29</v>
      </c>
      <c r="T20" s="34">
        <v>10</v>
      </c>
      <c r="U20" s="34"/>
      <c r="V20" s="34">
        <v>0</v>
      </c>
      <c r="W20" s="34">
        <v>0</v>
      </c>
      <c r="X20" s="34">
        <v>0</v>
      </c>
      <c r="Y20" s="34">
        <v>45</v>
      </c>
      <c r="Z20">
        <f t="shared" si="6"/>
        <v>1158</v>
      </c>
      <c r="AA20" s="41">
        <f t="shared" si="7"/>
        <v>0.18278052223006347</v>
      </c>
      <c r="AC20" s="42" t="s">
        <v>82</v>
      </c>
      <c r="AD20" s="50">
        <v>0</v>
      </c>
      <c r="AE20" s="50">
        <v>0</v>
      </c>
      <c r="AF20" s="50">
        <v>0</v>
      </c>
      <c r="AG20" s="50">
        <v>6</v>
      </c>
      <c r="AH20" s="50">
        <v>0</v>
      </c>
      <c r="AI20" s="50">
        <v>0</v>
      </c>
      <c r="AJ20" s="50">
        <v>9</v>
      </c>
      <c r="AK20" s="77">
        <v>975</v>
      </c>
      <c r="AL20" s="78">
        <f t="shared" si="8"/>
        <v>1239</v>
      </c>
      <c r="AM20" s="79">
        <f t="shared" si="9"/>
        <v>7.3991031390134521E-2</v>
      </c>
      <c r="AN20" s="68">
        <f t="shared" si="10"/>
        <v>4.1025641025641026E-3</v>
      </c>
      <c r="AP20" s="70">
        <f>INDEX($AN$6:$AN$22,MATCH('All suburbs'!$M$1,$AM$6:$AM$22,-1))</f>
        <v>3.2128514056224897E-2</v>
      </c>
    </row>
    <row r="21" spans="3:42" x14ac:dyDescent="0.25">
      <c r="C21" s="7" t="s">
        <v>20</v>
      </c>
      <c r="D21" s="8">
        <v>185</v>
      </c>
      <c r="E21" s="8">
        <v>0</v>
      </c>
      <c r="F21" s="8">
        <v>184</v>
      </c>
      <c r="G21" s="8">
        <v>3500</v>
      </c>
      <c r="H21" s="8"/>
      <c r="I21" s="16">
        <f t="shared" si="2"/>
        <v>3010</v>
      </c>
      <c r="J21" s="17">
        <f t="shared" si="0"/>
        <v>0.88529411764705879</v>
      </c>
      <c r="K21" s="17">
        <f t="shared" si="3"/>
        <v>1.4285714285714286E-3</v>
      </c>
      <c r="L21" s="8"/>
      <c r="M21" s="20">
        <f t="shared" si="4"/>
        <v>4612</v>
      </c>
      <c r="N21" s="21">
        <f t="shared" si="1"/>
        <v>8.1823611387616957E-2</v>
      </c>
      <c r="O21" s="23">
        <f t="shared" si="5"/>
        <v>1.1428571428571429E-3</v>
      </c>
      <c r="Q21" s="33" t="s">
        <v>52</v>
      </c>
      <c r="R21" s="34">
        <v>32</v>
      </c>
      <c r="S21" s="34">
        <v>33</v>
      </c>
      <c r="T21" s="34">
        <v>14</v>
      </c>
      <c r="U21" s="34"/>
      <c r="V21" s="34">
        <v>0</v>
      </c>
      <c r="W21" s="34">
        <v>0</v>
      </c>
      <c r="X21" s="34">
        <v>0</v>
      </c>
      <c r="Y21" s="34">
        <v>81</v>
      </c>
      <c r="Z21">
        <f t="shared" si="6"/>
        <v>1239</v>
      </c>
      <c r="AA21" s="41">
        <f t="shared" si="7"/>
        <v>0.12561750176429076</v>
      </c>
      <c r="AC21" s="42" t="s">
        <v>83</v>
      </c>
      <c r="AD21" s="50">
        <v>14</v>
      </c>
      <c r="AE21" s="50">
        <v>5</v>
      </c>
      <c r="AF21" s="50">
        <v>7</v>
      </c>
      <c r="AG21" s="50">
        <v>27</v>
      </c>
      <c r="AH21" s="50">
        <v>61</v>
      </c>
      <c r="AI21" s="50">
        <v>0</v>
      </c>
      <c r="AJ21" s="50">
        <v>99</v>
      </c>
      <c r="AK21" s="77">
        <v>1001</v>
      </c>
      <c r="AL21" s="78">
        <f t="shared" si="8"/>
        <v>1338</v>
      </c>
      <c r="AM21" s="79">
        <f t="shared" si="9"/>
        <v>0</v>
      </c>
      <c r="AN21" s="68">
        <f t="shared" si="10"/>
        <v>3.996003996003996E-3</v>
      </c>
      <c r="AP21" s="70">
        <f>INDEX($AN$6:$AN$22,MATCH('All suburbs'!$M$1,$AM$6:$AM$22,-1))</f>
        <v>3.2128514056224897E-2</v>
      </c>
    </row>
    <row r="22" spans="3:42" x14ac:dyDescent="0.25">
      <c r="C22" s="7" t="s">
        <v>21</v>
      </c>
      <c r="D22" s="8">
        <v>390</v>
      </c>
      <c r="E22" s="8">
        <v>27</v>
      </c>
      <c r="F22" s="8">
        <v>411</v>
      </c>
      <c r="G22" s="8">
        <v>4000</v>
      </c>
      <c r="H22" s="8"/>
      <c r="I22" s="16">
        <f t="shared" si="2"/>
        <v>3400</v>
      </c>
      <c r="J22" s="17">
        <f t="shared" si="0"/>
        <v>1</v>
      </c>
      <c r="K22" s="17">
        <f t="shared" si="3"/>
        <v>1.25E-3</v>
      </c>
      <c r="L22" s="8"/>
      <c r="M22" s="20">
        <f t="shared" si="4"/>
        <v>5023</v>
      </c>
      <c r="N22" s="21">
        <f t="shared" si="1"/>
        <v>0</v>
      </c>
      <c r="O22" s="23">
        <f t="shared" si="5"/>
        <v>1E-3</v>
      </c>
      <c r="Q22" s="36" t="s">
        <v>53</v>
      </c>
      <c r="R22" s="34">
        <v>31</v>
      </c>
      <c r="S22" s="34">
        <v>49</v>
      </c>
      <c r="T22" s="34">
        <v>14</v>
      </c>
      <c r="U22" s="34"/>
      <c r="V22" s="34">
        <v>5</v>
      </c>
      <c r="W22" s="34">
        <v>0</v>
      </c>
      <c r="X22" s="34">
        <v>0</v>
      </c>
      <c r="Y22" s="34">
        <v>96</v>
      </c>
      <c r="Z22">
        <f t="shared" si="6"/>
        <v>1335</v>
      </c>
      <c r="AA22" s="41">
        <f t="shared" si="7"/>
        <v>5.786873676781934E-2</v>
      </c>
      <c r="AC22" s="42"/>
      <c r="AD22" s="51"/>
      <c r="AE22" s="51"/>
      <c r="AF22" s="51"/>
      <c r="AG22" s="51"/>
      <c r="AH22" s="51"/>
      <c r="AI22" s="51"/>
      <c r="AJ22" s="51"/>
      <c r="AK22" s="82"/>
      <c r="AL22" s="82"/>
      <c r="AM22" s="82"/>
      <c r="AN22" s="82"/>
      <c r="AP22" s="70"/>
    </row>
    <row r="23" spans="3:42" x14ac:dyDescent="0.25">
      <c r="C23" s="9" t="s">
        <v>4</v>
      </c>
      <c r="D23" s="10">
        <f>SUM(D6:D22)</f>
        <v>3400</v>
      </c>
      <c r="E23" s="10">
        <f t="shared" ref="E23" si="11">SUM(E6:E22)</f>
        <v>1634</v>
      </c>
      <c r="F23" s="10">
        <f>SUM(F6:F22)</f>
        <v>5023</v>
      </c>
      <c r="G23" s="8"/>
      <c r="H23" s="8"/>
      <c r="I23" s="16"/>
      <c r="J23" s="17"/>
      <c r="K23" s="17"/>
      <c r="L23" s="8"/>
      <c r="M23" s="20"/>
      <c r="N23" s="21"/>
      <c r="O23" s="23"/>
      <c r="Q23" s="36" t="s">
        <v>54</v>
      </c>
      <c r="R23" s="34">
        <v>10</v>
      </c>
      <c r="S23" s="34">
        <v>14</v>
      </c>
      <c r="T23" s="34">
        <v>7</v>
      </c>
      <c r="U23" s="34"/>
      <c r="V23" s="34">
        <v>0</v>
      </c>
      <c r="W23" s="34">
        <v>0</v>
      </c>
      <c r="X23" s="34">
        <v>0</v>
      </c>
      <c r="Y23" s="34">
        <v>38</v>
      </c>
      <c r="Z23">
        <f t="shared" si="6"/>
        <v>1373</v>
      </c>
      <c r="AA23" s="41">
        <f t="shared" si="7"/>
        <v>3.1051517290049402E-2</v>
      </c>
      <c r="AC23" s="52" t="s">
        <v>4</v>
      </c>
      <c r="AD23" s="53">
        <v>675</v>
      </c>
      <c r="AE23" s="53">
        <v>125</v>
      </c>
      <c r="AF23" s="53">
        <v>45</v>
      </c>
      <c r="AG23" s="53">
        <v>338</v>
      </c>
      <c r="AH23" s="53">
        <v>149</v>
      </c>
      <c r="AI23" s="53">
        <v>10</v>
      </c>
      <c r="AJ23" s="53">
        <v>1329</v>
      </c>
      <c r="AK23" s="82"/>
      <c r="AL23" s="82"/>
      <c r="AP23" s="70"/>
    </row>
    <row r="24" spans="3:42" x14ac:dyDescent="0.25">
      <c r="C24" s="7"/>
      <c r="D24" s="8"/>
      <c r="E24" s="8"/>
      <c r="F24" s="8"/>
      <c r="G24" s="8"/>
      <c r="H24" s="8"/>
      <c r="I24" s="16"/>
      <c r="J24" s="17"/>
      <c r="K24" s="17"/>
      <c r="L24" s="8"/>
      <c r="M24" s="20"/>
      <c r="N24" s="21"/>
      <c r="O24" s="23"/>
      <c r="Q24" s="36" t="s">
        <v>55</v>
      </c>
      <c r="R24" s="34">
        <v>6</v>
      </c>
      <c r="S24" s="34">
        <v>21</v>
      </c>
      <c r="T24" s="34">
        <v>11</v>
      </c>
      <c r="U24" s="34"/>
      <c r="V24" s="34">
        <v>0</v>
      </c>
      <c r="W24" s="34">
        <v>0</v>
      </c>
      <c r="X24" s="34">
        <v>0</v>
      </c>
      <c r="Y24" s="34">
        <v>44</v>
      </c>
      <c r="Z24">
        <f t="shared" si="6"/>
        <v>1417</v>
      </c>
      <c r="AA24" s="41">
        <f t="shared" si="7"/>
        <v>0</v>
      </c>
      <c r="AC24" s="52"/>
      <c r="AD24" s="52"/>
      <c r="AE24" s="54"/>
      <c r="AF24" s="54"/>
      <c r="AG24" s="54"/>
      <c r="AH24" s="54"/>
      <c r="AI24" s="54"/>
      <c r="AJ24" s="54"/>
      <c r="AP24" s="80"/>
    </row>
    <row r="25" spans="3:42" x14ac:dyDescent="0.25">
      <c r="C25" s="7" t="s">
        <v>22</v>
      </c>
      <c r="D25" s="8">
        <v>310</v>
      </c>
      <c r="E25" s="8">
        <v>24</v>
      </c>
      <c r="F25" s="8">
        <v>337</v>
      </c>
      <c r="I25" s="16">
        <f>D25+I22</f>
        <v>3710</v>
      </c>
      <c r="J25" s="17">
        <f>I25/$D$23</f>
        <v>1.0911764705882352</v>
      </c>
      <c r="K25" s="17" t="e">
        <f t="shared" si="3"/>
        <v>#DIV/0!</v>
      </c>
      <c r="M25" s="20">
        <f>F25+M22</f>
        <v>5360</v>
      </c>
      <c r="N25" s="21">
        <f>1 -M25/$F$23</f>
        <v>-6.7091379653593464E-2</v>
      </c>
      <c r="O25" s="23" t="e">
        <f t="shared" si="5"/>
        <v>#DIV/0!</v>
      </c>
      <c r="Q25" s="36"/>
      <c r="R25" s="35"/>
      <c r="S25" s="35"/>
      <c r="T25" s="35"/>
      <c r="U25" s="35"/>
      <c r="V25" s="35"/>
      <c r="W25" s="35"/>
      <c r="X25" s="35"/>
      <c r="Y25" s="35"/>
    </row>
    <row r="26" spans="3:42" x14ac:dyDescent="0.25">
      <c r="C26" s="7" t="s">
        <v>23</v>
      </c>
      <c r="D26" s="8">
        <v>55</v>
      </c>
      <c r="E26" s="8">
        <v>80</v>
      </c>
      <c r="F26" s="8">
        <v>136</v>
      </c>
      <c r="I26" s="16">
        <f>D26+I25</f>
        <v>3765</v>
      </c>
      <c r="J26" s="17">
        <f>I26/$D$23</f>
        <v>1.1073529411764707</v>
      </c>
      <c r="K26" s="17" t="e">
        <f t="shared" si="3"/>
        <v>#DIV/0!</v>
      </c>
      <c r="M26" s="20">
        <f>F26+M25</f>
        <v>5496</v>
      </c>
      <c r="N26" s="21">
        <f>1 -M26/$F$23</f>
        <v>-9.4166832570177217E-2</v>
      </c>
      <c r="O26" s="23" t="e">
        <f t="shared" si="5"/>
        <v>#DIV/0!</v>
      </c>
      <c r="Q26" s="36" t="s">
        <v>56</v>
      </c>
      <c r="R26" s="34">
        <v>32</v>
      </c>
      <c r="S26" s="34">
        <v>30</v>
      </c>
      <c r="T26" s="34">
        <v>10</v>
      </c>
      <c r="U26" s="34"/>
      <c r="V26" s="34">
        <v>0</v>
      </c>
      <c r="W26" s="34">
        <v>8</v>
      </c>
      <c r="X26" s="34">
        <v>0</v>
      </c>
      <c r="Y26" s="34">
        <v>80</v>
      </c>
    </row>
    <row r="27" spans="3:42" x14ac:dyDescent="0.25">
      <c r="C27" s="7"/>
      <c r="D27" s="7"/>
      <c r="E27" s="7"/>
      <c r="F27" s="7"/>
      <c r="Q27" s="36"/>
      <c r="R27" s="35"/>
      <c r="S27" s="35"/>
      <c r="T27" s="35"/>
      <c r="U27" s="34"/>
      <c r="V27" s="35"/>
      <c r="W27" s="35"/>
      <c r="X27" s="35"/>
      <c r="Y27" s="35"/>
    </row>
    <row r="28" spans="3:42" x14ac:dyDescent="0.25">
      <c r="Q28" s="37" t="s">
        <v>4</v>
      </c>
      <c r="R28" s="38">
        <v>482</v>
      </c>
      <c r="S28" s="38">
        <v>663</v>
      </c>
      <c r="T28" s="38">
        <v>213</v>
      </c>
      <c r="U28" s="38"/>
      <c r="V28" s="38">
        <v>64</v>
      </c>
      <c r="W28" s="38">
        <v>65</v>
      </c>
      <c r="X28" s="38">
        <v>0</v>
      </c>
      <c r="Y28" s="38">
        <v>1489</v>
      </c>
    </row>
    <row r="29" spans="3:42" x14ac:dyDescent="0.25">
      <c r="C29" s="9"/>
      <c r="D29" s="10"/>
      <c r="E29" s="10"/>
      <c r="F29" s="10"/>
      <c r="Q29" s="37"/>
      <c r="R29" s="38"/>
      <c r="S29" s="38"/>
      <c r="T29" s="38"/>
      <c r="U29" s="38"/>
      <c r="V29" s="38"/>
      <c r="W29" s="38"/>
      <c r="X29" s="38"/>
      <c r="Y29" s="38"/>
    </row>
    <row r="30" spans="3:42" x14ac:dyDescent="0.25">
      <c r="C30" s="11" t="s">
        <v>24</v>
      </c>
      <c r="D30" s="12"/>
      <c r="E30" s="12"/>
      <c r="F30" s="12"/>
    </row>
    <row r="32" spans="3:42" x14ac:dyDescent="0.25">
      <c r="D32" t="s">
        <v>102</v>
      </c>
    </row>
    <row r="33" spans="4:4" x14ac:dyDescent="0.25">
      <c r="D33" t="s">
        <v>103</v>
      </c>
    </row>
    <row r="34" spans="4:4" x14ac:dyDescent="0.25">
      <c r="D34" t="s">
        <v>29</v>
      </c>
    </row>
    <row r="35" spans="4:4" x14ac:dyDescent="0.25">
      <c r="D35" t="s">
        <v>30</v>
      </c>
    </row>
    <row r="36" spans="4:4" x14ac:dyDescent="0.25">
      <c r="D36" t="s">
        <v>104</v>
      </c>
    </row>
  </sheetData>
  <mergeCells count="1">
    <mergeCell ref="AD2:AI2"/>
  </mergeCells>
  <pageMargins left="0.7" right="0.7" top="0.75" bottom="0.75" header="0.3" footer="0.3"/>
  <pageSetup paperSize="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86FE4-31C0-48CF-ACE7-AFEA184111CE}">
  <dimension ref="A1:M26"/>
  <sheetViews>
    <sheetView zoomScale="85" zoomScaleNormal="85" workbookViewId="0">
      <selection activeCell="J4" sqref="J4:J22"/>
    </sheetView>
  </sheetViews>
  <sheetFormatPr defaultRowHeight="15" x14ac:dyDescent="0.25"/>
  <cols>
    <col min="1" max="1" width="12.140625" customWidth="1"/>
    <col min="12" max="12" width="11.28515625" customWidth="1"/>
  </cols>
  <sheetData>
    <row r="1" spans="1:13" ht="21.75" thickBot="1" x14ac:dyDescent="0.4">
      <c r="A1" s="63" t="s">
        <v>115</v>
      </c>
      <c r="I1" s="69">
        <v>4</v>
      </c>
      <c r="L1" t="s">
        <v>122</v>
      </c>
      <c r="M1" s="81">
        <f>Dashboard!$E$2</f>
        <v>0.9</v>
      </c>
    </row>
    <row r="3" spans="1:13" x14ac:dyDescent="0.25">
      <c r="A3" s="1"/>
      <c r="B3" s="2" t="s">
        <v>0</v>
      </c>
      <c r="C3" s="2" t="s">
        <v>1</v>
      </c>
      <c r="D3" s="2"/>
    </row>
    <row r="4" spans="1:13" ht="126" customHeight="1" x14ac:dyDescent="0.25">
      <c r="A4" s="3"/>
      <c r="B4" s="4" t="s">
        <v>2</v>
      </c>
      <c r="C4" s="4" t="s">
        <v>3</v>
      </c>
      <c r="D4" s="4" t="s">
        <v>4</v>
      </c>
      <c r="E4" s="56"/>
      <c r="F4" s="66" t="s">
        <v>108</v>
      </c>
      <c r="G4" s="66" t="s">
        <v>109</v>
      </c>
      <c r="H4" s="66" t="s">
        <v>110</v>
      </c>
      <c r="I4" s="66" t="str">
        <f>"SRV increase ($"&amp;I1&amp;"/wk) represented as a percentage of household weekly income"</f>
        <v>SRV increase ($4/wk) represented as a percentage of household weekly income</v>
      </c>
      <c r="J4" s="66" t="s">
        <v>123</v>
      </c>
    </row>
    <row r="5" spans="1:13" x14ac:dyDescent="0.25">
      <c r="A5" s="5"/>
      <c r="B5" s="6"/>
      <c r="C5" s="6"/>
      <c r="D5" s="6"/>
    </row>
    <row r="6" spans="1:13" x14ac:dyDescent="0.25">
      <c r="A6" s="7" t="s">
        <v>5</v>
      </c>
      <c r="B6" s="8">
        <v>56</v>
      </c>
      <c r="C6" s="8">
        <v>62</v>
      </c>
      <c r="D6" s="8">
        <v>123</v>
      </c>
      <c r="F6" s="8">
        <v>0</v>
      </c>
      <c r="G6" s="8">
        <f>D6+G5</f>
        <v>123</v>
      </c>
      <c r="H6" s="67">
        <f>1-G6/$D$26</f>
        <v>0.97551264184750153</v>
      </c>
      <c r="I6" s="70" t="str">
        <f>IFERROR($I$1/F6,"")</f>
        <v/>
      </c>
      <c r="J6" s="70">
        <f>INDEX($I$6:$I$22,MATCH($M$1,$H$6:$H$22,-1))</f>
        <v>1.3333333333333334E-2</v>
      </c>
    </row>
    <row r="7" spans="1:13" x14ac:dyDescent="0.25">
      <c r="A7" s="7" t="s">
        <v>6</v>
      </c>
      <c r="B7" s="8">
        <v>29</v>
      </c>
      <c r="C7" s="8">
        <v>25</v>
      </c>
      <c r="D7" s="8">
        <v>47</v>
      </c>
      <c r="F7" s="8">
        <v>75</v>
      </c>
      <c r="G7" s="8">
        <f t="shared" ref="G7:G22" si="0">D7+G6</f>
        <v>170</v>
      </c>
      <c r="H7" s="67">
        <f t="shared" ref="H7:H22" si="1">1-G7/$D$26</f>
        <v>0.96615568385427031</v>
      </c>
      <c r="I7" s="70">
        <f t="shared" ref="I7:I22" si="2">IFERROR($I$1/F7,"")</f>
        <v>5.3333333333333337E-2</v>
      </c>
      <c r="J7" s="70">
        <f t="shared" ref="J7:J22" si="3">INDEX($I$6:$I$22,MATCH($M$1,$H$6:$H$22,-1))</f>
        <v>1.3333333333333334E-2</v>
      </c>
    </row>
    <row r="8" spans="1:13" x14ac:dyDescent="0.25">
      <c r="A8" s="7" t="s">
        <v>7</v>
      </c>
      <c r="B8" s="8">
        <v>27</v>
      </c>
      <c r="C8" s="8">
        <v>71</v>
      </c>
      <c r="D8" s="8">
        <v>99</v>
      </c>
      <c r="F8" s="8">
        <v>150</v>
      </c>
      <c r="G8" s="8">
        <f t="shared" si="0"/>
        <v>269</v>
      </c>
      <c r="H8" s="67">
        <f t="shared" si="1"/>
        <v>0.94644634680469841</v>
      </c>
      <c r="I8" s="70">
        <f t="shared" si="2"/>
        <v>2.6666666666666668E-2</v>
      </c>
      <c r="J8" s="70">
        <f t="shared" si="3"/>
        <v>1.3333333333333334E-2</v>
      </c>
    </row>
    <row r="9" spans="1:13" x14ac:dyDescent="0.25">
      <c r="A9" s="7" t="s">
        <v>8</v>
      </c>
      <c r="B9" s="8">
        <v>24</v>
      </c>
      <c r="C9" s="8">
        <v>110</v>
      </c>
      <c r="D9" s="8">
        <v>132</v>
      </c>
      <c r="F9" s="8">
        <v>300</v>
      </c>
      <c r="G9" s="8">
        <f t="shared" si="0"/>
        <v>401</v>
      </c>
      <c r="H9" s="67">
        <f t="shared" si="1"/>
        <v>0.9201672307386024</v>
      </c>
      <c r="I9" s="70">
        <f t="shared" si="2"/>
        <v>1.3333333333333334E-2</v>
      </c>
      <c r="J9" s="70">
        <f t="shared" si="3"/>
        <v>1.3333333333333334E-2</v>
      </c>
    </row>
    <row r="10" spans="1:13" x14ac:dyDescent="0.25">
      <c r="A10" s="7" t="s">
        <v>9</v>
      </c>
      <c r="B10" s="8">
        <v>82</v>
      </c>
      <c r="C10" s="8">
        <v>327</v>
      </c>
      <c r="D10" s="8">
        <v>410</v>
      </c>
      <c r="F10" s="8">
        <v>400</v>
      </c>
      <c r="G10" s="8">
        <f t="shared" si="0"/>
        <v>811</v>
      </c>
      <c r="H10" s="67">
        <f t="shared" si="1"/>
        <v>0.83854270356360738</v>
      </c>
      <c r="I10" s="70">
        <f t="shared" si="2"/>
        <v>0.01</v>
      </c>
      <c r="J10" s="70">
        <f t="shared" si="3"/>
        <v>1.3333333333333334E-2</v>
      </c>
    </row>
    <row r="11" spans="1:13" x14ac:dyDescent="0.25">
      <c r="A11" s="7" t="s">
        <v>10</v>
      </c>
      <c r="B11" s="8">
        <v>81</v>
      </c>
      <c r="C11" s="8">
        <v>182</v>
      </c>
      <c r="D11" s="8">
        <v>262</v>
      </c>
      <c r="F11" s="8">
        <v>500</v>
      </c>
      <c r="G11" s="8">
        <f t="shared" si="0"/>
        <v>1073</v>
      </c>
      <c r="H11" s="67">
        <f t="shared" si="1"/>
        <v>0.78638263985665935</v>
      </c>
      <c r="I11" s="70">
        <f t="shared" si="2"/>
        <v>8.0000000000000002E-3</v>
      </c>
      <c r="J11" s="70">
        <f t="shared" si="3"/>
        <v>1.3333333333333334E-2</v>
      </c>
    </row>
    <row r="12" spans="1:13" x14ac:dyDescent="0.25">
      <c r="A12" s="7" t="s">
        <v>11</v>
      </c>
      <c r="B12" s="8">
        <v>289</v>
      </c>
      <c r="C12" s="8">
        <v>105</v>
      </c>
      <c r="D12" s="8">
        <v>393</v>
      </c>
      <c r="F12" s="8">
        <v>650</v>
      </c>
      <c r="G12" s="8">
        <f t="shared" si="0"/>
        <v>1466</v>
      </c>
      <c r="H12" s="67">
        <f t="shared" si="1"/>
        <v>0.70814254429623724</v>
      </c>
      <c r="I12" s="70">
        <f t="shared" si="2"/>
        <v>6.1538461538461538E-3</v>
      </c>
      <c r="J12" s="70">
        <f t="shared" si="3"/>
        <v>1.3333333333333334E-2</v>
      </c>
    </row>
    <row r="13" spans="1:13" x14ac:dyDescent="0.25">
      <c r="A13" s="7" t="s">
        <v>12</v>
      </c>
      <c r="B13" s="8">
        <v>190</v>
      </c>
      <c r="C13" s="8">
        <v>139</v>
      </c>
      <c r="D13" s="8">
        <v>335</v>
      </c>
      <c r="F13" s="8">
        <v>800</v>
      </c>
      <c r="G13" s="8">
        <f t="shared" si="0"/>
        <v>1801</v>
      </c>
      <c r="H13" s="67">
        <f t="shared" si="1"/>
        <v>0.64144933306788765</v>
      </c>
      <c r="I13" s="70">
        <f t="shared" si="2"/>
        <v>5.0000000000000001E-3</v>
      </c>
      <c r="J13" s="70">
        <f t="shared" si="3"/>
        <v>1.3333333333333334E-2</v>
      </c>
    </row>
    <row r="14" spans="1:13" x14ac:dyDescent="0.25">
      <c r="A14" s="7" t="s">
        <v>13</v>
      </c>
      <c r="B14" s="8">
        <v>234</v>
      </c>
      <c r="C14" s="8">
        <v>183</v>
      </c>
      <c r="D14" s="8">
        <v>411</v>
      </c>
      <c r="F14" s="8">
        <v>1000</v>
      </c>
      <c r="G14" s="8">
        <f t="shared" si="0"/>
        <v>2212</v>
      </c>
      <c r="H14" s="67">
        <f t="shared" si="1"/>
        <v>0.55962572168027069</v>
      </c>
      <c r="I14" s="70">
        <f t="shared" si="2"/>
        <v>4.0000000000000001E-3</v>
      </c>
      <c r="J14" s="70">
        <f t="shared" si="3"/>
        <v>1.3333333333333334E-2</v>
      </c>
    </row>
    <row r="15" spans="1:13" x14ac:dyDescent="0.25">
      <c r="A15" s="7" t="s">
        <v>14</v>
      </c>
      <c r="B15" s="8">
        <v>321</v>
      </c>
      <c r="C15" s="8">
        <v>102</v>
      </c>
      <c r="D15" s="8">
        <v>423</v>
      </c>
      <c r="F15" s="8">
        <v>1250</v>
      </c>
      <c r="G15" s="8">
        <f t="shared" si="0"/>
        <v>2635</v>
      </c>
      <c r="H15" s="67">
        <f t="shared" si="1"/>
        <v>0.4754130997411905</v>
      </c>
      <c r="I15" s="70">
        <f t="shared" si="2"/>
        <v>3.2000000000000002E-3</v>
      </c>
      <c r="J15" s="70">
        <f t="shared" si="3"/>
        <v>1.3333333333333334E-2</v>
      </c>
    </row>
    <row r="16" spans="1:13" x14ac:dyDescent="0.25">
      <c r="A16" s="7" t="s">
        <v>15</v>
      </c>
      <c r="B16" s="8">
        <v>192</v>
      </c>
      <c r="C16" s="8">
        <v>76</v>
      </c>
      <c r="D16" s="8">
        <v>271</v>
      </c>
      <c r="F16" s="8">
        <v>1500</v>
      </c>
      <c r="G16" s="8">
        <f t="shared" si="0"/>
        <v>2906</v>
      </c>
      <c r="H16" s="67">
        <f t="shared" si="1"/>
        <v>0.42146127812064504</v>
      </c>
      <c r="I16" s="70">
        <f t="shared" si="2"/>
        <v>2.6666666666666666E-3</v>
      </c>
      <c r="J16" s="70">
        <f t="shared" si="3"/>
        <v>1.3333333333333334E-2</v>
      </c>
    </row>
    <row r="17" spans="1:10" x14ac:dyDescent="0.25">
      <c r="A17" s="7" t="s">
        <v>16</v>
      </c>
      <c r="B17" s="8">
        <v>207</v>
      </c>
      <c r="C17" s="8">
        <v>67</v>
      </c>
      <c r="D17" s="8">
        <v>272</v>
      </c>
      <c r="F17" s="8">
        <v>1750</v>
      </c>
      <c r="G17" s="8">
        <f t="shared" si="0"/>
        <v>3178</v>
      </c>
      <c r="H17" s="67">
        <f t="shared" si="1"/>
        <v>0.36731037228747765</v>
      </c>
      <c r="I17" s="70">
        <f t="shared" si="2"/>
        <v>2.2857142857142859E-3</v>
      </c>
      <c r="J17" s="70">
        <f t="shared" si="3"/>
        <v>1.3333333333333334E-2</v>
      </c>
    </row>
    <row r="18" spans="1:10" x14ac:dyDescent="0.25">
      <c r="A18" s="7" t="s">
        <v>17</v>
      </c>
      <c r="B18" s="8">
        <v>460</v>
      </c>
      <c r="C18" s="8">
        <v>118</v>
      </c>
      <c r="D18" s="8">
        <v>581</v>
      </c>
      <c r="F18" s="8">
        <v>2000</v>
      </c>
      <c r="G18" s="8">
        <f t="shared" si="0"/>
        <v>3759</v>
      </c>
      <c r="H18" s="67">
        <f t="shared" si="1"/>
        <v>0.251642444754131</v>
      </c>
      <c r="I18" s="70">
        <f t="shared" si="2"/>
        <v>2E-3</v>
      </c>
      <c r="J18" s="70">
        <f t="shared" si="3"/>
        <v>1.3333333333333334E-2</v>
      </c>
    </row>
    <row r="19" spans="1:10" x14ac:dyDescent="0.25">
      <c r="A19" s="7" t="s">
        <v>18</v>
      </c>
      <c r="B19" s="8">
        <v>350</v>
      </c>
      <c r="C19" s="8">
        <v>14</v>
      </c>
      <c r="D19" s="8">
        <v>360</v>
      </c>
      <c r="F19" s="8">
        <v>2500</v>
      </c>
      <c r="G19" s="8">
        <f t="shared" si="0"/>
        <v>4119</v>
      </c>
      <c r="H19" s="67">
        <f t="shared" si="1"/>
        <v>0.1799721282102329</v>
      </c>
      <c r="I19" s="70">
        <f t="shared" si="2"/>
        <v>1.6000000000000001E-3</v>
      </c>
      <c r="J19" s="70">
        <f t="shared" si="3"/>
        <v>1.3333333333333334E-2</v>
      </c>
    </row>
    <row r="20" spans="1:10" x14ac:dyDescent="0.25">
      <c r="A20" s="7" t="s">
        <v>19</v>
      </c>
      <c r="B20" s="8">
        <v>283</v>
      </c>
      <c r="C20" s="8">
        <v>26</v>
      </c>
      <c r="D20" s="8">
        <v>309</v>
      </c>
      <c r="F20" s="8">
        <v>3000</v>
      </c>
      <c r="G20" s="8">
        <f t="shared" si="0"/>
        <v>4428</v>
      </c>
      <c r="H20" s="67">
        <f t="shared" si="1"/>
        <v>0.11845510651005375</v>
      </c>
      <c r="I20" s="70">
        <f t="shared" si="2"/>
        <v>1.3333333333333333E-3</v>
      </c>
      <c r="J20" s="70">
        <f t="shared" si="3"/>
        <v>1.3333333333333334E-2</v>
      </c>
    </row>
    <row r="21" spans="1:10" x14ac:dyDescent="0.25">
      <c r="A21" s="7" t="s">
        <v>20</v>
      </c>
      <c r="B21" s="8">
        <v>185</v>
      </c>
      <c r="C21" s="8">
        <v>0</v>
      </c>
      <c r="D21" s="8">
        <v>184</v>
      </c>
      <c r="F21" s="8">
        <v>3500</v>
      </c>
      <c r="G21" s="8">
        <f t="shared" si="0"/>
        <v>4612</v>
      </c>
      <c r="H21" s="67">
        <f t="shared" si="1"/>
        <v>8.1823611387616957E-2</v>
      </c>
      <c r="I21" s="70">
        <f t="shared" si="2"/>
        <v>1.1428571428571429E-3</v>
      </c>
      <c r="J21" s="70">
        <f t="shared" si="3"/>
        <v>1.3333333333333334E-2</v>
      </c>
    </row>
    <row r="22" spans="1:10" x14ac:dyDescent="0.25">
      <c r="A22" s="7" t="s">
        <v>21</v>
      </c>
      <c r="B22" s="8">
        <v>390</v>
      </c>
      <c r="C22" s="8">
        <v>27</v>
      </c>
      <c r="D22" s="8">
        <v>411</v>
      </c>
      <c r="F22" s="8">
        <v>4000</v>
      </c>
      <c r="G22" s="8">
        <f t="shared" si="0"/>
        <v>5023</v>
      </c>
      <c r="H22" s="67">
        <f t="shared" si="1"/>
        <v>0</v>
      </c>
      <c r="I22" s="70">
        <f t="shared" si="2"/>
        <v>1E-3</v>
      </c>
      <c r="J22" s="70">
        <f t="shared" si="3"/>
        <v>1.3333333333333334E-2</v>
      </c>
    </row>
    <row r="23" spans="1:10" x14ac:dyDescent="0.25">
      <c r="A23" s="7" t="s">
        <v>22</v>
      </c>
      <c r="B23" s="8">
        <v>310</v>
      </c>
      <c r="C23" s="8">
        <v>24</v>
      </c>
      <c r="D23" s="8">
        <v>337</v>
      </c>
      <c r="G23" s="8"/>
      <c r="H23" s="67"/>
      <c r="I23" s="70"/>
      <c r="J23" s="80"/>
    </row>
    <row r="24" spans="1:10" x14ac:dyDescent="0.25">
      <c r="A24" s="7" t="s">
        <v>23</v>
      </c>
      <c r="B24" s="8">
        <v>55</v>
      </c>
      <c r="C24" s="8">
        <v>80</v>
      </c>
      <c r="D24" s="8">
        <v>136</v>
      </c>
      <c r="G24" s="8"/>
      <c r="H24" s="67"/>
      <c r="I24" s="70"/>
      <c r="J24" s="80"/>
    </row>
    <row r="25" spans="1:10" x14ac:dyDescent="0.25">
      <c r="A25" s="7"/>
      <c r="B25" s="7"/>
      <c r="C25" s="7"/>
      <c r="D25" s="7"/>
    </row>
    <row r="26" spans="1:10" x14ac:dyDescent="0.25">
      <c r="A26" s="9" t="s">
        <v>4</v>
      </c>
      <c r="B26" s="10">
        <f>SUM(B6:B22)</f>
        <v>3400</v>
      </c>
      <c r="C26" s="10">
        <f t="shared" ref="C26:D26" si="4">SUM(C6:C22)</f>
        <v>1634</v>
      </c>
      <c r="D26" s="10">
        <f t="shared" si="4"/>
        <v>5023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267B-3060-41CA-BD1F-126C67FAD1ED}">
  <dimension ref="A1:M51"/>
  <sheetViews>
    <sheetView workbookViewId="0">
      <selection activeCell="M32" sqref="M32:M49"/>
    </sheetView>
  </sheetViews>
  <sheetFormatPr defaultRowHeight="15" x14ac:dyDescent="0.25"/>
  <sheetData>
    <row r="1" spans="1:11" ht="21.75" thickBot="1" x14ac:dyDescent="0.4">
      <c r="A1" s="63" t="s">
        <v>111</v>
      </c>
      <c r="I1" s="69">
        <v>5.13</v>
      </c>
      <c r="K1" t="s">
        <v>117</v>
      </c>
    </row>
    <row r="3" spans="1:11" x14ac:dyDescent="0.25">
      <c r="A3" s="1"/>
      <c r="B3" s="2" t="s">
        <v>0</v>
      </c>
      <c r="C3" s="2" t="s">
        <v>1</v>
      </c>
      <c r="D3" s="2"/>
    </row>
    <row r="4" spans="1:11" ht="113.25" x14ac:dyDescent="0.25">
      <c r="A4" s="3"/>
      <c r="B4" s="4" t="s">
        <v>2</v>
      </c>
      <c r="C4" s="4" t="s">
        <v>3</v>
      </c>
      <c r="D4" s="4" t="s">
        <v>4</v>
      </c>
      <c r="E4" s="56"/>
      <c r="F4" s="66" t="s">
        <v>108</v>
      </c>
      <c r="G4" s="66" t="s">
        <v>109</v>
      </c>
      <c r="H4" s="66" t="s">
        <v>110</v>
      </c>
      <c r="I4" s="66" t="str">
        <f>"SRV increase ($"&amp;I1&amp;"/wk) represented as a percentage of household weekly income"</f>
        <v>SRV increase ($5.13/wk) represented as a percentage of household weekly income</v>
      </c>
      <c r="J4" s="66" t="s">
        <v>123</v>
      </c>
    </row>
    <row r="5" spans="1:11" x14ac:dyDescent="0.25">
      <c r="A5" s="5"/>
      <c r="B5" s="6"/>
      <c r="C5" s="6"/>
      <c r="D5" s="6"/>
    </row>
    <row r="6" spans="1:11" x14ac:dyDescent="0.25">
      <c r="A6" s="7" t="s">
        <v>5</v>
      </c>
      <c r="B6" s="8">
        <v>24</v>
      </c>
      <c r="C6" s="8">
        <v>30</v>
      </c>
      <c r="D6" s="8">
        <v>53</v>
      </c>
      <c r="F6" s="8">
        <v>0</v>
      </c>
      <c r="G6" s="8">
        <f>D6+G5</f>
        <v>53</v>
      </c>
      <c r="H6" s="67">
        <f>1-G6/$D$26</f>
        <v>0.98286453281603625</v>
      </c>
      <c r="I6" s="68" t="str">
        <f>IFERROR($I$1/F6,"")</f>
        <v/>
      </c>
      <c r="J6" s="70">
        <f>INDEX($I$6:$I$22,MATCH(Dashboard!$E$2,$H$6:$H$22,-1))</f>
        <v>1.7100000000000001E-2</v>
      </c>
    </row>
    <row r="7" spans="1:11" x14ac:dyDescent="0.25">
      <c r="A7" s="7" t="s">
        <v>6</v>
      </c>
      <c r="B7" s="8">
        <v>16</v>
      </c>
      <c r="C7" s="8">
        <v>9</v>
      </c>
      <c r="D7" s="8">
        <v>26</v>
      </c>
      <c r="F7" s="8">
        <v>75</v>
      </c>
      <c r="G7" s="8">
        <f t="shared" ref="G7:G24" si="0">D7+G6</f>
        <v>79</v>
      </c>
      <c r="H7" s="67">
        <f t="shared" ref="H7:H24" si="1">1-G7/$D$26</f>
        <v>0.97445845457484648</v>
      </c>
      <c r="I7" s="68">
        <f t="shared" ref="I7:I24" si="2">IFERROR($I$1/F7,"")</f>
        <v>6.8400000000000002E-2</v>
      </c>
      <c r="J7" s="70">
        <f>INDEX($I$6:$I$22,MATCH(Dashboard!$E$2,$H$6:$H$22,-1))</f>
        <v>1.7100000000000001E-2</v>
      </c>
    </row>
    <row r="8" spans="1:11" x14ac:dyDescent="0.25">
      <c r="A8" s="7" t="s">
        <v>7</v>
      </c>
      <c r="B8" s="8">
        <v>11</v>
      </c>
      <c r="C8" s="8">
        <v>37</v>
      </c>
      <c r="D8" s="8">
        <v>46</v>
      </c>
      <c r="F8" s="8">
        <v>150</v>
      </c>
      <c r="G8" s="8">
        <f t="shared" si="0"/>
        <v>125</v>
      </c>
      <c r="H8" s="67">
        <f t="shared" si="1"/>
        <v>0.95958616230197225</v>
      </c>
      <c r="I8" s="68">
        <f t="shared" si="2"/>
        <v>3.4200000000000001E-2</v>
      </c>
      <c r="J8" s="70">
        <f>INDEX($I$6:$I$22,MATCH(Dashboard!$E$2,$H$6:$H$22,-1))</f>
        <v>1.7100000000000001E-2</v>
      </c>
    </row>
    <row r="9" spans="1:11" x14ac:dyDescent="0.25">
      <c r="A9" s="7" t="s">
        <v>8</v>
      </c>
      <c r="B9" s="8">
        <v>10</v>
      </c>
      <c r="C9" s="8">
        <v>58</v>
      </c>
      <c r="D9" s="8">
        <v>65</v>
      </c>
      <c r="F9" s="8">
        <v>300</v>
      </c>
      <c r="G9" s="8">
        <f t="shared" si="0"/>
        <v>190</v>
      </c>
      <c r="H9" s="67">
        <f t="shared" si="1"/>
        <v>0.93857096669899776</v>
      </c>
      <c r="I9" s="68">
        <f t="shared" si="2"/>
        <v>1.7100000000000001E-2</v>
      </c>
      <c r="J9" s="70">
        <f>INDEX($I$6:$I$22,MATCH(Dashboard!$E$2,$H$6:$H$22,-1))</f>
        <v>1.7100000000000001E-2</v>
      </c>
    </row>
    <row r="10" spans="1:11" x14ac:dyDescent="0.25">
      <c r="A10" s="7" t="s">
        <v>9</v>
      </c>
      <c r="B10" s="8">
        <v>49</v>
      </c>
      <c r="C10" s="8">
        <v>160</v>
      </c>
      <c r="D10" s="8">
        <v>210</v>
      </c>
      <c r="F10" s="8">
        <v>400</v>
      </c>
      <c r="G10" s="8">
        <f t="shared" si="0"/>
        <v>400</v>
      </c>
      <c r="H10" s="67">
        <f t="shared" si="1"/>
        <v>0.87067571936631105</v>
      </c>
      <c r="I10" s="68">
        <f t="shared" si="2"/>
        <v>1.2825E-2</v>
      </c>
      <c r="J10" s="70">
        <f>INDEX($I$6:$I$22,MATCH(Dashboard!$E$2,$H$6:$H$22,-1))</f>
        <v>1.7100000000000001E-2</v>
      </c>
    </row>
    <row r="11" spans="1:11" x14ac:dyDescent="0.25">
      <c r="A11" s="7" t="s">
        <v>10</v>
      </c>
      <c r="B11" s="8">
        <v>44</v>
      </c>
      <c r="C11" s="8">
        <v>94</v>
      </c>
      <c r="D11" s="8">
        <v>135</v>
      </c>
      <c r="F11" s="8">
        <v>500</v>
      </c>
      <c r="G11" s="8">
        <f t="shared" si="0"/>
        <v>535</v>
      </c>
      <c r="H11" s="67">
        <f t="shared" si="1"/>
        <v>0.82702877465244096</v>
      </c>
      <c r="I11" s="68">
        <f t="shared" si="2"/>
        <v>1.026E-2</v>
      </c>
      <c r="J11" s="70">
        <f>INDEX($I$6:$I$22,MATCH(Dashboard!$E$2,$H$6:$H$22,-1))</f>
        <v>1.7100000000000001E-2</v>
      </c>
    </row>
    <row r="12" spans="1:11" x14ac:dyDescent="0.25">
      <c r="A12" s="7" t="s">
        <v>11</v>
      </c>
      <c r="B12" s="8">
        <v>138</v>
      </c>
      <c r="C12" s="8">
        <v>50</v>
      </c>
      <c r="D12" s="8">
        <v>193</v>
      </c>
      <c r="F12" s="8">
        <v>650</v>
      </c>
      <c r="G12" s="8">
        <f t="shared" si="0"/>
        <v>728</v>
      </c>
      <c r="H12" s="67">
        <f t="shared" si="1"/>
        <v>0.76462980924668611</v>
      </c>
      <c r="I12" s="68">
        <f t="shared" si="2"/>
        <v>7.8923076923076915E-3</v>
      </c>
      <c r="J12" s="70">
        <f>INDEX($I$6:$I$22,MATCH(Dashboard!$E$2,$H$6:$H$22,-1))</f>
        <v>1.7100000000000001E-2</v>
      </c>
    </row>
    <row r="13" spans="1:11" x14ac:dyDescent="0.25">
      <c r="A13" s="7" t="s">
        <v>12</v>
      </c>
      <c r="B13" s="8">
        <v>94</v>
      </c>
      <c r="C13" s="8">
        <v>74</v>
      </c>
      <c r="D13" s="8">
        <v>171</v>
      </c>
      <c r="F13" s="8">
        <v>800</v>
      </c>
      <c r="G13" s="8">
        <f t="shared" si="0"/>
        <v>899</v>
      </c>
      <c r="H13" s="67">
        <f t="shared" si="1"/>
        <v>0.70934367927578401</v>
      </c>
      <c r="I13" s="68">
        <f t="shared" si="2"/>
        <v>6.4124999999999998E-3</v>
      </c>
      <c r="J13" s="70">
        <f>INDEX($I$6:$I$22,MATCH(Dashboard!$E$2,$H$6:$H$22,-1))</f>
        <v>1.7100000000000001E-2</v>
      </c>
    </row>
    <row r="14" spans="1:11" x14ac:dyDescent="0.25">
      <c r="A14" s="7" t="s">
        <v>13</v>
      </c>
      <c r="B14" s="8">
        <v>135</v>
      </c>
      <c r="C14" s="8">
        <v>112</v>
      </c>
      <c r="D14" s="8">
        <v>244</v>
      </c>
      <c r="F14" s="8">
        <v>1000</v>
      </c>
      <c r="G14" s="8">
        <f t="shared" si="0"/>
        <v>1143</v>
      </c>
      <c r="H14" s="67">
        <f t="shared" si="1"/>
        <v>0.63045586808923382</v>
      </c>
      <c r="I14" s="68">
        <f t="shared" si="2"/>
        <v>5.13E-3</v>
      </c>
      <c r="J14" s="70">
        <f>INDEX($I$6:$I$22,MATCH(Dashboard!$E$2,$H$6:$H$22,-1))</f>
        <v>1.7100000000000001E-2</v>
      </c>
    </row>
    <row r="15" spans="1:11" x14ac:dyDescent="0.25">
      <c r="A15" s="7" t="s">
        <v>14</v>
      </c>
      <c r="B15" s="8">
        <v>178</v>
      </c>
      <c r="C15" s="8">
        <v>65</v>
      </c>
      <c r="D15" s="8">
        <v>245</v>
      </c>
      <c r="F15" s="8">
        <v>1250</v>
      </c>
      <c r="G15" s="8">
        <f t="shared" si="0"/>
        <v>1388</v>
      </c>
      <c r="H15" s="67">
        <f t="shared" si="1"/>
        <v>0.5512447462010992</v>
      </c>
      <c r="I15" s="68">
        <f t="shared" si="2"/>
        <v>4.104E-3</v>
      </c>
      <c r="J15" s="70">
        <f>INDEX($I$6:$I$22,MATCH(Dashboard!$E$2,$H$6:$H$22,-1))</f>
        <v>1.7100000000000001E-2</v>
      </c>
    </row>
    <row r="16" spans="1:11" x14ac:dyDescent="0.25">
      <c r="A16" s="7" t="s">
        <v>15</v>
      </c>
      <c r="B16" s="8">
        <v>110</v>
      </c>
      <c r="C16" s="8">
        <v>44</v>
      </c>
      <c r="D16" s="8">
        <v>154</v>
      </c>
      <c r="F16" s="8">
        <v>1500</v>
      </c>
      <c r="G16" s="8">
        <f t="shared" si="0"/>
        <v>1542</v>
      </c>
      <c r="H16" s="67">
        <f t="shared" si="1"/>
        <v>0.50145489815712896</v>
      </c>
      <c r="I16" s="68">
        <f t="shared" si="2"/>
        <v>3.4199999999999999E-3</v>
      </c>
      <c r="J16" s="70">
        <f>INDEX($I$6:$I$22,MATCH(Dashboard!$E$2,$H$6:$H$22,-1))</f>
        <v>1.7100000000000001E-2</v>
      </c>
    </row>
    <row r="17" spans="1:13" x14ac:dyDescent="0.25">
      <c r="A17" s="7" t="s">
        <v>16</v>
      </c>
      <c r="B17" s="8">
        <v>119</v>
      </c>
      <c r="C17" s="8">
        <v>41</v>
      </c>
      <c r="D17" s="8">
        <v>163</v>
      </c>
      <c r="F17" s="8">
        <v>1750</v>
      </c>
      <c r="G17" s="8">
        <f t="shared" si="0"/>
        <v>1705</v>
      </c>
      <c r="H17" s="67">
        <f t="shared" si="1"/>
        <v>0.44875525379890069</v>
      </c>
      <c r="I17" s="68">
        <f t="shared" si="2"/>
        <v>2.9314285714285714E-3</v>
      </c>
      <c r="J17" s="70">
        <f>INDEX($I$6:$I$22,MATCH(Dashboard!$E$2,$H$6:$H$22,-1))</f>
        <v>1.7100000000000001E-2</v>
      </c>
    </row>
    <row r="18" spans="1:13" x14ac:dyDescent="0.25">
      <c r="A18" s="7" t="s">
        <v>17</v>
      </c>
      <c r="B18" s="8">
        <v>262</v>
      </c>
      <c r="C18" s="8">
        <v>72</v>
      </c>
      <c r="D18" s="8">
        <v>332</v>
      </c>
      <c r="F18" s="8">
        <v>2000</v>
      </c>
      <c r="G18" s="8">
        <f t="shared" si="0"/>
        <v>2037</v>
      </c>
      <c r="H18" s="67">
        <f t="shared" si="1"/>
        <v>0.34141610087293894</v>
      </c>
      <c r="I18" s="68">
        <f t="shared" si="2"/>
        <v>2.565E-3</v>
      </c>
      <c r="J18" s="70">
        <f>INDEX($I$6:$I$22,MATCH(Dashboard!$E$2,$H$6:$H$22,-1))</f>
        <v>1.7100000000000001E-2</v>
      </c>
    </row>
    <row r="19" spans="1:13" x14ac:dyDescent="0.25">
      <c r="A19" s="7" t="s">
        <v>18</v>
      </c>
      <c r="B19" s="8">
        <v>216</v>
      </c>
      <c r="C19" s="8">
        <v>9</v>
      </c>
      <c r="D19" s="8">
        <v>225</v>
      </c>
      <c r="F19" s="8">
        <v>2500</v>
      </c>
      <c r="G19" s="8">
        <f t="shared" si="0"/>
        <v>2262</v>
      </c>
      <c r="H19" s="67">
        <f t="shared" si="1"/>
        <v>0.2686711930164889</v>
      </c>
      <c r="I19" s="68">
        <f t="shared" si="2"/>
        <v>2.052E-3</v>
      </c>
      <c r="J19" s="70">
        <f>INDEX($I$6:$I$22,MATCH(Dashboard!$E$2,$H$6:$H$22,-1))</f>
        <v>1.7100000000000001E-2</v>
      </c>
    </row>
    <row r="20" spans="1:13" x14ac:dyDescent="0.25">
      <c r="A20" s="7" t="s">
        <v>19</v>
      </c>
      <c r="B20" s="8">
        <v>175</v>
      </c>
      <c r="C20" s="8">
        <v>11</v>
      </c>
      <c r="D20" s="8">
        <v>195</v>
      </c>
      <c r="F20" s="8">
        <v>3000</v>
      </c>
      <c r="G20" s="8">
        <f t="shared" si="0"/>
        <v>2457</v>
      </c>
      <c r="H20" s="67">
        <f t="shared" si="1"/>
        <v>0.20562560620756543</v>
      </c>
      <c r="I20" s="68">
        <f t="shared" si="2"/>
        <v>1.7099999999999999E-3</v>
      </c>
      <c r="J20" s="70">
        <f>INDEX($I$6:$I$22,MATCH(Dashboard!$E$2,$H$6:$H$22,-1))</f>
        <v>1.7100000000000001E-2</v>
      </c>
    </row>
    <row r="21" spans="1:13" x14ac:dyDescent="0.25">
      <c r="A21" s="7" t="s">
        <v>20</v>
      </c>
      <c r="B21" s="8">
        <v>121</v>
      </c>
      <c r="C21" s="8">
        <v>0</v>
      </c>
      <c r="D21" s="8">
        <v>122</v>
      </c>
      <c r="F21" s="8">
        <v>3500</v>
      </c>
      <c r="G21" s="8">
        <f t="shared" si="0"/>
        <v>2579</v>
      </c>
      <c r="H21" s="67">
        <f t="shared" si="1"/>
        <v>0.16618170061429038</v>
      </c>
      <c r="I21" s="68">
        <f t="shared" si="2"/>
        <v>1.4657142857142857E-3</v>
      </c>
      <c r="J21" s="70">
        <f>INDEX($I$6:$I$22,MATCH(Dashboard!$E$2,$H$6:$H$22,-1))</f>
        <v>1.7100000000000001E-2</v>
      </c>
    </row>
    <row r="22" spans="1:13" x14ac:dyDescent="0.25">
      <c r="A22" s="7" t="s">
        <v>21</v>
      </c>
      <c r="B22" s="8">
        <v>263</v>
      </c>
      <c r="C22" s="8">
        <v>13</v>
      </c>
      <c r="D22" s="8">
        <v>277</v>
      </c>
      <c r="F22" s="8">
        <v>4000</v>
      </c>
      <c r="G22" s="8">
        <f t="shared" si="0"/>
        <v>2856</v>
      </c>
      <c r="H22" s="67">
        <f t="shared" si="1"/>
        <v>7.6624636275460678E-2</v>
      </c>
      <c r="I22" s="68">
        <f t="shared" si="2"/>
        <v>1.2825E-3</v>
      </c>
      <c r="J22" s="70">
        <f>INDEX($I$6:$I$22,MATCH(Dashboard!$E$2,$H$6:$H$22,-1))</f>
        <v>1.7100000000000001E-2</v>
      </c>
    </row>
    <row r="23" spans="1:13" x14ac:dyDescent="0.25">
      <c r="A23" s="7" t="s">
        <v>22</v>
      </c>
      <c r="B23" s="8">
        <v>155</v>
      </c>
      <c r="C23" s="8">
        <v>14</v>
      </c>
      <c r="D23" s="8">
        <v>168</v>
      </c>
      <c r="G23" s="8">
        <f>D23+G22</f>
        <v>3024</v>
      </c>
      <c r="H23" s="67">
        <f t="shared" si="1"/>
        <v>2.2308438409311293E-2</v>
      </c>
      <c r="I23" s="68" t="str">
        <f t="shared" si="2"/>
        <v/>
      </c>
    </row>
    <row r="24" spans="1:13" x14ac:dyDescent="0.25">
      <c r="A24" s="7" t="s">
        <v>23</v>
      </c>
      <c r="B24" s="8">
        <v>30</v>
      </c>
      <c r="C24" s="8">
        <v>50</v>
      </c>
      <c r="D24" s="8">
        <v>74</v>
      </c>
      <c r="G24" s="8">
        <f t="shared" si="0"/>
        <v>3098</v>
      </c>
      <c r="H24" s="67">
        <f t="shared" si="1"/>
        <v>-1.6165535079211146E-3</v>
      </c>
      <c r="I24" s="68" t="str">
        <f t="shared" si="2"/>
        <v/>
      </c>
    </row>
    <row r="25" spans="1:13" x14ac:dyDescent="0.25">
      <c r="A25" s="7"/>
      <c r="B25" s="7"/>
      <c r="C25" s="7"/>
      <c r="D25" s="7"/>
    </row>
    <row r="26" spans="1:13" x14ac:dyDescent="0.25">
      <c r="A26" s="9" t="s">
        <v>4</v>
      </c>
      <c r="B26" s="10">
        <v>2147</v>
      </c>
      <c r="C26" s="10">
        <v>945</v>
      </c>
      <c r="D26" s="10">
        <v>3093</v>
      </c>
    </row>
    <row r="29" spans="1:13" x14ac:dyDescent="0.25">
      <c r="A29" s="42"/>
      <c r="B29" s="87" t="s">
        <v>59</v>
      </c>
      <c r="C29" s="87"/>
      <c r="D29" s="87"/>
      <c r="E29" s="87"/>
      <c r="F29" s="87"/>
      <c r="G29" s="87"/>
      <c r="H29" s="35"/>
    </row>
    <row r="30" spans="1:13" x14ac:dyDescent="0.25">
      <c r="A30" s="43"/>
      <c r="B30" s="44"/>
      <c r="C30" s="44"/>
      <c r="D30" s="44"/>
      <c r="E30" s="35"/>
      <c r="F30" s="35"/>
      <c r="G30" s="44"/>
      <c r="H30" s="45"/>
    </row>
    <row r="31" spans="1:13" x14ac:dyDescent="0.25">
      <c r="A31" s="43"/>
      <c r="B31" s="46"/>
      <c r="C31" s="44" t="s">
        <v>60</v>
      </c>
      <c r="D31" s="44" t="s">
        <v>61</v>
      </c>
      <c r="E31" s="44" t="s">
        <v>62</v>
      </c>
      <c r="F31" s="44" t="s">
        <v>35</v>
      </c>
      <c r="G31" s="44"/>
      <c r="H31" s="45"/>
    </row>
    <row r="32" spans="1:13" ht="109.15" customHeight="1" x14ac:dyDescent="0.25">
      <c r="A32" s="47"/>
      <c r="B32" s="48" t="s">
        <v>63</v>
      </c>
      <c r="C32" s="48" t="s">
        <v>64</v>
      </c>
      <c r="D32" s="48" t="s">
        <v>65</v>
      </c>
      <c r="E32" s="49" t="s">
        <v>66</v>
      </c>
      <c r="F32" s="48" t="s">
        <v>67</v>
      </c>
      <c r="G32" s="48" t="s">
        <v>68</v>
      </c>
      <c r="H32" s="48" t="s">
        <v>4</v>
      </c>
      <c r="I32" s="44" t="s">
        <v>84</v>
      </c>
      <c r="J32" s="44" t="s">
        <v>121</v>
      </c>
      <c r="K32" s="55" t="s">
        <v>85</v>
      </c>
      <c r="L32" s="55" t="str">
        <f>"SRV increase ($"&amp;I1&amp;"/wk) represented as a percentage of present weekly rent"</f>
        <v>SRV increase ($5.13/wk) represented as a percentage of present weekly rent</v>
      </c>
      <c r="M32" s="66" t="s">
        <v>123</v>
      </c>
    </row>
    <row r="33" spans="1:13" x14ac:dyDescent="0.25">
      <c r="A33" s="42"/>
      <c r="B33" s="42"/>
      <c r="C33" s="44"/>
      <c r="D33" s="44"/>
      <c r="E33" s="44"/>
      <c r="F33" s="44"/>
      <c r="G33" s="44"/>
      <c r="H33" s="35"/>
    </row>
    <row r="34" spans="1:13" x14ac:dyDescent="0.25">
      <c r="A34" s="42" t="s">
        <v>69</v>
      </c>
      <c r="B34" s="50">
        <v>4</v>
      </c>
      <c r="C34" s="50">
        <v>0</v>
      </c>
      <c r="D34" s="50">
        <v>0</v>
      </c>
      <c r="E34" s="50">
        <v>4</v>
      </c>
      <c r="F34" s="50">
        <v>0</v>
      </c>
      <c r="G34" s="50">
        <v>0</v>
      </c>
      <c r="H34" s="50">
        <v>10</v>
      </c>
      <c r="I34" s="77">
        <v>37.5</v>
      </c>
      <c r="J34" s="78">
        <f>J33+H34</f>
        <v>10</v>
      </c>
      <c r="K34" s="79">
        <f>1-J34/$J$47</f>
        <v>0.98673740053050396</v>
      </c>
      <c r="L34" s="68">
        <f>$I$1/I34</f>
        <v>0.1368</v>
      </c>
      <c r="M34" s="70">
        <f>INDEX($L$34:$L$47,MATCH(Dashboard!$E$2,$K$34:$K$47,-1))</f>
        <v>4.120481927710843E-2</v>
      </c>
    </row>
    <row r="35" spans="1:13" x14ac:dyDescent="0.25">
      <c r="A35" s="42" t="s">
        <v>70</v>
      </c>
      <c r="B35" s="50">
        <v>0</v>
      </c>
      <c r="C35" s="50">
        <v>0</v>
      </c>
      <c r="D35" s="50">
        <v>4</v>
      </c>
      <c r="E35" s="50">
        <v>0</v>
      </c>
      <c r="F35" s="50">
        <v>0</v>
      </c>
      <c r="G35" s="50">
        <v>0</v>
      </c>
      <c r="H35" s="50">
        <v>4</v>
      </c>
      <c r="I35" s="77">
        <v>87</v>
      </c>
      <c r="J35" s="78">
        <f t="shared" ref="J35:J48" si="3">J34+H35</f>
        <v>14</v>
      </c>
      <c r="K35" s="79">
        <f t="shared" ref="K35:K47" si="4">1-J35/$J$47</f>
        <v>0.98143236074270557</v>
      </c>
      <c r="L35" s="68">
        <f t="shared" ref="L35:L47" si="5">$I$1/I35</f>
        <v>5.8965517241379307E-2</v>
      </c>
      <c r="M35" s="70">
        <f>INDEX($L$34:$L$47,MATCH(Dashboard!$E$2,$K$34:$K$47,-1))</f>
        <v>4.120481927710843E-2</v>
      </c>
    </row>
    <row r="36" spans="1:13" x14ac:dyDescent="0.25">
      <c r="A36" s="42" t="s">
        <v>71</v>
      </c>
      <c r="B36" s="50">
        <v>10</v>
      </c>
      <c r="C36" s="50">
        <v>4</v>
      </c>
      <c r="D36" s="50">
        <v>0</v>
      </c>
      <c r="E36" s="50">
        <v>11</v>
      </c>
      <c r="F36" s="50">
        <v>9</v>
      </c>
      <c r="G36" s="50">
        <v>0</v>
      </c>
      <c r="H36" s="50">
        <v>42</v>
      </c>
      <c r="I36" s="77">
        <v>124.5</v>
      </c>
      <c r="J36" s="78">
        <f t="shared" si="3"/>
        <v>56</v>
      </c>
      <c r="K36" s="79">
        <f t="shared" si="4"/>
        <v>0.92572944297082227</v>
      </c>
      <c r="L36" s="68">
        <f t="shared" si="5"/>
        <v>4.120481927710843E-2</v>
      </c>
      <c r="M36" s="70">
        <f>INDEX($L$34:$L$47,MATCH(Dashboard!$E$2,$K$34:$K$47,-1))</f>
        <v>4.120481927710843E-2</v>
      </c>
    </row>
    <row r="37" spans="1:13" x14ac:dyDescent="0.25">
      <c r="A37" s="42" t="s">
        <v>72</v>
      </c>
      <c r="B37" s="50">
        <v>12</v>
      </c>
      <c r="C37" s="50">
        <v>26</v>
      </c>
      <c r="D37" s="50">
        <v>16</v>
      </c>
      <c r="E37" s="50">
        <v>13</v>
      </c>
      <c r="F37" s="50">
        <v>10</v>
      </c>
      <c r="G37" s="50">
        <v>0</v>
      </c>
      <c r="H37" s="50">
        <v>84</v>
      </c>
      <c r="I37" s="77">
        <v>174.5</v>
      </c>
      <c r="J37" s="78">
        <f t="shared" si="3"/>
        <v>140</v>
      </c>
      <c r="K37" s="79">
        <f t="shared" si="4"/>
        <v>0.81432360742705567</v>
      </c>
      <c r="L37" s="68">
        <f t="shared" si="5"/>
        <v>2.9398280802292263E-2</v>
      </c>
      <c r="M37" s="70">
        <f>INDEX($L$34:$L$47,MATCH(Dashboard!$E$2,$K$34:$K$47,-1))</f>
        <v>4.120481927710843E-2</v>
      </c>
    </row>
    <row r="38" spans="1:13" x14ac:dyDescent="0.25">
      <c r="A38" s="42" t="s">
        <v>73</v>
      </c>
      <c r="B38" s="50">
        <v>30</v>
      </c>
      <c r="C38" s="50">
        <v>13</v>
      </c>
      <c r="D38" s="50">
        <v>5</v>
      </c>
      <c r="E38" s="50">
        <v>19</v>
      </c>
      <c r="F38" s="50">
        <v>6</v>
      </c>
      <c r="G38" s="50">
        <v>0</v>
      </c>
      <c r="H38" s="50">
        <v>74</v>
      </c>
      <c r="I38" s="77">
        <v>212</v>
      </c>
      <c r="J38" s="78">
        <f t="shared" si="3"/>
        <v>214</v>
      </c>
      <c r="K38" s="79">
        <f t="shared" si="4"/>
        <v>0.71618037135278523</v>
      </c>
      <c r="L38" s="68">
        <f t="shared" si="5"/>
        <v>2.4198113207547171E-2</v>
      </c>
      <c r="M38" s="70">
        <f>INDEX($L$34:$L$47,MATCH(Dashboard!$E$2,$K$34:$K$47,-1))</f>
        <v>4.120481927710843E-2</v>
      </c>
    </row>
    <row r="39" spans="1:13" x14ac:dyDescent="0.25">
      <c r="A39" s="42" t="s">
        <v>74</v>
      </c>
      <c r="B39" s="50">
        <v>82</v>
      </c>
      <c r="C39" s="50">
        <v>16</v>
      </c>
      <c r="D39" s="50">
        <v>4</v>
      </c>
      <c r="E39" s="50">
        <v>16</v>
      </c>
      <c r="F39" s="50">
        <v>7</v>
      </c>
      <c r="G39" s="50">
        <v>4</v>
      </c>
      <c r="H39" s="50">
        <v>131</v>
      </c>
      <c r="I39" s="77">
        <v>249.5</v>
      </c>
      <c r="J39" s="78">
        <f t="shared" si="3"/>
        <v>345</v>
      </c>
      <c r="K39" s="79">
        <f t="shared" si="4"/>
        <v>0.54244031830238726</v>
      </c>
      <c r="L39" s="68">
        <f t="shared" si="5"/>
        <v>2.0561122244488979E-2</v>
      </c>
      <c r="M39" s="70">
        <f>INDEX($L$34:$L$47,MATCH(Dashboard!$E$2,$K$34:$K$47,-1))</f>
        <v>4.120481927710843E-2</v>
      </c>
    </row>
    <row r="40" spans="1:13" x14ac:dyDescent="0.25">
      <c r="A40" s="42" t="s">
        <v>75</v>
      </c>
      <c r="B40" s="50">
        <v>124</v>
      </c>
      <c r="C40" s="50">
        <v>10</v>
      </c>
      <c r="D40" s="50">
        <v>4</v>
      </c>
      <c r="E40" s="50">
        <v>46</v>
      </c>
      <c r="F40" s="50">
        <v>7</v>
      </c>
      <c r="G40" s="50">
        <v>0</v>
      </c>
      <c r="H40" s="50">
        <v>184</v>
      </c>
      <c r="I40" s="77">
        <v>312</v>
      </c>
      <c r="J40" s="78">
        <f t="shared" si="3"/>
        <v>529</v>
      </c>
      <c r="K40" s="79">
        <f t="shared" si="4"/>
        <v>0.29840848806366049</v>
      </c>
      <c r="L40" s="68">
        <f t="shared" si="5"/>
        <v>1.6442307692307694E-2</v>
      </c>
      <c r="M40" s="70">
        <f>INDEX($L$34:$L$47,MATCH(Dashboard!$E$2,$K$34:$K$47,-1))</f>
        <v>4.120481927710843E-2</v>
      </c>
    </row>
    <row r="41" spans="1:13" x14ac:dyDescent="0.25">
      <c r="A41" s="42" t="s">
        <v>76</v>
      </c>
      <c r="B41" s="50">
        <v>107</v>
      </c>
      <c r="C41" s="50">
        <v>10</v>
      </c>
      <c r="D41" s="50">
        <v>6</v>
      </c>
      <c r="E41" s="50">
        <v>31</v>
      </c>
      <c r="F41" s="50">
        <v>6</v>
      </c>
      <c r="G41" s="50">
        <v>0</v>
      </c>
      <c r="H41" s="50">
        <v>157</v>
      </c>
      <c r="I41" s="77">
        <v>399.5</v>
      </c>
      <c r="J41" s="78">
        <f t="shared" si="3"/>
        <v>686</v>
      </c>
      <c r="K41" s="79">
        <f t="shared" si="4"/>
        <v>9.0185676392572911E-2</v>
      </c>
      <c r="L41" s="68">
        <f t="shared" si="5"/>
        <v>1.2841051314142678E-2</v>
      </c>
      <c r="M41" s="70">
        <f>INDEX($L$34:$L$47,MATCH(Dashboard!$E$2,$K$34:$K$47,-1))</f>
        <v>4.120481927710843E-2</v>
      </c>
    </row>
    <row r="42" spans="1:13" x14ac:dyDescent="0.25">
      <c r="A42" s="42" t="s">
        <v>77</v>
      </c>
      <c r="B42" s="50">
        <v>29</v>
      </c>
      <c r="C42" s="50">
        <v>0</v>
      </c>
      <c r="D42" s="50">
        <v>0</v>
      </c>
      <c r="E42" s="50">
        <v>16</v>
      </c>
      <c r="F42" s="50">
        <v>3</v>
      </c>
      <c r="G42" s="50">
        <v>0</v>
      </c>
      <c r="H42" s="50">
        <v>50</v>
      </c>
      <c r="I42" s="77">
        <v>499.5</v>
      </c>
      <c r="J42" s="78">
        <f t="shared" si="3"/>
        <v>736</v>
      </c>
      <c r="K42" s="79">
        <f t="shared" si="4"/>
        <v>2.3872679045092826E-2</v>
      </c>
      <c r="L42" s="68">
        <f t="shared" si="5"/>
        <v>1.0270270270270269E-2</v>
      </c>
      <c r="M42" s="70">
        <f>INDEX($L$34:$L$47,MATCH(Dashboard!$E$2,$K$34:$K$47,-1))</f>
        <v>4.120481927710843E-2</v>
      </c>
    </row>
    <row r="43" spans="1:13" x14ac:dyDescent="0.25">
      <c r="A43" s="42" t="s">
        <v>78</v>
      </c>
      <c r="B43" s="50">
        <v>4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9</v>
      </c>
      <c r="I43" s="77">
        <v>599.5</v>
      </c>
      <c r="J43" s="78">
        <f t="shared" si="3"/>
        <v>745</v>
      </c>
      <c r="K43" s="79">
        <f t="shared" si="4"/>
        <v>1.1936339522546469E-2</v>
      </c>
      <c r="L43" s="68">
        <f t="shared" si="5"/>
        <v>8.5571309424520431E-3</v>
      </c>
      <c r="M43" s="70">
        <f>INDEX($L$34:$L$47,MATCH(Dashboard!$E$2,$K$34:$K$47,-1))</f>
        <v>4.120481927710843E-2</v>
      </c>
    </row>
    <row r="44" spans="1:13" x14ac:dyDescent="0.25">
      <c r="A44" s="42" t="s">
        <v>79</v>
      </c>
      <c r="B44" s="50">
        <v>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3</v>
      </c>
      <c r="I44" s="77">
        <v>699.5</v>
      </c>
      <c r="J44" s="78">
        <f t="shared" si="3"/>
        <v>748</v>
      </c>
      <c r="K44" s="79">
        <f t="shared" si="4"/>
        <v>7.9575596816976457E-3</v>
      </c>
      <c r="L44" s="68">
        <f t="shared" si="5"/>
        <v>7.333809864188706E-3</v>
      </c>
      <c r="M44" s="70">
        <f>INDEX($L$34:$L$47,MATCH(Dashboard!$E$2,$K$34:$K$47,-1))</f>
        <v>4.120481927710843E-2</v>
      </c>
    </row>
    <row r="45" spans="1:13" x14ac:dyDescent="0.25">
      <c r="A45" s="42" t="s">
        <v>80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77">
        <v>799.5</v>
      </c>
      <c r="J45" s="78">
        <f t="shared" si="3"/>
        <v>748</v>
      </c>
      <c r="K45" s="79">
        <f t="shared" si="4"/>
        <v>7.9575596816976457E-3</v>
      </c>
      <c r="L45" s="68">
        <f t="shared" si="5"/>
        <v>6.4165103189493429E-3</v>
      </c>
      <c r="M45" s="70">
        <f>INDEX($L$34:$L$47,MATCH(Dashboard!$E$2,$K$34:$K$47,-1))</f>
        <v>4.120481927710843E-2</v>
      </c>
    </row>
    <row r="46" spans="1:13" x14ac:dyDescent="0.25">
      <c r="A46" s="42" t="s">
        <v>81</v>
      </c>
      <c r="B46" s="50">
        <v>0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77">
        <v>899.5</v>
      </c>
      <c r="J46" s="78">
        <f t="shared" si="3"/>
        <v>748</v>
      </c>
      <c r="K46" s="79">
        <f t="shared" si="4"/>
        <v>7.9575596816976457E-3</v>
      </c>
      <c r="L46" s="68">
        <f t="shared" si="5"/>
        <v>5.703168426903835E-3</v>
      </c>
      <c r="M46" s="70">
        <f>INDEX($L$34:$L$47,MATCH(Dashboard!$E$2,$K$34:$K$47,-1))</f>
        <v>4.120481927710843E-2</v>
      </c>
    </row>
    <row r="47" spans="1:13" x14ac:dyDescent="0.25">
      <c r="A47" s="42" t="s">
        <v>82</v>
      </c>
      <c r="B47" s="50">
        <v>0</v>
      </c>
      <c r="C47" s="50">
        <v>0</v>
      </c>
      <c r="D47" s="50">
        <v>0</v>
      </c>
      <c r="E47" s="50">
        <v>3</v>
      </c>
      <c r="F47" s="50">
        <v>0</v>
      </c>
      <c r="G47" s="50">
        <v>0</v>
      </c>
      <c r="H47" s="50">
        <v>6</v>
      </c>
      <c r="I47" s="77">
        <v>975</v>
      </c>
      <c r="J47" s="78">
        <f t="shared" si="3"/>
        <v>754</v>
      </c>
      <c r="K47" s="79">
        <f t="shared" si="4"/>
        <v>0</v>
      </c>
      <c r="L47" s="68">
        <f t="shared" si="5"/>
        <v>5.2615384615384616E-3</v>
      </c>
      <c r="M47" s="70">
        <f>INDEX($L$34:$L$47,MATCH(Dashboard!$E$2,$K$34:$K$47,-1))</f>
        <v>4.120481927710843E-2</v>
      </c>
    </row>
    <row r="48" spans="1:13" x14ac:dyDescent="0.25">
      <c r="A48" s="42" t="s">
        <v>83</v>
      </c>
      <c r="B48" s="50">
        <v>7</v>
      </c>
      <c r="C48" s="50">
        <v>5</v>
      </c>
      <c r="D48" s="50">
        <v>0</v>
      </c>
      <c r="E48" s="50">
        <v>4</v>
      </c>
      <c r="F48" s="50">
        <v>34</v>
      </c>
      <c r="G48" s="50">
        <v>0</v>
      </c>
      <c r="H48" s="50">
        <v>58</v>
      </c>
      <c r="I48" s="77"/>
      <c r="J48" s="78">
        <f t="shared" si="3"/>
        <v>812</v>
      </c>
      <c r="K48" s="79"/>
      <c r="L48" s="68"/>
      <c r="M48" s="70"/>
    </row>
    <row r="49" spans="1:13" x14ac:dyDescent="0.25">
      <c r="A49" s="42"/>
      <c r="B49" s="51"/>
      <c r="C49" s="51"/>
      <c r="D49" s="51"/>
      <c r="E49" s="51"/>
      <c r="F49" s="51"/>
      <c r="G49" s="51"/>
      <c r="H49" s="51"/>
      <c r="M49" s="70"/>
    </row>
    <row r="50" spans="1:13" x14ac:dyDescent="0.25">
      <c r="A50" s="52" t="s">
        <v>4</v>
      </c>
      <c r="B50" s="53">
        <v>407</v>
      </c>
      <c r="C50" s="53">
        <v>90</v>
      </c>
      <c r="D50" s="53">
        <v>31</v>
      </c>
      <c r="E50" s="53">
        <v>177</v>
      </c>
      <c r="F50" s="53">
        <v>93</v>
      </c>
      <c r="G50" s="53">
        <v>6</v>
      </c>
      <c r="H50" s="53">
        <v>805</v>
      </c>
      <c r="M50" s="70"/>
    </row>
    <row r="51" spans="1:13" x14ac:dyDescent="0.25">
      <c r="A51" s="52"/>
      <c r="B51" s="52"/>
      <c r="C51" s="54"/>
      <c r="D51" s="54"/>
      <c r="E51" s="54"/>
      <c r="F51" s="54"/>
      <c r="G51" s="54"/>
      <c r="H51" s="54"/>
    </row>
  </sheetData>
  <mergeCells count="1">
    <mergeCell ref="B29:G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5DB-0EC2-4524-9A4B-F32D05E744C0}">
  <dimension ref="A1:M51"/>
  <sheetViews>
    <sheetView topLeftCell="A18" workbookViewId="0">
      <selection activeCell="M32" sqref="M32:M47"/>
    </sheetView>
  </sheetViews>
  <sheetFormatPr defaultRowHeight="15" x14ac:dyDescent="0.25"/>
  <sheetData>
    <row r="1" spans="1:10" ht="21.75" thickBot="1" x14ac:dyDescent="0.4">
      <c r="A1" s="63" t="s">
        <v>112</v>
      </c>
      <c r="I1" s="69">
        <v>2.67</v>
      </c>
      <c r="J1" t="s">
        <v>118</v>
      </c>
    </row>
    <row r="3" spans="1:10" x14ac:dyDescent="0.25">
      <c r="A3" s="1"/>
      <c r="B3" s="2" t="s">
        <v>0</v>
      </c>
      <c r="C3" s="2" t="s">
        <v>1</v>
      </c>
      <c r="D3" s="2"/>
    </row>
    <row r="4" spans="1:10" ht="113.25" x14ac:dyDescent="0.25">
      <c r="A4" s="3"/>
      <c r="B4" s="4" t="s">
        <v>2</v>
      </c>
      <c r="C4" s="4" t="s">
        <v>3</v>
      </c>
      <c r="D4" s="4" t="s">
        <v>4</v>
      </c>
      <c r="E4" s="56"/>
      <c r="F4" s="66" t="s">
        <v>108</v>
      </c>
      <c r="G4" s="66" t="s">
        <v>109</v>
      </c>
      <c r="H4" s="66" t="s">
        <v>110</v>
      </c>
      <c r="I4" s="66" t="str">
        <f>"SRV increase ($"&amp;I1&amp;"/wk) represented as a percentage of household weekly income"</f>
        <v>SRV increase ($2.67/wk) represented as a percentage of household weekly income</v>
      </c>
      <c r="J4" s="66" t="s">
        <v>123</v>
      </c>
    </row>
    <row r="5" spans="1:10" x14ac:dyDescent="0.25">
      <c r="A5" s="5"/>
      <c r="B5" s="6"/>
      <c r="C5" s="6"/>
      <c r="D5" s="6"/>
    </row>
    <row r="6" spans="1:10" x14ac:dyDescent="0.25">
      <c r="A6" s="7" t="s">
        <v>5</v>
      </c>
      <c r="B6" s="8">
        <v>11</v>
      </c>
      <c r="C6" s="8">
        <v>9</v>
      </c>
      <c r="D6" s="8">
        <v>24</v>
      </c>
      <c r="F6" s="8">
        <v>0</v>
      </c>
      <c r="G6" s="8">
        <f>D6+G5</f>
        <v>24</v>
      </c>
      <c r="H6" s="67">
        <f>1-G6/$D$26</f>
        <v>0.95939086294416243</v>
      </c>
      <c r="I6" s="68" t="str">
        <f>IFERROR($I$1/F6,"")</f>
        <v/>
      </c>
      <c r="J6" s="70">
        <f>INDEX($I$6:$I$22,MATCH(Dashboard!$E$2,$H$6:$H$22,-1))</f>
        <v>1.78E-2</v>
      </c>
    </row>
    <row r="7" spans="1:10" x14ac:dyDescent="0.25">
      <c r="A7" s="7" t="s">
        <v>6</v>
      </c>
      <c r="B7" s="8">
        <v>5</v>
      </c>
      <c r="C7" s="8">
        <v>3</v>
      </c>
      <c r="D7" s="8">
        <v>3</v>
      </c>
      <c r="F7" s="8">
        <v>75</v>
      </c>
      <c r="G7" s="8">
        <f t="shared" ref="G7:G24" si="0">D7+G6</f>
        <v>27</v>
      </c>
      <c r="H7" s="67">
        <f t="shared" ref="H7:H24" si="1">1-G7/$D$26</f>
        <v>0.95431472081218272</v>
      </c>
      <c r="I7" s="68">
        <f t="shared" ref="I7:I24" si="2">IFERROR($I$1/F7,"")</f>
        <v>3.56E-2</v>
      </c>
      <c r="J7" s="70">
        <f>INDEX($I$6:$I$22,MATCH(Dashboard!$E$2,$H$6:$H$22,-1))</f>
        <v>1.78E-2</v>
      </c>
    </row>
    <row r="8" spans="1:10" x14ac:dyDescent="0.25">
      <c r="A8" s="7" t="s">
        <v>7</v>
      </c>
      <c r="B8" s="8">
        <v>4</v>
      </c>
      <c r="C8" s="8">
        <v>11</v>
      </c>
      <c r="D8" s="8">
        <v>13</v>
      </c>
      <c r="F8" s="8">
        <v>150</v>
      </c>
      <c r="G8" s="8">
        <f t="shared" si="0"/>
        <v>40</v>
      </c>
      <c r="H8" s="67">
        <f t="shared" si="1"/>
        <v>0.93231810490693734</v>
      </c>
      <c r="I8" s="68">
        <f t="shared" si="2"/>
        <v>1.78E-2</v>
      </c>
      <c r="J8" s="70">
        <f>INDEX($I$6:$I$22,MATCH(Dashboard!$E$2,$H$6:$H$22,-1))</f>
        <v>1.78E-2</v>
      </c>
    </row>
    <row r="9" spans="1:10" x14ac:dyDescent="0.25">
      <c r="A9" s="7" t="s">
        <v>8</v>
      </c>
      <c r="B9" s="8">
        <v>7</v>
      </c>
      <c r="C9" s="8">
        <v>14</v>
      </c>
      <c r="D9" s="8">
        <v>22</v>
      </c>
      <c r="F9" s="8">
        <v>300</v>
      </c>
      <c r="G9" s="8">
        <f t="shared" si="0"/>
        <v>62</v>
      </c>
      <c r="H9" s="67">
        <f t="shared" si="1"/>
        <v>0.89509306260575294</v>
      </c>
      <c r="I9" s="68">
        <f t="shared" si="2"/>
        <v>8.8999999999999999E-3</v>
      </c>
      <c r="J9" s="70">
        <f>INDEX($I$6:$I$22,MATCH(Dashboard!$E$2,$H$6:$H$22,-1))</f>
        <v>1.78E-2</v>
      </c>
    </row>
    <row r="10" spans="1:10" x14ac:dyDescent="0.25">
      <c r="A10" s="7" t="s">
        <v>9</v>
      </c>
      <c r="B10" s="8">
        <v>6</v>
      </c>
      <c r="C10" s="8">
        <v>65</v>
      </c>
      <c r="D10" s="8">
        <v>70</v>
      </c>
      <c r="F10" s="8">
        <v>400</v>
      </c>
      <c r="G10" s="8">
        <f t="shared" si="0"/>
        <v>132</v>
      </c>
      <c r="H10" s="67">
        <f t="shared" si="1"/>
        <v>0.7766497461928934</v>
      </c>
      <c r="I10" s="68">
        <f t="shared" si="2"/>
        <v>6.6749999999999995E-3</v>
      </c>
      <c r="J10" s="70">
        <f>INDEX($I$6:$I$22,MATCH(Dashboard!$E$2,$H$6:$H$22,-1))</f>
        <v>1.78E-2</v>
      </c>
    </row>
    <row r="11" spans="1:10" x14ac:dyDescent="0.25">
      <c r="A11" s="7" t="s">
        <v>10</v>
      </c>
      <c r="B11" s="8">
        <v>9</v>
      </c>
      <c r="C11" s="8">
        <v>24</v>
      </c>
      <c r="D11" s="8">
        <v>35</v>
      </c>
      <c r="F11" s="8">
        <v>500</v>
      </c>
      <c r="G11" s="8">
        <f t="shared" si="0"/>
        <v>167</v>
      </c>
      <c r="H11" s="67">
        <f t="shared" si="1"/>
        <v>0.71742808798646363</v>
      </c>
      <c r="I11" s="68">
        <f t="shared" si="2"/>
        <v>5.3400000000000001E-3</v>
      </c>
      <c r="J11" s="70">
        <f>INDEX($I$6:$I$22,MATCH(Dashboard!$E$2,$H$6:$H$22,-1))</f>
        <v>1.78E-2</v>
      </c>
    </row>
    <row r="12" spans="1:10" x14ac:dyDescent="0.25">
      <c r="A12" s="7" t="s">
        <v>11</v>
      </c>
      <c r="B12" s="8">
        <v>51</v>
      </c>
      <c r="C12" s="8">
        <v>18</v>
      </c>
      <c r="D12" s="8">
        <v>72</v>
      </c>
      <c r="F12" s="8">
        <v>650</v>
      </c>
      <c r="G12" s="8">
        <f t="shared" si="0"/>
        <v>239</v>
      </c>
      <c r="H12" s="67">
        <f t="shared" si="1"/>
        <v>0.59560067681895101</v>
      </c>
      <c r="I12" s="68">
        <f t="shared" si="2"/>
        <v>4.1076923076923079E-3</v>
      </c>
      <c r="J12" s="70">
        <f>INDEX($I$6:$I$22,MATCH(Dashboard!$E$2,$H$6:$H$22,-1))</f>
        <v>1.78E-2</v>
      </c>
    </row>
    <row r="13" spans="1:10" x14ac:dyDescent="0.25">
      <c r="A13" s="7" t="s">
        <v>12</v>
      </c>
      <c r="B13" s="8">
        <v>22</v>
      </c>
      <c r="C13" s="8">
        <v>10</v>
      </c>
      <c r="D13" s="8">
        <v>32</v>
      </c>
      <c r="F13" s="8">
        <v>800</v>
      </c>
      <c r="G13" s="8">
        <f t="shared" si="0"/>
        <v>271</v>
      </c>
      <c r="H13" s="67">
        <f t="shared" si="1"/>
        <v>0.54145516074450084</v>
      </c>
      <c r="I13" s="68">
        <f t="shared" si="2"/>
        <v>3.3374999999999998E-3</v>
      </c>
      <c r="J13" s="70">
        <f>INDEX($I$6:$I$22,MATCH(Dashboard!$E$2,$H$6:$H$22,-1))</f>
        <v>1.78E-2</v>
      </c>
    </row>
    <row r="14" spans="1:10" x14ac:dyDescent="0.25">
      <c r="A14" s="7" t="s">
        <v>13</v>
      </c>
      <c r="B14" s="8">
        <v>28</v>
      </c>
      <c r="C14" s="8">
        <v>13</v>
      </c>
      <c r="D14" s="8">
        <v>44</v>
      </c>
      <c r="F14" s="8">
        <v>1000</v>
      </c>
      <c r="G14" s="8">
        <f t="shared" si="0"/>
        <v>315</v>
      </c>
      <c r="H14" s="67">
        <f t="shared" si="1"/>
        <v>0.46700507614213194</v>
      </c>
      <c r="I14" s="68">
        <f t="shared" si="2"/>
        <v>2.6700000000000001E-3</v>
      </c>
      <c r="J14" s="70">
        <f>INDEX($I$6:$I$22,MATCH(Dashboard!$E$2,$H$6:$H$22,-1))</f>
        <v>1.78E-2</v>
      </c>
    </row>
    <row r="15" spans="1:10" x14ac:dyDescent="0.25">
      <c r="A15" s="7" t="s">
        <v>14</v>
      </c>
      <c r="B15" s="8">
        <v>36</v>
      </c>
      <c r="C15" s="8">
        <v>6</v>
      </c>
      <c r="D15" s="8">
        <v>42</v>
      </c>
      <c r="F15" s="8">
        <v>1250</v>
      </c>
      <c r="G15" s="8">
        <f t="shared" si="0"/>
        <v>357</v>
      </c>
      <c r="H15" s="67">
        <f t="shared" si="1"/>
        <v>0.39593908629441621</v>
      </c>
      <c r="I15" s="68">
        <f t="shared" si="2"/>
        <v>2.1359999999999999E-3</v>
      </c>
      <c r="J15" s="70">
        <f>INDEX($I$6:$I$22,MATCH(Dashboard!$E$2,$H$6:$H$22,-1))</f>
        <v>1.78E-2</v>
      </c>
    </row>
    <row r="16" spans="1:10" x14ac:dyDescent="0.25">
      <c r="A16" s="7" t="s">
        <v>15</v>
      </c>
      <c r="B16" s="8">
        <v>18</v>
      </c>
      <c r="C16" s="8">
        <v>14</v>
      </c>
      <c r="D16" s="8">
        <v>25</v>
      </c>
      <c r="F16" s="8">
        <v>1500</v>
      </c>
      <c r="G16" s="8">
        <f t="shared" si="0"/>
        <v>382</v>
      </c>
      <c r="H16" s="67">
        <f t="shared" si="1"/>
        <v>0.3536379018612521</v>
      </c>
      <c r="I16" s="68">
        <f t="shared" si="2"/>
        <v>1.7799999999999999E-3</v>
      </c>
      <c r="J16" s="70">
        <f>INDEX($I$6:$I$22,MATCH(Dashboard!$E$2,$H$6:$H$22,-1))</f>
        <v>1.78E-2</v>
      </c>
    </row>
    <row r="17" spans="1:13" x14ac:dyDescent="0.25">
      <c r="A17" s="7" t="s">
        <v>16</v>
      </c>
      <c r="B17" s="8">
        <v>15</v>
      </c>
      <c r="C17" s="8">
        <v>5</v>
      </c>
      <c r="D17" s="8">
        <v>23</v>
      </c>
      <c r="F17" s="8">
        <v>1750</v>
      </c>
      <c r="G17" s="8">
        <f t="shared" si="0"/>
        <v>405</v>
      </c>
      <c r="H17" s="67">
        <f t="shared" si="1"/>
        <v>0.31472081218274117</v>
      </c>
      <c r="I17" s="68">
        <f t="shared" si="2"/>
        <v>1.5257142857142856E-3</v>
      </c>
      <c r="J17" s="70">
        <f>INDEX($I$6:$I$22,MATCH(Dashboard!$E$2,$H$6:$H$22,-1))</f>
        <v>1.78E-2</v>
      </c>
    </row>
    <row r="18" spans="1:13" x14ac:dyDescent="0.25">
      <c r="A18" s="7" t="s">
        <v>17</v>
      </c>
      <c r="B18" s="8">
        <v>43</v>
      </c>
      <c r="C18" s="8">
        <v>11</v>
      </c>
      <c r="D18" s="8">
        <v>50</v>
      </c>
      <c r="F18" s="8">
        <v>2000</v>
      </c>
      <c r="G18" s="8">
        <f t="shared" si="0"/>
        <v>455</v>
      </c>
      <c r="H18" s="67">
        <f t="shared" si="1"/>
        <v>0.23011844331641285</v>
      </c>
      <c r="I18" s="68">
        <f t="shared" si="2"/>
        <v>1.335E-3</v>
      </c>
      <c r="J18" s="70">
        <f>INDEX($I$6:$I$22,MATCH(Dashboard!$E$2,$H$6:$H$22,-1))</f>
        <v>1.78E-2</v>
      </c>
    </row>
    <row r="19" spans="1:13" x14ac:dyDescent="0.25">
      <c r="A19" s="7" t="s">
        <v>18</v>
      </c>
      <c r="B19" s="8">
        <v>26</v>
      </c>
      <c r="C19" s="8">
        <v>0</v>
      </c>
      <c r="D19" s="8">
        <v>26</v>
      </c>
      <c r="F19" s="8">
        <v>2500</v>
      </c>
      <c r="G19" s="8">
        <f t="shared" si="0"/>
        <v>481</v>
      </c>
      <c r="H19" s="67">
        <f t="shared" si="1"/>
        <v>0.18612521150592221</v>
      </c>
      <c r="I19" s="68">
        <f t="shared" si="2"/>
        <v>1.0679999999999999E-3</v>
      </c>
      <c r="J19" s="70">
        <f>INDEX($I$6:$I$22,MATCH(Dashboard!$E$2,$H$6:$H$22,-1))</f>
        <v>1.78E-2</v>
      </c>
    </row>
    <row r="20" spans="1:13" x14ac:dyDescent="0.25">
      <c r="A20" s="7" t="s">
        <v>19</v>
      </c>
      <c r="B20" s="8">
        <v>23</v>
      </c>
      <c r="C20" s="8">
        <v>0</v>
      </c>
      <c r="D20" s="8">
        <v>19</v>
      </c>
      <c r="F20" s="8">
        <v>3000</v>
      </c>
      <c r="G20" s="8">
        <f t="shared" si="0"/>
        <v>500</v>
      </c>
      <c r="H20" s="67">
        <f t="shared" si="1"/>
        <v>0.15397631133671741</v>
      </c>
      <c r="I20" s="68">
        <f t="shared" si="2"/>
        <v>8.8999999999999995E-4</v>
      </c>
      <c r="J20" s="70">
        <f>INDEX($I$6:$I$22,MATCH(Dashboard!$E$2,$H$6:$H$22,-1))</f>
        <v>1.78E-2</v>
      </c>
    </row>
    <row r="21" spans="1:13" x14ac:dyDescent="0.25">
      <c r="A21" s="7" t="s">
        <v>20</v>
      </c>
      <c r="B21" s="8">
        <v>11</v>
      </c>
      <c r="C21" s="8">
        <v>0</v>
      </c>
      <c r="D21" s="8">
        <v>11</v>
      </c>
      <c r="F21" s="8">
        <v>3500</v>
      </c>
      <c r="G21" s="8">
        <f t="shared" si="0"/>
        <v>511</v>
      </c>
      <c r="H21" s="67">
        <f t="shared" si="1"/>
        <v>0.13536379018612521</v>
      </c>
      <c r="I21" s="68">
        <f t="shared" si="2"/>
        <v>7.6285714285714281E-4</v>
      </c>
      <c r="J21" s="70">
        <f>INDEX($I$6:$I$22,MATCH(Dashboard!$E$2,$H$6:$H$22,-1))</f>
        <v>1.78E-2</v>
      </c>
    </row>
    <row r="22" spans="1:13" x14ac:dyDescent="0.25">
      <c r="A22" s="7" t="s">
        <v>21</v>
      </c>
      <c r="B22" s="8">
        <v>18</v>
      </c>
      <c r="C22" s="8">
        <v>5</v>
      </c>
      <c r="D22" s="8">
        <v>23</v>
      </c>
      <c r="F22" s="8">
        <v>4000</v>
      </c>
      <c r="G22" s="8">
        <f t="shared" si="0"/>
        <v>534</v>
      </c>
      <c r="H22" s="67">
        <f t="shared" si="1"/>
        <v>9.6446700507614169E-2</v>
      </c>
      <c r="I22" s="68">
        <f t="shared" si="2"/>
        <v>6.6750000000000002E-4</v>
      </c>
      <c r="J22" s="70">
        <f>INDEX($I$6:$I$22,MATCH(Dashboard!$E$2,$H$6:$H$22,-1))</f>
        <v>1.78E-2</v>
      </c>
    </row>
    <row r="23" spans="1:13" x14ac:dyDescent="0.25">
      <c r="A23" s="7" t="s">
        <v>22</v>
      </c>
      <c r="B23" s="8">
        <v>32</v>
      </c>
      <c r="C23" s="8">
        <v>4</v>
      </c>
      <c r="D23" s="8">
        <v>37</v>
      </c>
      <c r="G23" s="8">
        <f>D23+G22</f>
        <v>571</v>
      </c>
      <c r="H23" s="67">
        <f t="shared" si="1"/>
        <v>3.384094754653133E-2</v>
      </c>
      <c r="I23" s="68" t="str">
        <f t="shared" si="2"/>
        <v/>
      </c>
    </row>
    <row r="24" spans="1:13" x14ac:dyDescent="0.25">
      <c r="A24" s="7" t="s">
        <v>23</v>
      </c>
      <c r="B24" s="8">
        <v>12</v>
      </c>
      <c r="C24" s="8">
        <v>11</v>
      </c>
      <c r="D24" s="8">
        <v>22</v>
      </c>
      <c r="G24" s="8">
        <f t="shared" si="0"/>
        <v>593</v>
      </c>
      <c r="H24" s="67">
        <f t="shared" si="1"/>
        <v>-3.3840947546530664E-3</v>
      </c>
      <c r="I24" s="68" t="str">
        <f t="shared" si="2"/>
        <v/>
      </c>
    </row>
    <row r="25" spans="1:13" x14ac:dyDescent="0.25">
      <c r="A25" s="7"/>
      <c r="B25" s="7"/>
      <c r="C25" s="7"/>
      <c r="D25" s="7"/>
    </row>
    <row r="26" spans="1:13" x14ac:dyDescent="0.25">
      <c r="A26" s="9" t="s">
        <v>4</v>
      </c>
      <c r="B26" s="10">
        <v>360</v>
      </c>
      <c r="C26" s="10">
        <v>230</v>
      </c>
      <c r="D26" s="10">
        <v>591</v>
      </c>
    </row>
    <row r="29" spans="1:13" x14ac:dyDescent="0.25">
      <c r="A29" s="42"/>
      <c r="B29" s="87" t="s">
        <v>59</v>
      </c>
      <c r="C29" s="87"/>
      <c r="D29" s="87"/>
      <c r="E29" s="87"/>
      <c r="F29" s="87"/>
      <c r="G29" s="87"/>
      <c r="H29" s="35"/>
    </row>
    <row r="30" spans="1:13" x14ac:dyDescent="0.25">
      <c r="A30" s="43"/>
      <c r="B30" s="44"/>
      <c r="C30" s="44"/>
      <c r="D30" s="44"/>
      <c r="E30" s="35"/>
      <c r="F30" s="35"/>
      <c r="G30" s="44"/>
      <c r="H30" s="45"/>
    </row>
    <row r="31" spans="1:13" x14ac:dyDescent="0.25">
      <c r="A31" s="43"/>
      <c r="B31" s="46"/>
      <c r="C31" s="44" t="s">
        <v>60</v>
      </c>
      <c r="D31" s="44" t="s">
        <v>61</v>
      </c>
      <c r="E31" s="44" t="s">
        <v>62</v>
      </c>
      <c r="F31" s="44" t="s">
        <v>35</v>
      </c>
      <c r="G31" s="44"/>
      <c r="H31" s="45"/>
    </row>
    <row r="32" spans="1:13" ht="103.9" customHeight="1" x14ac:dyDescent="0.25">
      <c r="A32" s="47"/>
      <c r="B32" s="48" t="s">
        <v>63</v>
      </c>
      <c r="C32" s="48" t="s">
        <v>64</v>
      </c>
      <c r="D32" s="48" t="s">
        <v>65</v>
      </c>
      <c r="E32" s="49" t="s">
        <v>66</v>
      </c>
      <c r="F32" s="48" t="s">
        <v>67</v>
      </c>
      <c r="G32" s="48" t="s">
        <v>68</v>
      </c>
      <c r="H32" s="48" t="s">
        <v>4</v>
      </c>
      <c r="I32" s="44" t="s">
        <v>84</v>
      </c>
      <c r="J32" s="44" t="s">
        <v>121</v>
      </c>
      <c r="K32" s="55" t="s">
        <v>85</v>
      </c>
      <c r="L32" s="55" t="str">
        <f>"SRV increase ($"&amp;I1&amp;"/wk) represented as a percentage of present weekly rent"</f>
        <v>SRV increase ($2.67/wk) represented as a percentage of present weekly rent</v>
      </c>
      <c r="M32" s="66" t="s">
        <v>123</v>
      </c>
    </row>
    <row r="33" spans="1:13" x14ac:dyDescent="0.25">
      <c r="A33" s="42"/>
      <c r="B33" s="42"/>
      <c r="C33" s="44"/>
      <c r="D33" s="44"/>
      <c r="E33" s="44"/>
      <c r="F33" s="44"/>
      <c r="G33" s="44"/>
      <c r="H33" s="35"/>
    </row>
    <row r="34" spans="1:13" x14ac:dyDescent="0.25">
      <c r="A34" s="42" t="s">
        <v>69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77">
        <v>37.5</v>
      </c>
      <c r="J34" s="78">
        <f>J33+H34</f>
        <v>0</v>
      </c>
      <c r="K34" s="79">
        <f>1-J34/$J$47</f>
        <v>1</v>
      </c>
      <c r="L34" s="68">
        <f>$I$1/I34</f>
        <v>7.1199999999999999E-2</v>
      </c>
      <c r="M34" s="70">
        <f>INDEX($L$34:$L$47,MATCH(Dashboard!$E$2,$K$34:$K$47,-1))</f>
        <v>3.0689655172413791E-2</v>
      </c>
    </row>
    <row r="35" spans="1:13" x14ac:dyDescent="0.25">
      <c r="A35" s="42" t="s">
        <v>70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77">
        <v>87</v>
      </c>
      <c r="J35" s="78">
        <f t="shared" ref="J35:J48" si="3">J34+H35</f>
        <v>0</v>
      </c>
      <c r="K35" s="79">
        <f t="shared" ref="K35:K47" si="4">1-J35/$J$47</f>
        <v>1</v>
      </c>
      <c r="L35" s="68">
        <f t="shared" ref="L35:L47" si="5">$I$1/I35</f>
        <v>3.0689655172413791E-2</v>
      </c>
      <c r="M35" s="70">
        <f>INDEX($L$34:$L$47,MATCH(Dashboard!$E$2,$K$34:$K$47,-1))</f>
        <v>3.0689655172413791E-2</v>
      </c>
    </row>
    <row r="36" spans="1:13" x14ac:dyDescent="0.25">
      <c r="A36" s="42" t="s">
        <v>71</v>
      </c>
      <c r="B36" s="50">
        <v>4</v>
      </c>
      <c r="C36" s="50">
        <v>3</v>
      </c>
      <c r="D36" s="50">
        <v>6</v>
      </c>
      <c r="E36" s="50">
        <v>3</v>
      </c>
      <c r="F36" s="50">
        <v>0</v>
      </c>
      <c r="G36" s="50">
        <v>0</v>
      </c>
      <c r="H36" s="50">
        <v>13</v>
      </c>
      <c r="I36" s="77">
        <v>124.5</v>
      </c>
      <c r="J36" s="78">
        <f t="shared" si="3"/>
        <v>13</v>
      </c>
      <c r="K36" s="79">
        <f t="shared" si="4"/>
        <v>0.87962962962962965</v>
      </c>
      <c r="L36" s="68">
        <f t="shared" si="5"/>
        <v>2.1445783132530118E-2</v>
      </c>
      <c r="M36" s="70">
        <f>INDEX($L$34:$L$47,MATCH(Dashboard!$E$2,$K$34:$K$47,-1))</f>
        <v>3.0689655172413791E-2</v>
      </c>
    </row>
    <row r="37" spans="1:13" x14ac:dyDescent="0.25">
      <c r="A37" s="42" t="s">
        <v>72</v>
      </c>
      <c r="B37" s="50">
        <v>9</v>
      </c>
      <c r="C37" s="50">
        <v>6</v>
      </c>
      <c r="D37" s="50">
        <v>0</v>
      </c>
      <c r="E37" s="50">
        <v>7</v>
      </c>
      <c r="F37" s="50">
        <v>0</v>
      </c>
      <c r="G37" s="50">
        <v>0</v>
      </c>
      <c r="H37" s="50">
        <v>14</v>
      </c>
      <c r="I37" s="77">
        <v>174.5</v>
      </c>
      <c r="J37" s="78">
        <f t="shared" si="3"/>
        <v>27</v>
      </c>
      <c r="K37" s="79">
        <f t="shared" si="4"/>
        <v>0.75</v>
      </c>
      <c r="L37" s="68">
        <f t="shared" si="5"/>
        <v>1.5300859598853868E-2</v>
      </c>
      <c r="M37" s="70">
        <f>INDEX($L$34:$L$47,MATCH(Dashboard!$E$2,$K$34:$K$47,-1))</f>
        <v>3.0689655172413791E-2</v>
      </c>
    </row>
    <row r="38" spans="1:13" x14ac:dyDescent="0.25">
      <c r="A38" s="42" t="s">
        <v>73</v>
      </c>
      <c r="B38" s="50">
        <v>4</v>
      </c>
      <c r="C38" s="50">
        <v>0</v>
      </c>
      <c r="D38" s="50">
        <v>0</v>
      </c>
      <c r="E38" s="50">
        <v>4</v>
      </c>
      <c r="F38" s="50">
        <v>0</v>
      </c>
      <c r="G38" s="50">
        <v>0</v>
      </c>
      <c r="H38" s="50">
        <v>14</v>
      </c>
      <c r="I38" s="77">
        <v>212</v>
      </c>
      <c r="J38" s="78">
        <f t="shared" si="3"/>
        <v>41</v>
      </c>
      <c r="K38" s="79">
        <f t="shared" si="4"/>
        <v>0.62037037037037035</v>
      </c>
      <c r="L38" s="68">
        <f t="shared" si="5"/>
        <v>1.2594339622641509E-2</v>
      </c>
      <c r="M38" s="70">
        <f>INDEX($L$34:$L$47,MATCH(Dashboard!$E$2,$K$34:$K$47,-1))</f>
        <v>3.0689655172413791E-2</v>
      </c>
    </row>
    <row r="39" spans="1:13" x14ac:dyDescent="0.25">
      <c r="A39" s="42" t="s">
        <v>74</v>
      </c>
      <c r="B39" s="50">
        <v>22</v>
      </c>
      <c r="C39" s="50">
        <v>0</v>
      </c>
      <c r="D39" s="50">
        <v>0</v>
      </c>
      <c r="E39" s="50">
        <v>9</v>
      </c>
      <c r="F39" s="50">
        <v>4</v>
      </c>
      <c r="G39" s="50">
        <v>0</v>
      </c>
      <c r="H39" s="50">
        <v>36</v>
      </c>
      <c r="I39" s="77">
        <v>249.5</v>
      </c>
      <c r="J39" s="78">
        <f t="shared" si="3"/>
        <v>77</v>
      </c>
      <c r="K39" s="79">
        <f t="shared" si="4"/>
        <v>0.28703703703703709</v>
      </c>
      <c r="L39" s="68">
        <f t="shared" si="5"/>
        <v>1.0701402805611222E-2</v>
      </c>
      <c r="M39" s="70">
        <f>INDEX($L$34:$L$47,MATCH(Dashboard!$E$2,$K$34:$K$47,-1))</f>
        <v>3.0689655172413791E-2</v>
      </c>
    </row>
    <row r="40" spans="1:13" x14ac:dyDescent="0.25">
      <c r="A40" s="42" t="s">
        <v>75</v>
      </c>
      <c r="B40" s="50">
        <v>19</v>
      </c>
      <c r="C40" s="50">
        <v>0</v>
      </c>
      <c r="D40" s="50">
        <v>0</v>
      </c>
      <c r="E40" s="50">
        <v>4</v>
      </c>
      <c r="F40" s="50">
        <v>0</v>
      </c>
      <c r="G40" s="50">
        <v>0</v>
      </c>
      <c r="H40" s="50">
        <v>21</v>
      </c>
      <c r="I40" s="77">
        <v>312</v>
      </c>
      <c r="J40" s="78">
        <f t="shared" si="3"/>
        <v>98</v>
      </c>
      <c r="K40" s="79">
        <f t="shared" si="4"/>
        <v>9.259259259259256E-2</v>
      </c>
      <c r="L40" s="68">
        <f t="shared" si="5"/>
        <v>8.5576923076923078E-3</v>
      </c>
      <c r="M40" s="70">
        <f>INDEX($L$34:$L$47,MATCH(Dashboard!$E$2,$K$34:$K$47,-1))</f>
        <v>3.0689655172413791E-2</v>
      </c>
    </row>
    <row r="41" spans="1:13" x14ac:dyDescent="0.25">
      <c r="A41" s="42" t="s">
        <v>76</v>
      </c>
      <c r="B41" s="50">
        <v>8</v>
      </c>
      <c r="C41" s="50">
        <v>0</v>
      </c>
      <c r="D41" s="50">
        <v>0</v>
      </c>
      <c r="E41" s="50">
        <v>0</v>
      </c>
      <c r="F41" s="50">
        <v>4</v>
      </c>
      <c r="G41" s="50">
        <v>0</v>
      </c>
      <c r="H41" s="50">
        <v>10</v>
      </c>
      <c r="I41" s="77">
        <v>399.5</v>
      </c>
      <c r="J41" s="78">
        <f t="shared" si="3"/>
        <v>108</v>
      </c>
      <c r="K41" s="79">
        <f t="shared" si="4"/>
        <v>0</v>
      </c>
      <c r="L41" s="68">
        <f t="shared" si="5"/>
        <v>6.6833541927409264E-3</v>
      </c>
      <c r="M41" s="70">
        <f>INDEX($L$34:$L$47,MATCH(Dashboard!$E$2,$K$34:$K$47,-1))</f>
        <v>3.0689655172413791E-2</v>
      </c>
    </row>
    <row r="42" spans="1:13" x14ac:dyDescent="0.25">
      <c r="A42" s="42" t="s">
        <v>77</v>
      </c>
      <c r="B42" s="50"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77">
        <v>499.5</v>
      </c>
      <c r="J42" s="78">
        <f t="shared" si="3"/>
        <v>108</v>
      </c>
      <c r="K42" s="79">
        <f t="shared" si="4"/>
        <v>0</v>
      </c>
      <c r="L42" s="68">
        <f t="shared" si="5"/>
        <v>5.3453453453453448E-3</v>
      </c>
      <c r="M42" s="70">
        <f>INDEX($L$34:$L$47,MATCH(Dashboard!$E$2,$K$34:$K$47,-1))</f>
        <v>3.0689655172413791E-2</v>
      </c>
    </row>
    <row r="43" spans="1:13" x14ac:dyDescent="0.25">
      <c r="A43" s="42" t="s">
        <v>78</v>
      </c>
      <c r="B43" s="50">
        <v>0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77">
        <v>599.5</v>
      </c>
      <c r="J43" s="78">
        <f t="shared" si="3"/>
        <v>108</v>
      </c>
      <c r="K43" s="79">
        <f t="shared" si="4"/>
        <v>0</v>
      </c>
      <c r="L43" s="68">
        <f t="shared" si="5"/>
        <v>4.4537114261884907E-3</v>
      </c>
      <c r="M43" s="70">
        <f>INDEX($L$34:$L$47,MATCH(Dashboard!$E$2,$K$34:$K$47,-1))</f>
        <v>3.0689655172413791E-2</v>
      </c>
    </row>
    <row r="44" spans="1:13" x14ac:dyDescent="0.25">
      <c r="A44" s="42" t="s">
        <v>79</v>
      </c>
      <c r="B44" s="50">
        <v>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77">
        <v>699.5</v>
      </c>
      <c r="J44" s="78">
        <f t="shared" si="3"/>
        <v>108</v>
      </c>
      <c r="K44" s="79">
        <f t="shared" si="4"/>
        <v>0</v>
      </c>
      <c r="L44" s="68">
        <f t="shared" si="5"/>
        <v>3.817012151536812E-3</v>
      </c>
      <c r="M44" s="70">
        <f>INDEX($L$34:$L$47,MATCH(Dashboard!$E$2,$K$34:$K$47,-1))</f>
        <v>3.0689655172413791E-2</v>
      </c>
    </row>
    <row r="45" spans="1:13" x14ac:dyDescent="0.25">
      <c r="A45" s="42" t="s">
        <v>80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77">
        <v>799.5</v>
      </c>
      <c r="J45" s="78">
        <f t="shared" si="3"/>
        <v>108</v>
      </c>
      <c r="K45" s="79">
        <f t="shared" si="4"/>
        <v>0</v>
      </c>
      <c r="L45" s="68">
        <f t="shared" si="5"/>
        <v>3.3395872420262664E-3</v>
      </c>
      <c r="M45" s="70">
        <f>INDEX($L$34:$L$47,MATCH(Dashboard!$E$2,$K$34:$K$47,-1))</f>
        <v>3.0689655172413791E-2</v>
      </c>
    </row>
    <row r="46" spans="1:13" x14ac:dyDescent="0.25">
      <c r="A46" s="42" t="s">
        <v>81</v>
      </c>
      <c r="B46" s="50">
        <v>0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77">
        <v>899.5</v>
      </c>
      <c r="J46" s="78">
        <f t="shared" si="3"/>
        <v>108</v>
      </c>
      <c r="K46" s="79">
        <f t="shared" si="4"/>
        <v>0</v>
      </c>
      <c r="L46" s="68">
        <f t="shared" si="5"/>
        <v>2.9683157309616454E-3</v>
      </c>
      <c r="M46" s="70">
        <f>INDEX($L$34:$L$47,MATCH(Dashboard!$E$2,$K$34:$K$47,-1))</f>
        <v>3.0689655172413791E-2</v>
      </c>
    </row>
    <row r="47" spans="1:13" x14ac:dyDescent="0.25">
      <c r="A47" s="42" t="s">
        <v>82</v>
      </c>
      <c r="B47" s="50">
        <v>0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77">
        <v>975</v>
      </c>
      <c r="J47" s="78">
        <f t="shared" si="3"/>
        <v>108</v>
      </c>
      <c r="K47" s="79">
        <f t="shared" si="4"/>
        <v>0</v>
      </c>
      <c r="L47" s="68">
        <f t="shared" si="5"/>
        <v>2.7384615384615386E-3</v>
      </c>
      <c r="M47" s="70">
        <f>INDEX($L$34:$L$47,MATCH(Dashboard!$E$2,$K$34:$K$47,-1))</f>
        <v>3.0689655172413791E-2</v>
      </c>
    </row>
    <row r="48" spans="1:13" x14ac:dyDescent="0.25">
      <c r="A48" s="42" t="s">
        <v>83</v>
      </c>
      <c r="B48" s="50">
        <v>0</v>
      </c>
      <c r="C48" s="50">
        <v>0</v>
      </c>
      <c r="D48" s="50">
        <v>0</v>
      </c>
      <c r="E48" s="50">
        <v>6</v>
      </c>
      <c r="F48" s="50">
        <v>0</v>
      </c>
      <c r="G48" s="50">
        <v>0</v>
      </c>
      <c r="H48" s="50">
        <v>6</v>
      </c>
      <c r="I48" s="77"/>
      <c r="J48" s="78">
        <f t="shared" si="3"/>
        <v>114</v>
      </c>
      <c r="K48" s="79"/>
      <c r="L48" s="68"/>
      <c r="M48" s="70"/>
    </row>
    <row r="49" spans="1:13" x14ac:dyDescent="0.25">
      <c r="A49" s="42"/>
      <c r="B49" s="51"/>
      <c r="C49" s="51"/>
      <c r="D49" s="51"/>
      <c r="E49" s="51"/>
      <c r="F49" s="51"/>
      <c r="G49" s="51"/>
      <c r="H49" s="51"/>
      <c r="M49" s="70"/>
    </row>
    <row r="50" spans="1:13" x14ac:dyDescent="0.25">
      <c r="A50" s="52" t="s">
        <v>4</v>
      </c>
      <c r="B50" s="53">
        <v>60</v>
      </c>
      <c r="C50" s="53">
        <v>3</v>
      </c>
      <c r="D50" s="53">
        <v>6</v>
      </c>
      <c r="E50" s="53">
        <v>33</v>
      </c>
      <c r="F50" s="53">
        <v>6</v>
      </c>
      <c r="G50" s="53">
        <v>0</v>
      </c>
      <c r="H50" s="53">
        <v>116</v>
      </c>
    </row>
    <row r="51" spans="1:13" x14ac:dyDescent="0.25">
      <c r="A51" s="52"/>
      <c r="B51" s="52"/>
      <c r="C51" s="54"/>
      <c r="D51" s="54"/>
      <c r="E51" s="54"/>
      <c r="F51" s="54"/>
      <c r="G51" s="54"/>
      <c r="H51" s="54"/>
    </row>
  </sheetData>
  <mergeCells count="1">
    <mergeCell ref="B29:G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6A7C-CB5E-45ED-A41B-B26B5FE7C89D}">
  <dimension ref="A1:O50"/>
  <sheetViews>
    <sheetView topLeftCell="A17" workbookViewId="0">
      <selection activeCell="M32" sqref="M32:M47"/>
    </sheetView>
  </sheetViews>
  <sheetFormatPr defaultRowHeight="15" x14ac:dyDescent="0.25"/>
  <cols>
    <col min="1" max="1" width="14.28515625" customWidth="1"/>
    <col min="12" max="12" width="11.140625" customWidth="1"/>
  </cols>
  <sheetData>
    <row r="1" spans="1:10" ht="21.75" thickBot="1" x14ac:dyDescent="0.4">
      <c r="A1" s="63" t="s">
        <v>113</v>
      </c>
      <c r="I1" s="69">
        <v>2.89</v>
      </c>
      <c r="J1" t="s">
        <v>119</v>
      </c>
    </row>
    <row r="3" spans="1:10" x14ac:dyDescent="0.25">
      <c r="A3" s="1"/>
      <c r="B3" s="2" t="s">
        <v>0</v>
      </c>
      <c r="C3" s="2" t="s">
        <v>1</v>
      </c>
      <c r="D3" s="2"/>
    </row>
    <row r="4" spans="1:10" ht="113.45" customHeight="1" x14ac:dyDescent="0.25">
      <c r="A4" s="64"/>
      <c r="B4" s="65" t="s">
        <v>2</v>
      </c>
      <c r="C4" s="65" t="s">
        <v>3</v>
      </c>
      <c r="D4" s="65" t="s">
        <v>4</v>
      </c>
      <c r="E4" s="56"/>
      <c r="F4" s="66" t="s">
        <v>108</v>
      </c>
      <c r="G4" s="66" t="s">
        <v>109</v>
      </c>
      <c r="H4" s="66" t="s">
        <v>110</v>
      </c>
      <c r="I4" s="66" t="str">
        <f>"SRV increase ($"&amp;I1&amp;"/wk) represented as a percentage of present weekly rent"</f>
        <v>SRV increase ($2.89/wk) represented as a percentage of present weekly rent</v>
      </c>
      <c r="J4" s="66" t="s">
        <v>123</v>
      </c>
    </row>
    <row r="5" spans="1:10" x14ac:dyDescent="0.25">
      <c r="A5" s="5"/>
      <c r="B5" s="6"/>
      <c r="C5" s="6"/>
      <c r="D5" s="6"/>
    </row>
    <row r="6" spans="1:10" x14ac:dyDescent="0.25">
      <c r="A6" s="7" t="s">
        <v>5</v>
      </c>
      <c r="B6" s="8">
        <v>12</v>
      </c>
      <c r="C6" s="8">
        <v>8</v>
      </c>
      <c r="D6" s="8">
        <v>23</v>
      </c>
      <c r="F6" s="8">
        <v>0</v>
      </c>
      <c r="G6" s="8">
        <f>D6+G5</f>
        <v>23</v>
      </c>
      <c r="H6" s="67">
        <f>1-G6/$D$26</f>
        <v>0.9776046738072055</v>
      </c>
      <c r="I6" s="68" t="str">
        <f>IFERROR($I$1/F6,"")</f>
        <v/>
      </c>
      <c r="J6" s="70">
        <f>INDEX($I$6:$I$22,MATCH(Dashboard!$E$2,$H$6:$H$22,-1))</f>
        <v>9.633333333333334E-3</v>
      </c>
    </row>
    <row r="7" spans="1:10" x14ac:dyDescent="0.25">
      <c r="A7" s="7" t="s">
        <v>6</v>
      </c>
      <c r="B7" s="8">
        <v>0</v>
      </c>
      <c r="C7" s="8">
        <v>4</v>
      </c>
      <c r="D7" s="8">
        <v>4</v>
      </c>
      <c r="F7" s="8">
        <v>75</v>
      </c>
      <c r="G7" s="8">
        <f t="shared" ref="G7:G24" si="0">D7+G6</f>
        <v>27</v>
      </c>
      <c r="H7" s="67">
        <f t="shared" ref="H7:H24" si="1">1-G7/$D$26</f>
        <v>0.97370983446932813</v>
      </c>
      <c r="I7" s="68">
        <f t="shared" ref="I7:I24" si="2">IFERROR($I$1/F7,"")</f>
        <v>3.8533333333333336E-2</v>
      </c>
      <c r="J7" s="70">
        <f>INDEX($I$6:$I$22,MATCH(Dashboard!$E$2,$H$6:$H$22,-1))</f>
        <v>9.633333333333334E-3</v>
      </c>
    </row>
    <row r="8" spans="1:10" x14ac:dyDescent="0.25">
      <c r="A8" s="7" t="s">
        <v>7</v>
      </c>
      <c r="B8" s="8">
        <v>5</v>
      </c>
      <c r="C8" s="8">
        <v>19</v>
      </c>
      <c r="D8" s="8">
        <v>21</v>
      </c>
      <c r="F8" s="8">
        <v>150</v>
      </c>
      <c r="G8" s="8">
        <f t="shared" si="0"/>
        <v>48</v>
      </c>
      <c r="H8" s="67">
        <f t="shared" si="1"/>
        <v>0.95326192794547226</v>
      </c>
      <c r="I8" s="68">
        <f t="shared" si="2"/>
        <v>1.9266666666666668E-2</v>
      </c>
      <c r="J8" s="70">
        <f>INDEX($I$6:$I$22,MATCH(Dashboard!$E$2,$H$6:$H$22,-1))</f>
        <v>9.633333333333334E-3</v>
      </c>
    </row>
    <row r="9" spans="1:10" x14ac:dyDescent="0.25">
      <c r="A9" s="7" t="s">
        <v>8</v>
      </c>
      <c r="B9" s="8">
        <v>4</v>
      </c>
      <c r="C9" s="8">
        <v>24</v>
      </c>
      <c r="D9" s="8">
        <v>22</v>
      </c>
      <c r="F9" s="8">
        <v>300</v>
      </c>
      <c r="G9" s="8">
        <f t="shared" si="0"/>
        <v>70</v>
      </c>
      <c r="H9" s="67">
        <f t="shared" si="1"/>
        <v>0.93184031158714697</v>
      </c>
      <c r="I9" s="68">
        <f t="shared" si="2"/>
        <v>9.633333333333334E-3</v>
      </c>
      <c r="J9" s="70">
        <f>INDEX($I$6:$I$22,MATCH(Dashboard!$E$2,$H$6:$H$22,-1))</f>
        <v>9.633333333333334E-3</v>
      </c>
    </row>
    <row r="10" spans="1:10" x14ac:dyDescent="0.25">
      <c r="A10" s="7" t="s">
        <v>9</v>
      </c>
      <c r="B10" s="8">
        <v>10</v>
      </c>
      <c r="C10" s="8">
        <v>42</v>
      </c>
      <c r="D10" s="8">
        <v>55</v>
      </c>
      <c r="F10" s="8">
        <v>400</v>
      </c>
      <c r="G10" s="8">
        <f t="shared" si="0"/>
        <v>125</v>
      </c>
      <c r="H10" s="67">
        <f t="shared" si="1"/>
        <v>0.87828627069133403</v>
      </c>
      <c r="I10" s="68">
        <f t="shared" si="2"/>
        <v>7.2250000000000005E-3</v>
      </c>
      <c r="J10" s="70">
        <f>INDEX($I$6:$I$22,MATCH(Dashboard!$E$2,$H$6:$H$22,-1))</f>
        <v>9.633333333333334E-3</v>
      </c>
    </row>
    <row r="11" spans="1:10" x14ac:dyDescent="0.25">
      <c r="A11" s="7" t="s">
        <v>10</v>
      </c>
      <c r="B11" s="8">
        <v>18</v>
      </c>
      <c r="C11" s="8">
        <v>41</v>
      </c>
      <c r="D11" s="8">
        <v>60</v>
      </c>
      <c r="F11" s="8">
        <v>500</v>
      </c>
      <c r="G11" s="8">
        <f t="shared" si="0"/>
        <v>185</v>
      </c>
      <c r="H11" s="67">
        <f t="shared" si="1"/>
        <v>0.81986368062317427</v>
      </c>
      <c r="I11" s="68">
        <f t="shared" si="2"/>
        <v>5.7800000000000004E-3</v>
      </c>
      <c r="J11" s="70">
        <f>INDEX($I$6:$I$22,MATCH(Dashboard!$E$2,$H$6:$H$22,-1))</f>
        <v>9.633333333333334E-3</v>
      </c>
    </row>
    <row r="12" spans="1:10" x14ac:dyDescent="0.25">
      <c r="A12" s="7" t="s">
        <v>11</v>
      </c>
      <c r="B12" s="8">
        <v>56</v>
      </c>
      <c r="C12" s="8">
        <v>20</v>
      </c>
      <c r="D12" s="8">
        <v>78</v>
      </c>
      <c r="F12" s="8">
        <v>650</v>
      </c>
      <c r="G12" s="8">
        <f t="shared" si="0"/>
        <v>263</v>
      </c>
      <c r="H12" s="67">
        <f t="shared" si="1"/>
        <v>0.74391431353456672</v>
      </c>
      <c r="I12" s="68">
        <f t="shared" si="2"/>
        <v>4.4461538461538462E-3</v>
      </c>
      <c r="J12" s="70">
        <f>INDEX($I$6:$I$22,MATCH(Dashboard!$E$2,$H$6:$H$22,-1))</f>
        <v>9.633333333333334E-3</v>
      </c>
    </row>
    <row r="13" spans="1:10" x14ac:dyDescent="0.25">
      <c r="A13" s="7" t="s">
        <v>12</v>
      </c>
      <c r="B13" s="8">
        <v>34</v>
      </c>
      <c r="C13" s="8">
        <v>33</v>
      </c>
      <c r="D13" s="8">
        <v>71</v>
      </c>
      <c r="F13" s="8">
        <v>800</v>
      </c>
      <c r="G13" s="8">
        <f t="shared" si="0"/>
        <v>334</v>
      </c>
      <c r="H13" s="67">
        <f t="shared" si="1"/>
        <v>0.67478091528724438</v>
      </c>
      <c r="I13" s="68">
        <f t="shared" si="2"/>
        <v>3.6125000000000003E-3</v>
      </c>
      <c r="J13" s="70">
        <f>INDEX($I$6:$I$22,MATCH(Dashboard!$E$2,$H$6:$H$22,-1))</f>
        <v>9.633333333333334E-3</v>
      </c>
    </row>
    <row r="14" spans="1:10" x14ac:dyDescent="0.25">
      <c r="A14" s="7" t="s">
        <v>13</v>
      </c>
      <c r="B14" s="8">
        <v>35</v>
      </c>
      <c r="C14" s="8">
        <v>27</v>
      </c>
      <c r="D14" s="8">
        <v>63</v>
      </c>
      <c r="F14" s="8">
        <v>1000</v>
      </c>
      <c r="G14" s="8">
        <f t="shared" si="0"/>
        <v>397</v>
      </c>
      <c r="H14" s="67">
        <f t="shared" si="1"/>
        <v>0.61343719571567679</v>
      </c>
      <c r="I14" s="68">
        <f t="shared" si="2"/>
        <v>2.8900000000000002E-3</v>
      </c>
      <c r="J14" s="70">
        <f>INDEX($I$6:$I$22,MATCH(Dashboard!$E$2,$H$6:$H$22,-1))</f>
        <v>9.633333333333334E-3</v>
      </c>
    </row>
    <row r="15" spans="1:10" x14ac:dyDescent="0.25">
      <c r="A15" s="7" t="s">
        <v>14</v>
      </c>
      <c r="B15" s="8">
        <v>49</v>
      </c>
      <c r="C15" s="8">
        <v>23</v>
      </c>
      <c r="D15" s="8">
        <v>63</v>
      </c>
      <c r="F15" s="8">
        <v>1250</v>
      </c>
      <c r="G15" s="8">
        <f t="shared" si="0"/>
        <v>460</v>
      </c>
      <c r="H15" s="67">
        <f t="shared" si="1"/>
        <v>0.55209347614410897</v>
      </c>
      <c r="I15" s="68">
        <f t="shared" si="2"/>
        <v>2.3120000000000003E-3</v>
      </c>
      <c r="J15" s="70">
        <f>INDEX($I$6:$I$22,MATCH(Dashboard!$E$2,$H$6:$H$22,-1))</f>
        <v>9.633333333333334E-3</v>
      </c>
    </row>
    <row r="16" spans="1:10" x14ac:dyDescent="0.25">
      <c r="A16" s="7" t="s">
        <v>15</v>
      </c>
      <c r="B16" s="8">
        <v>32</v>
      </c>
      <c r="C16" s="8">
        <v>18</v>
      </c>
      <c r="D16" s="8">
        <v>50</v>
      </c>
      <c r="F16" s="8">
        <v>1500</v>
      </c>
      <c r="G16" s="8">
        <f t="shared" si="0"/>
        <v>510</v>
      </c>
      <c r="H16" s="67">
        <f t="shared" si="1"/>
        <v>0.50340798442064272</v>
      </c>
      <c r="I16" s="68">
        <f t="shared" si="2"/>
        <v>1.9266666666666668E-3</v>
      </c>
      <c r="J16" s="70">
        <f>INDEX($I$6:$I$22,MATCH(Dashboard!$E$2,$H$6:$H$22,-1))</f>
        <v>9.633333333333334E-3</v>
      </c>
    </row>
    <row r="17" spans="1:13" x14ac:dyDescent="0.25">
      <c r="A17" s="7" t="s">
        <v>16</v>
      </c>
      <c r="B17" s="8">
        <v>42</v>
      </c>
      <c r="C17" s="8">
        <v>19</v>
      </c>
      <c r="D17" s="8">
        <v>59</v>
      </c>
      <c r="F17" s="8">
        <v>1750</v>
      </c>
      <c r="G17" s="8">
        <f t="shared" si="0"/>
        <v>569</v>
      </c>
      <c r="H17" s="67">
        <f t="shared" si="1"/>
        <v>0.44595910418695228</v>
      </c>
      <c r="I17" s="68">
        <f t="shared" si="2"/>
        <v>1.6514285714285715E-3</v>
      </c>
      <c r="J17" s="70">
        <f>INDEX($I$6:$I$22,MATCH(Dashboard!$E$2,$H$6:$H$22,-1))</f>
        <v>9.633333333333334E-3</v>
      </c>
    </row>
    <row r="18" spans="1:13" x14ac:dyDescent="0.25">
      <c r="A18" s="7" t="s">
        <v>17</v>
      </c>
      <c r="B18" s="8">
        <v>95</v>
      </c>
      <c r="C18" s="8">
        <v>24</v>
      </c>
      <c r="D18" s="8">
        <v>116</v>
      </c>
      <c r="F18" s="8">
        <v>2000</v>
      </c>
      <c r="G18" s="8">
        <f t="shared" si="0"/>
        <v>685</v>
      </c>
      <c r="H18" s="67">
        <f t="shared" si="1"/>
        <v>0.33300876338851026</v>
      </c>
      <c r="I18" s="68">
        <f t="shared" si="2"/>
        <v>1.4450000000000001E-3</v>
      </c>
      <c r="J18" s="70">
        <f>INDEX($I$6:$I$22,MATCH(Dashboard!$E$2,$H$6:$H$22,-1))</f>
        <v>9.633333333333334E-3</v>
      </c>
    </row>
    <row r="19" spans="1:13" x14ac:dyDescent="0.25">
      <c r="A19" s="7" t="s">
        <v>18</v>
      </c>
      <c r="B19" s="8">
        <v>60</v>
      </c>
      <c r="C19" s="8">
        <v>4</v>
      </c>
      <c r="D19" s="8">
        <v>61</v>
      </c>
      <c r="F19" s="8">
        <v>2500</v>
      </c>
      <c r="G19" s="8">
        <f t="shared" si="0"/>
        <v>746</v>
      </c>
      <c r="H19" s="67">
        <f t="shared" si="1"/>
        <v>0.2736124634858812</v>
      </c>
      <c r="I19" s="68">
        <f t="shared" si="2"/>
        <v>1.1560000000000001E-3</v>
      </c>
      <c r="J19" s="70">
        <f>INDEX($I$6:$I$22,MATCH(Dashboard!$E$2,$H$6:$H$22,-1))</f>
        <v>9.633333333333334E-3</v>
      </c>
    </row>
    <row r="20" spans="1:13" x14ac:dyDescent="0.25">
      <c r="A20" s="7" t="s">
        <v>19</v>
      </c>
      <c r="B20" s="8">
        <v>57</v>
      </c>
      <c r="C20" s="8">
        <v>9</v>
      </c>
      <c r="D20" s="8">
        <v>64</v>
      </c>
      <c r="F20" s="8">
        <v>3000</v>
      </c>
      <c r="G20" s="8">
        <f t="shared" si="0"/>
        <v>810</v>
      </c>
      <c r="H20" s="67">
        <f t="shared" si="1"/>
        <v>0.21129503407984418</v>
      </c>
      <c r="I20" s="68">
        <f t="shared" si="2"/>
        <v>9.633333333333334E-4</v>
      </c>
      <c r="J20" s="70">
        <f>INDEX($I$6:$I$22,MATCH(Dashboard!$E$2,$H$6:$H$22,-1))</f>
        <v>9.633333333333334E-3</v>
      </c>
    </row>
    <row r="21" spans="1:13" x14ac:dyDescent="0.25">
      <c r="A21" s="7" t="s">
        <v>20</v>
      </c>
      <c r="B21" s="8">
        <v>36</v>
      </c>
      <c r="C21" s="8">
        <v>0</v>
      </c>
      <c r="D21" s="8">
        <v>36</v>
      </c>
      <c r="F21" s="8">
        <v>3500</v>
      </c>
      <c r="G21" s="8">
        <f t="shared" si="0"/>
        <v>846</v>
      </c>
      <c r="H21" s="67">
        <f t="shared" si="1"/>
        <v>0.17624148003894835</v>
      </c>
      <c r="I21" s="68">
        <f t="shared" si="2"/>
        <v>8.2571428571428574E-4</v>
      </c>
      <c r="J21" s="70">
        <f>INDEX($I$6:$I$22,MATCH(Dashboard!$E$2,$H$6:$H$22,-1))</f>
        <v>9.633333333333334E-3</v>
      </c>
    </row>
    <row r="22" spans="1:13" x14ac:dyDescent="0.25">
      <c r="A22" s="7" t="s">
        <v>21</v>
      </c>
      <c r="B22" s="8">
        <v>72</v>
      </c>
      <c r="C22" s="8">
        <v>7</v>
      </c>
      <c r="D22" s="8">
        <v>79</v>
      </c>
      <c r="F22" s="8">
        <v>4000</v>
      </c>
      <c r="G22" s="8">
        <f t="shared" si="0"/>
        <v>925</v>
      </c>
      <c r="H22" s="67">
        <f t="shared" si="1"/>
        <v>9.9318403115871479E-2</v>
      </c>
      <c r="I22" s="68">
        <f t="shared" si="2"/>
        <v>7.2250000000000005E-4</v>
      </c>
      <c r="J22" s="70">
        <f>INDEX($I$6:$I$22,MATCH(Dashboard!$E$2,$H$6:$H$22,-1))</f>
        <v>9.633333333333334E-3</v>
      </c>
    </row>
    <row r="23" spans="1:13" x14ac:dyDescent="0.25">
      <c r="A23" s="7" t="s">
        <v>22</v>
      </c>
      <c r="B23" s="8">
        <v>70</v>
      </c>
      <c r="C23" s="8">
        <v>0</v>
      </c>
      <c r="D23" s="8">
        <v>72</v>
      </c>
      <c r="G23" s="8">
        <f>D23+G22</f>
        <v>997</v>
      </c>
      <c r="H23" s="67">
        <f t="shared" si="1"/>
        <v>2.9211295034079821E-2</v>
      </c>
      <c r="I23" s="68" t="str">
        <f t="shared" si="2"/>
        <v/>
      </c>
    </row>
    <row r="24" spans="1:13" x14ac:dyDescent="0.25">
      <c r="A24" s="7" t="s">
        <v>23</v>
      </c>
      <c r="B24" s="8">
        <v>13</v>
      </c>
      <c r="C24" s="8">
        <v>5</v>
      </c>
      <c r="D24" s="8">
        <v>20</v>
      </c>
      <c r="G24" s="8">
        <f t="shared" si="0"/>
        <v>1017</v>
      </c>
      <c r="H24" s="67">
        <f t="shared" si="1"/>
        <v>9.7370983446932735E-3</v>
      </c>
      <c r="I24" s="68" t="str">
        <f t="shared" si="2"/>
        <v/>
      </c>
    </row>
    <row r="25" spans="1:13" x14ac:dyDescent="0.25">
      <c r="A25" s="7"/>
      <c r="B25" s="7"/>
      <c r="C25" s="7"/>
      <c r="D25" s="7"/>
    </row>
    <row r="26" spans="1:13" x14ac:dyDescent="0.25">
      <c r="A26" s="9" t="s">
        <v>4</v>
      </c>
      <c r="B26" s="10">
        <v>706</v>
      </c>
      <c r="C26" s="10">
        <v>312</v>
      </c>
      <c r="D26" s="10">
        <v>1027</v>
      </c>
    </row>
    <row r="27" spans="1:13" x14ac:dyDescent="0.25">
      <c r="A27" s="9"/>
      <c r="B27" s="10"/>
      <c r="C27" s="10"/>
      <c r="D27" s="10"/>
    </row>
    <row r="29" spans="1:13" x14ac:dyDescent="0.25">
      <c r="A29" s="42"/>
      <c r="B29" s="87" t="s">
        <v>59</v>
      </c>
      <c r="C29" s="87"/>
      <c r="D29" s="87"/>
      <c r="E29" s="87"/>
      <c r="F29" s="87"/>
      <c r="G29" s="87"/>
      <c r="H29" s="35"/>
    </row>
    <row r="30" spans="1:13" x14ac:dyDescent="0.25">
      <c r="A30" s="43"/>
      <c r="B30" s="44"/>
      <c r="C30" s="44"/>
      <c r="D30" s="44"/>
      <c r="E30" s="35"/>
      <c r="F30" s="35"/>
      <c r="G30" s="44"/>
      <c r="H30" s="45"/>
    </row>
    <row r="31" spans="1:13" x14ac:dyDescent="0.25">
      <c r="A31" s="43"/>
      <c r="B31" s="46"/>
      <c r="C31" s="44" t="s">
        <v>60</v>
      </c>
      <c r="D31" s="44" t="s">
        <v>61</v>
      </c>
      <c r="E31" s="44" t="s">
        <v>62</v>
      </c>
      <c r="F31" s="44" t="s">
        <v>35</v>
      </c>
      <c r="G31" s="44"/>
      <c r="H31" s="45"/>
    </row>
    <row r="32" spans="1:13" ht="91.9" customHeight="1" x14ac:dyDescent="0.25">
      <c r="A32" s="71"/>
      <c r="B32" s="49" t="s">
        <v>63</v>
      </c>
      <c r="C32" s="49" t="s">
        <v>64</v>
      </c>
      <c r="D32" s="49" t="s">
        <v>65</v>
      </c>
      <c r="E32" s="49" t="s">
        <v>66</v>
      </c>
      <c r="F32" s="49" t="s">
        <v>67</v>
      </c>
      <c r="G32" s="49" t="s">
        <v>68</v>
      </c>
      <c r="H32" s="49" t="s">
        <v>4</v>
      </c>
      <c r="I32" s="44" t="s">
        <v>84</v>
      </c>
      <c r="J32" s="44" t="s">
        <v>121</v>
      </c>
      <c r="K32" s="55" t="s">
        <v>85</v>
      </c>
      <c r="L32" s="55" t="str">
        <f>"SRV increase ($"&amp;I1&amp;"/wk) represented as a percentage of present weekly rent"</f>
        <v>SRV increase ($2.89/wk) represented as a percentage of present weekly rent</v>
      </c>
      <c r="M32" s="66" t="s">
        <v>123</v>
      </c>
    </row>
    <row r="33" spans="1:15" x14ac:dyDescent="0.25">
      <c r="A33" s="42"/>
      <c r="B33" s="42"/>
      <c r="C33" s="44"/>
      <c r="D33" s="44"/>
      <c r="E33" s="44"/>
      <c r="F33" s="44"/>
      <c r="G33" s="44"/>
      <c r="H33" s="35"/>
    </row>
    <row r="34" spans="1:15" x14ac:dyDescent="0.25">
      <c r="A34" s="42" t="s">
        <v>69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77">
        <v>37.5</v>
      </c>
      <c r="J34" s="78">
        <f>J33+H34</f>
        <v>0</v>
      </c>
      <c r="K34" s="79">
        <f>1-J34/$J$47</f>
        <v>1</v>
      </c>
      <c r="L34" s="68">
        <f>$I$1/I34</f>
        <v>7.7066666666666672E-2</v>
      </c>
      <c r="M34" s="70">
        <f>INDEX($L$34:$L$47,MATCH(Dashboard!$E$2,$K$34:$K$47,-1))</f>
        <v>2.321285140562249E-2</v>
      </c>
      <c r="N34" s="50"/>
      <c r="O34" s="50"/>
    </row>
    <row r="35" spans="1:15" x14ac:dyDescent="0.25">
      <c r="A35" s="42" t="s">
        <v>70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77">
        <v>87</v>
      </c>
      <c r="J35" s="78">
        <f t="shared" ref="J35:J48" si="3">J34+H35</f>
        <v>0</v>
      </c>
      <c r="K35" s="79">
        <f t="shared" ref="K35:K47" si="4">1-J35/$J$47</f>
        <v>1</v>
      </c>
      <c r="L35" s="68">
        <f t="shared" ref="L35:L47" si="5">$I$1/I35</f>
        <v>3.3218390804597701E-2</v>
      </c>
      <c r="M35" s="70">
        <f>INDEX($L$34:$L$47,MATCH(Dashboard!$E$2,$K$34:$K$47,-1))</f>
        <v>2.321285140562249E-2</v>
      </c>
    </row>
    <row r="36" spans="1:15" x14ac:dyDescent="0.25">
      <c r="A36" s="42" t="s">
        <v>71</v>
      </c>
      <c r="B36" s="50">
        <v>0</v>
      </c>
      <c r="C36" s="50">
        <v>3</v>
      </c>
      <c r="D36" s="50">
        <v>4</v>
      </c>
      <c r="E36" s="50">
        <v>3</v>
      </c>
      <c r="F36" s="50">
        <v>0</v>
      </c>
      <c r="G36" s="50">
        <v>0</v>
      </c>
      <c r="H36" s="50">
        <v>12</v>
      </c>
      <c r="I36" s="77">
        <v>124.5</v>
      </c>
      <c r="J36" s="78">
        <f t="shared" si="3"/>
        <v>12</v>
      </c>
      <c r="K36" s="79">
        <f t="shared" si="4"/>
        <v>0.94312796208530802</v>
      </c>
      <c r="L36" s="68">
        <f t="shared" si="5"/>
        <v>2.321285140562249E-2</v>
      </c>
      <c r="M36" s="70">
        <f>INDEX($L$34:$L$47,MATCH(Dashboard!$E$2,$K$34:$K$47,-1))</f>
        <v>2.321285140562249E-2</v>
      </c>
    </row>
    <row r="37" spans="1:15" x14ac:dyDescent="0.25">
      <c r="A37" s="42" t="s">
        <v>72</v>
      </c>
      <c r="B37" s="50">
        <v>15</v>
      </c>
      <c r="C37" s="50">
        <v>3</v>
      </c>
      <c r="D37" s="50">
        <v>0</v>
      </c>
      <c r="E37" s="50">
        <v>16</v>
      </c>
      <c r="F37" s="50">
        <v>0</v>
      </c>
      <c r="G37" s="50">
        <v>0</v>
      </c>
      <c r="H37" s="50">
        <v>39</v>
      </c>
      <c r="I37" s="77">
        <v>174.5</v>
      </c>
      <c r="J37" s="78">
        <f t="shared" si="3"/>
        <v>51</v>
      </c>
      <c r="K37" s="79">
        <f t="shared" si="4"/>
        <v>0.7582938388625593</v>
      </c>
      <c r="L37" s="68">
        <f t="shared" si="5"/>
        <v>1.6561604584527222E-2</v>
      </c>
      <c r="M37" s="70">
        <f>INDEX($L$34:$L$47,MATCH(Dashboard!$E$2,$K$34:$K$47,-1))</f>
        <v>2.321285140562249E-2</v>
      </c>
    </row>
    <row r="38" spans="1:15" x14ac:dyDescent="0.25">
      <c r="A38" s="42" t="s">
        <v>73</v>
      </c>
      <c r="B38" s="50">
        <v>12</v>
      </c>
      <c r="C38" s="50">
        <v>0</v>
      </c>
      <c r="D38" s="50">
        <v>0</v>
      </c>
      <c r="E38" s="50">
        <v>11</v>
      </c>
      <c r="F38" s="50">
        <v>0</v>
      </c>
      <c r="G38" s="50">
        <v>0</v>
      </c>
      <c r="H38" s="50">
        <v>20</v>
      </c>
      <c r="I38" s="77">
        <v>212</v>
      </c>
      <c r="J38" s="78">
        <f t="shared" si="3"/>
        <v>71</v>
      </c>
      <c r="K38" s="79">
        <f t="shared" si="4"/>
        <v>0.6635071090047393</v>
      </c>
      <c r="L38" s="68">
        <f t="shared" si="5"/>
        <v>1.3632075471698113E-2</v>
      </c>
      <c r="M38" s="70">
        <f>INDEX($L$34:$L$47,MATCH(Dashboard!$E$2,$K$34:$K$47,-1))</f>
        <v>2.321285140562249E-2</v>
      </c>
    </row>
    <row r="39" spans="1:15" x14ac:dyDescent="0.25">
      <c r="A39" s="42" t="s">
        <v>74</v>
      </c>
      <c r="B39" s="50">
        <v>23</v>
      </c>
      <c r="C39" s="50">
        <v>6</v>
      </c>
      <c r="D39" s="50">
        <v>0</v>
      </c>
      <c r="E39" s="50">
        <v>16</v>
      </c>
      <c r="F39" s="50">
        <v>6</v>
      </c>
      <c r="G39" s="50">
        <v>0</v>
      </c>
      <c r="H39" s="50">
        <v>37</v>
      </c>
      <c r="I39" s="77">
        <v>249.5</v>
      </c>
      <c r="J39" s="78">
        <f t="shared" si="3"/>
        <v>108</v>
      </c>
      <c r="K39" s="79">
        <f t="shared" si="4"/>
        <v>0.48815165876777256</v>
      </c>
      <c r="L39" s="68">
        <f t="shared" si="5"/>
        <v>1.1583166332665332E-2</v>
      </c>
      <c r="M39" s="70">
        <f>INDEX($L$34:$L$47,MATCH(Dashboard!$E$2,$K$34:$K$47,-1))</f>
        <v>2.321285140562249E-2</v>
      </c>
    </row>
    <row r="40" spans="1:15" x14ac:dyDescent="0.25">
      <c r="A40" s="42" t="s">
        <v>75</v>
      </c>
      <c r="B40" s="50">
        <v>41</v>
      </c>
      <c r="C40" s="50">
        <v>3</v>
      </c>
      <c r="D40" s="50">
        <v>0</v>
      </c>
      <c r="E40" s="50">
        <v>22</v>
      </c>
      <c r="F40" s="50">
        <v>3</v>
      </c>
      <c r="G40" s="50">
        <v>0</v>
      </c>
      <c r="H40" s="50">
        <v>69</v>
      </c>
      <c r="I40" s="77">
        <v>312</v>
      </c>
      <c r="J40" s="78">
        <f t="shared" si="3"/>
        <v>177</v>
      </c>
      <c r="K40" s="79">
        <f t="shared" si="4"/>
        <v>0.16113744075829384</v>
      </c>
      <c r="L40" s="68">
        <f t="shared" si="5"/>
        <v>9.2628205128205132E-3</v>
      </c>
      <c r="M40" s="70">
        <f>INDEX($L$34:$L$47,MATCH(Dashboard!$E$2,$K$34:$K$47,-1))</f>
        <v>2.321285140562249E-2</v>
      </c>
    </row>
    <row r="41" spans="1:15" x14ac:dyDescent="0.25">
      <c r="A41" s="42" t="s">
        <v>76</v>
      </c>
      <c r="B41" s="50">
        <v>19</v>
      </c>
      <c r="C41" s="50">
        <v>0</v>
      </c>
      <c r="D41" s="50">
        <v>0</v>
      </c>
      <c r="E41" s="50">
        <v>11</v>
      </c>
      <c r="F41" s="50">
        <v>0</v>
      </c>
      <c r="G41" s="50">
        <v>0</v>
      </c>
      <c r="H41" s="50">
        <v>29</v>
      </c>
      <c r="I41" s="77">
        <v>399.5</v>
      </c>
      <c r="J41" s="78">
        <f t="shared" si="3"/>
        <v>206</v>
      </c>
      <c r="K41" s="79">
        <f t="shared" si="4"/>
        <v>2.3696682464454999E-2</v>
      </c>
      <c r="L41" s="68">
        <f t="shared" si="5"/>
        <v>7.2340425531914896E-3</v>
      </c>
      <c r="M41" s="70">
        <f>INDEX($L$34:$L$47,MATCH(Dashboard!$E$2,$K$34:$K$47,-1))</f>
        <v>2.321285140562249E-2</v>
      </c>
    </row>
    <row r="42" spans="1:15" x14ac:dyDescent="0.25">
      <c r="A42" s="42" t="s">
        <v>77</v>
      </c>
      <c r="B42" s="50">
        <v>3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5</v>
      </c>
      <c r="I42" s="77">
        <v>499.5</v>
      </c>
      <c r="J42" s="78">
        <f t="shared" si="3"/>
        <v>211</v>
      </c>
      <c r="K42" s="79">
        <f t="shared" si="4"/>
        <v>0</v>
      </c>
      <c r="L42" s="68">
        <f t="shared" si="5"/>
        <v>5.7857857857857862E-3</v>
      </c>
      <c r="M42" s="70">
        <f>INDEX($L$34:$L$47,MATCH(Dashboard!$E$2,$K$34:$K$47,-1))</f>
        <v>2.321285140562249E-2</v>
      </c>
    </row>
    <row r="43" spans="1:15" x14ac:dyDescent="0.25">
      <c r="A43" s="42" t="s">
        <v>78</v>
      </c>
      <c r="B43" s="50">
        <v>0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77">
        <v>599.5</v>
      </c>
      <c r="J43" s="78">
        <f t="shared" si="3"/>
        <v>211</v>
      </c>
      <c r="K43" s="79">
        <f t="shared" si="4"/>
        <v>0</v>
      </c>
      <c r="L43" s="68">
        <f t="shared" si="5"/>
        <v>4.8206839032527106E-3</v>
      </c>
      <c r="M43" s="70">
        <f>INDEX($L$34:$L$47,MATCH(Dashboard!$E$2,$K$34:$K$47,-1))</f>
        <v>2.321285140562249E-2</v>
      </c>
    </row>
    <row r="44" spans="1:15" x14ac:dyDescent="0.25">
      <c r="A44" s="42" t="s">
        <v>79</v>
      </c>
      <c r="B44" s="50">
        <v>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77">
        <v>699.5</v>
      </c>
      <c r="J44" s="78">
        <f t="shared" si="3"/>
        <v>211</v>
      </c>
      <c r="K44" s="79">
        <f t="shared" si="4"/>
        <v>0</v>
      </c>
      <c r="L44" s="68">
        <f t="shared" si="5"/>
        <v>4.1315225160829163E-3</v>
      </c>
      <c r="M44" s="70">
        <f>INDEX($L$34:$L$47,MATCH(Dashboard!$E$2,$K$34:$K$47,-1))</f>
        <v>2.321285140562249E-2</v>
      </c>
    </row>
    <row r="45" spans="1:15" x14ac:dyDescent="0.25">
      <c r="A45" s="42" t="s">
        <v>80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77">
        <v>799.5</v>
      </c>
      <c r="J45" s="78">
        <f t="shared" si="3"/>
        <v>211</v>
      </c>
      <c r="K45" s="79">
        <f t="shared" si="4"/>
        <v>0</v>
      </c>
      <c r="L45" s="68">
        <f t="shared" si="5"/>
        <v>3.6147592245153221E-3</v>
      </c>
      <c r="M45" s="70">
        <f>INDEX($L$34:$L$47,MATCH(Dashboard!$E$2,$K$34:$K$47,-1))</f>
        <v>2.321285140562249E-2</v>
      </c>
    </row>
    <row r="46" spans="1:15" x14ac:dyDescent="0.25">
      <c r="A46" s="42" t="s">
        <v>81</v>
      </c>
      <c r="B46" s="50">
        <v>0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77">
        <v>899.5</v>
      </c>
      <c r="J46" s="78">
        <f t="shared" si="3"/>
        <v>211</v>
      </c>
      <c r="K46" s="79">
        <f t="shared" si="4"/>
        <v>0</v>
      </c>
      <c r="L46" s="68">
        <f t="shared" si="5"/>
        <v>3.2128960533629796E-3</v>
      </c>
      <c r="M46" s="70">
        <f>INDEX($L$34:$L$47,MATCH(Dashboard!$E$2,$K$34:$K$47,-1))</f>
        <v>2.321285140562249E-2</v>
      </c>
    </row>
    <row r="47" spans="1:15" x14ac:dyDescent="0.25">
      <c r="A47" s="42" t="s">
        <v>82</v>
      </c>
      <c r="B47" s="50">
        <v>0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77">
        <v>975</v>
      </c>
      <c r="J47" s="78">
        <f t="shared" si="3"/>
        <v>211</v>
      </c>
      <c r="K47" s="79">
        <f t="shared" si="4"/>
        <v>0</v>
      </c>
      <c r="L47" s="68">
        <f t="shared" si="5"/>
        <v>2.9641025641025643E-3</v>
      </c>
      <c r="M47" s="70">
        <f>INDEX($L$34:$L$47,MATCH(Dashboard!$E$2,$K$34:$K$47,-1))</f>
        <v>2.321285140562249E-2</v>
      </c>
    </row>
    <row r="48" spans="1:15" x14ac:dyDescent="0.25">
      <c r="A48" s="42" t="s">
        <v>83</v>
      </c>
      <c r="B48" s="50">
        <v>0</v>
      </c>
      <c r="C48" s="50">
        <v>0</v>
      </c>
      <c r="D48" s="50">
        <v>5</v>
      </c>
      <c r="E48" s="50">
        <v>6</v>
      </c>
      <c r="F48" s="50">
        <v>11</v>
      </c>
      <c r="G48" s="50">
        <v>0</v>
      </c>
      <c r="H48" s="50">
        <v>14</v>
      </c>
      <c r="I48" s="77"/>
      <c r="J48" s="78">
        <f t="shared" si="3"/>
        <v>225</v>
      </c>
      <c r="K48" s="79"/>
      <c r="L48" s="68"/>
    </row>
    <row r="49" spans="1:8" x14ac:dyDescent="0.25">
      <c r="A49" s="42"/>
      <c r="B49" s="51"/>
      <c r="C49" s="51"/>
      <c r="D49" s="51"/>
      <c r="E49" s="51"/>
      <c r="F49" s="51"/>
      <c r="G49" s="51"/>
      <c r="H49" s="51"/>
    </row>
    <row r="50" spans="1:8" x14ac:dyDescent="0.25">
      <c r="A50" s="52" t="s">
        <v>4</v>
      </c>
      <c r="B50" s="53">
        <v>112</v>
      </c>
      <c r="C50" s="53">
        <v>17</v>
      </c>
      <c r="D50" s="53">
        <v>0</v>
      </c>
      <c r="E50" s="53">
        <v>77</v>
      </c>
      <c r="F50" s="53">
        <v>21</v>
      </c>
      <c r="G50" s="53">
        <v>0</v>
      </c>
      <c r="H50" s="53">
        <v>236</v>
      </c>
    </row>
  </sheetData>
  <mergeCells count="1">
    <mergeCell ref="B29:G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C5C1-2D77-4ABC-8117-EDD882F5DF7E}">
  <dimension ref="A1:M51"/>
  <sheetViews>
    <sheetView topLeftCell="A15" workbookViewId="0">
      <selection activeCell="O27" sqref="O27"/>
    </sheetView>
  </sheetViews>
  <sheetFormatPr defaultRowHeight="15" x14ac:dyDescent="0.25"/>
  <sheetData>
    <row r="1" spans="1:10" ht="21.75" thickBot="1" x14ac:dyDescent="0.4">
      <c r="A1" s="63" t="s">
        <v>114</v>
      </c>
      <c r="I1" s="69">
        <v>2.82</v>
      </c>
      <c r="J1" t="s">
        <v>120</v>
      </c>
    </row>
    <row r="3" spans="1:10" x14ac:dyDescent="0.25">
      <c r="A3" s="1"/>
      <c r="B3" s="2" t="s">
        <v>0</v>
      </c>
      <c r="C3" s="2" t="s">
        <v>1</v>
      </c>
      <c r="D3" s="2"/>
    </row>
    <row r="4" spans="1:10" ht="113.25" x14ac:dyDescent="0.25">
      <c r="A4" s="3"/>
      <c r="B4" s="4" t="s">
        <v>2</v>
      </c>
      <c r="C4" s="4" t="s">
        <v>3</v>
      </c>
      <c r="D4" s="4" t="s">
        <v>4</v>
      </c>
      <c r="E4" s="56"/>
      <c r="F4" s="66" t="s">
        <v>108</v>
      </c>
      <c r="G4" s="66" t="s">
        <v>109</v>
      </c>
      <c r="H4" s="66" t="s">
        <v>110</v>
      </c>
      <c r="I4" s="66" t="str">
        <f>"SRV increase ($"&amp;I1&amp;"/wk) represented as a percentage of household weekly income"</f>
        <v>SRV increase ($2.82/wk) represented as a percentage of household weekly income</v>
      </c>
      <c r="J4" s="66" t="s">
        <v>123</v>
      </c>
    </row>
    <row r="5" spans="1:10" x14ac:dyDescent="0.25">
      <c r="A5" s="5"/>
      <c r="B5" s="6"/>
      <c r="C5" s="6"/>
      <c r="D5" s="6"/>
    </row>
    <row r="6" spans="1:10" x14ac:dyDescent="0.25">
      <c r="A6" s="7" t="s">
        <v>5</v>
      </c>
      <c r="B6" s="8">
        <v>7</v>
      </c>
      <c r="C6" s="8">
        <v>16</v>
      </c>
      <c r="D6" s="8">
        <v>25</v>
      </c>
      <c r="F6" s="8">
        <v>0</v>
      </c>
      <c r="G6" s="8">
        <f>D6+G5</f>
        <v>25</v>
      </c>
      <c r="H6" s="67">
        <f>1-G6/$D$26</f>
        <v>0.967741935483871</v>
      </c>
      <c r="I6" s="68" t="str">
        <f>IFERROR($I$1/F6,"")</f>
        <v/>
      </c>
      <c r="J6" s="70">
        <f>INDEX($I$6:$I$22,MATCH(Dashboard!$E$2,$H$6:$H$22,-1))</f>
        <v>9.3999999999999986E-3</v>
      </c>
    </row>
    <row r="7" spans="1:10" x14ac:dyDescent="0.25">
      <c r="A7" s="7" t="s">
        <v>6</v>
      </c>
      <c r="B7" s="8">
        <v>3</v>
      </c>
      <c r="C7" s="8">
        <v>6</v>
      </c>
      <c r="D7" s="8">
        <v>14</v>
      </c>
      <c r="F7" s="8">
        <v>75</v>
      </c>
      <c r="G7" s="8">
        <f t="shared" ref="G7:G24" si="0">D7+G6</f>
        <v>39</v>
      </c>
      <c r="H7" s="67">
        <f t="shared" ref="H7:H24" si="1">1-G7/$D$26</f>
        <v>0.94967741935483874</v>
      </c>
      <c r="I7" s="68">
        <f t="shared" ref="I7:I24" si="2">IFERROR($I$1/F7,"")</f>
        <v>3.7599999999999995E-2</v>
      </c>
      <c r="J7" s="70">
        <f>INDEX($I$6:$I$22,MATCH(Dashboard!$E$2,$H$6:$H$22,-1))</f>
        <v>9.3999999999999986E-3</v>
      </c>
    </row>
    <row r="8" spans="1:10" x14ac:dyDescent="0.25">
      <c r="A8" s="7" t="s">
        <v>7</v>
      </c>
      <c r="B8" s="8">
        <v>0</v>
      </c>
      <c r="C8" s="8">
        <v>9</v>
      </c>
      <c r="D8" s="8">
        <v>9</v>
      </c>
      <c r="F8" s="8">
        <v>150</v>
      </c>
      <c r="G8" s="8">
        <f t="shared" si="0"/>
        <v>48</v>
      </c>
      <c r="H8" s="67">
        <f t="shared" si="1"/>
        <v>0.9380645161290323</v>
      </c>
      <c r="I8" s="68">
        <f t="shared" si="2"/>
        <v>1.8799999999999997E-2</v>
      </c>
      <c r="J8" s="70">
        <f>INDEX($I$6:$I$22,MATCH(Dashboard!$E$2,$H$6:$H$22,-1))</f>
        <v>9.3999999999999986E-3</v>
      </c>
    </row>
    <row r="9" spans="1:10" x14ac:dyDescent="0.25">
      <c r="A9" s="7" t="s">
        <v>8</v>
      </c>
      <c r="B9" s="8">
        <v>4</v>
      </c>
      <c r="C9" s="8">
        <v>16</v>
      </c>
      <c r="D9" s="8">
        <v>21</v>
      </c>
      <c r="F9" s="8">
        <v>300</v>
      </c>
      <c r="G9" s="8">
        <f t="shared" si="0"/>
        <v>69</v>
      </c>
      <c r="H9" s="67">
        <f t="shared" si="1"/>
        <v>0.91096774193548391</v>
      </c>
      <c r="I9" s="68">
        <f t="shared" si="2"/>
        <v>9.3999999999999986E-3</v>
      </c>
      <c r="J9" s="70">
        <f>INDEX($I$6:$I$22,MATCH(Dashboard!$E$2,$H$6:$H$22,-1))</f>
        <v>9.3999999999999986E-3</v>
      </c>
    </row>
    <row r="10" spans="1:10" x14ac:dyDescent="0.25">
      <c r="A10" s="7" t="s">
        <v>9</v>
      </c>
      <c r="B10" s="8">
        <v>12</v>
      </c>
      <c r="C10" s="8">
        <v>56</v>
      </c>
      <c r="D10" s="8">
        <v>68</v>
      </c>
      <c r="F10" s="8">
        <v>400</v>
      </c>
      <c r="G10" s="8">
        <f t="shared" si="0"/>
        <v>137</v>
      </c>
      <c r="H10" s="67">
        <f t="shared" si="1"/>
        <v>0.82322580645161292</v>
      </c>
      <c r="I10" s="68">
        <f t="shared" si="2"/>
        <v>7.0499999999999998E-3</v>
      </c>
      <c r="J10" s="70">
        <f>INDEX($I$6:$I$22,MATCH(Dashboard!$E$2,$H$6:$H$22,-1))</f>
        <v>9.3999999999999986E-3</v>
      </c>
    </row>
    <row r="11" spans="1:10" x14ac:dyDescent="0.25">
      <c r="A11" s="7" t="s">
        <v>10</v>
      </c>
      <c r="B11" s="8">
        <v>15</v>
      </c>
      <c r="C11" s="8">
        <v>18</v>
      </c>
      <c r="D11" s="8">
        <v>40</v>
      </c>
      <c r="F11" s="8">
        <v>500</v>
      </c>
      <c r="G11" s="8">
        <f t="shared" si="0"/>
        <v>177</v>
      </c>
      <c r="H11" s="67">
        <f t="shared" si="1"/>
        <v>0.77161290322580645</v>
      </c>
      <c r="I11" s="68">
        <f t="shared" si="2"/>
        <v>5.64E-3</v>
      </c>
      <c r="J11" s="70">
        <f>INDEX($I$6:$I$22,MATCH(Dashboard!$E$2,$H$6:$H$22,-1))</f>
        <v>9.3999999999999986E-3</v>
      </c>
    </row>
    <row r="12" spans="1:10" x14ac:dyDescent="0.25">
      <c r="A12" s="7" t="s">
        <v>11</v>
      </c>
      <c r="B12" s="8">
        <v>41</v>
      </c>
      <c r="C12" s="8">
        <v>12</v>
      </c>
      <c r="D12" s="8">
        <v>55</v>
      </c>
      <c r="F12" s="8">
        <v>650</v>
      </c>
      <c r="G12" s="8">
        <f t="shared" si="0"/>
        <v>232</v>
      </c>
      <c r="H12" s="67">
        <f t="shared" si="1"/>
        <v>0.70064516129032262</v>
      </c>
      <c r="I12" s="68">
        <f t="shared" si="2"/>
        <v>4.3384615384615384E-3</v>
      </c>
      <c r="J12" s="70">
        <f>INDEX($I$6:$I$22,MATCH(Dashboard!$E$2,$H$6:$H$22,-1))</f>
        <v>9.3999999999999986E-3</v>
      </c>
    </row>
    <row r="13" spans="1:10" x14ac:dyDescent="0.25">
      <c r="A13" s="7" t="s">
        <v>12</v>
      </c>
      <c r="B13" s="8">
        <v>38</v>
      </c>
      <c r="C13" s="8">
        <v>18</v>
      </c>
      <c r="D13" s="8">
        <v>54</v>
      </c>
      <c r="F13" s="8">
        <v>800</v>
      </c>
      <c r="G13" s="8">
        <f t="shared" si="0"/>
        <v>286</v>
      </c>
      <c r="H13" s="67">
        <f t="shared" si="1"/>
        <v>0.63096774193548388</v>
      </c>
      <c r="I13" s="68">
        <f t="shared" si="2"/>
        <v>3.5249999999999999E-3</v>
      </c>
      <c r="J13" s="70">
        <f>INDEX($I$6:$I$22,MATCH(Dashboard!$E$2,$H$6:$H$22,-1))</f>
        <v>9.3999999999999986E-3</v>
      </c>
    </row>
    <row r="14" spans="1:10" x14ac:dyDescent="0.25">
      <c r="A14" s="7" t="s">
        <v>13</v>
      </c>
      <c r="B14" s="8">
        <v>38</v>
      </c>
      <c r="C14" s="8">
        <v>27</v>
      </c>
      <c r="D14" s="8">
        <v>61</v>
      </c>
      <c r="F14" s="8">
        <v>1000</v>
      </c>
      <c r="G14" s="8">
        <f t="shared" si="0"/>
        <v>347</v>
      </c>
      <c r="H14" s="67">
        <f t="shared" si="1"/>
        <v>0.55225806451612902</v>
      </c>
      <c r="I14" s="68">
        <f t="shared" si="2"/>
        <v>2.82E-3</v>
      </c>
      <c r="J14" s="70">
        <f>INDEX($I$6:$I$22,MATCH(Dashboard!$E$2,$H$6:$H$22,-1))</f>
        <v>9.3999999999999986E-3</v>
      </c>
    </row>
    <row r="15" spans="1:10" x14ac:dyDescent="0.25">
      <c r="A15" s="7" t="s">
        <v>14</v>
      </c>
      <c r="B15" s="8">
        <v>56</v>
      </c>
      <c r="C15" s="8">
        <v>14</v>
      </c>
      <c r="D15" s="8">
        <v>70</v>
      </c>
      <c r="F15" s="8">
        <v>1250</v>
      </c>
      <c r="G15" s="8">
        <f t="shared" si="0"/>
        <v>417</v>
      </c>
      <c r="H15" s="67">
        <f t="shared" si="1"/>
        <v>0.46193548387096772</v>
      </c>
      <c r="I15" s="68">
        <f t="shared" si="2"/>
        <v>2.2559999999999998E-3</v>
      </c>
      <c r="J15" s="70">
        <f>INDEX($I$6:$I$22,MATCH(Dashboard!$E$2,$H$6:$H$22,-1))</f>
        <v>9.3999999999999986E-3</v>
      </c>
    </row>
    <row r="16" spans="1:10" x14ac:dyDescent="0.25">
      <c r="A16" s="7" t="s">
        <v>15</v>
      </c>
      <c r="B16" s="8">
        <v>31</v>
      </c>
      <c r="C16" s="8">
        <v>9</v>
      </c>
      <c r="D16" s="8">
        <v>40</v>
      </c>
      <c r="F16" s="8">
        <v>1500</v>
      </c>
      <c r="G16" s="8">
        <f t="shared" si="0"/>
        <v>457</v>
      </c>
      <c r="H16" s="67">
        <f t="shared" si="1"/>
        <v>0.41032258064516125</v>
      </c>
      <c r="I16" s="68">
        <f t="shared" si="2"/>
        <v>1.8799999999999999E-3</v>
      </c>
      <c r="J16" s="70">
        <f>INDEX($I$6:$I$22,MATCH(Dashboard!$E$2,$H$6:$H$22,-1))</f>
        <v>9.3999999999999986E-3</v>
      </c>
    </row>
    <row r="17" spans="1:13" x14ac:dyDescent="0.25">
      <c r="A17" s="7" t="s">
        <v>16</v>
      </c>
      <c r="B17" s="8">
        <v>31</v>
      </c>
      <c r="C17" s="8">
        <v>0</v>
      </c>
      <c r="D17" s="8">
        <v>30</v>
      </c>
      <c r="F17" s="8">
        <v>1750</v>
      </c>
      <c r="G17" s="8">
        <f t="shared" si="0"/>
        <v>487</v>
      </c>
      <c r="H17" s="67">
        <f t="shared" si="1"/>
        <v>0.37161290322580642</v>
      </c>
      <c r="I17" s="68">
        <f t="shared" si="2"/>
        <v>1.6114285714285714E-3</v>
      </c>
      <c r="J17" s="70">
        <f>INDEX($I$6:$I$22,MATCH(Dashboard!$E$2,$H$6:$H$22,-1))</f>
        <v>9.3999999999999986E-3</v>
      </c>
    </row>
    <row r="18" spans="1:13" x14ac:dyDescent="0.25">
      <c r="A18" s="7" t="s">
        <v>17</v>
      </c>
      <c r="B18" s="8">
        <v>60</v>
      </c>
      <c r="C18" s="8">
        <v>16</v>
      </c>
      <c r="D18" s="8">
        <v>74</v>
      </c>
      <c r="F18" s="8">
        <v>2000</v>
      </c>
      <c r="G18" s="8">
        <f t="shared" si="0"/>
        <v>561</v>
      </c>
      <c r="H18" s="67">
        <f t="shared" si="1"/>
        <v>0.27612903225806451</v>
      </c>
      <c r="I18" s="68">
        <f t="shared" si="2"/>
        <v>1.41E-3</v>
      </c>
      <c r="J18" s="70">
        <f>INDEX($I$6:$I$22,MATCH(Dashboard!$E$2,$H$6:$H$22,-1))</f>
        <v>9.3999999999999986E-3</v>
      </c>
    </row>
    <row r="19" spans="1:13" x14ac:dyDescent="0.25">
      <c r="A19" s="7" t="s">
        <v>18</v>
      </c>
      <c r="B19" s="8">
        <v>40</v>
      </c>
      <c r="C19" s="8">
        <v>0</v>
      </c>
      <c r="D19" s="8">
        <v>42</v>
      </c>
      <c r="F19" s="8">
        <v>2500</v>
      </c>
      <c r="G19" s="8">
        <f t="shared" si="0"/>
        <v>603</v>
      </c>
      <c r="H19" s="67">
        <f t="shared" si="1"/>
        <v>0.22193548387096773</v>
      </c>
      <c r="I19" s="68">
        <f t="shared" si="2"/>
        <v>1.1279999999999999E-3</v>
      </c>
      <c r="J19" s="70">
        <f>INDEX($I$6:$I$22,MATCH(Dashboard!$E$2,$H$6:$H$22,-1))</f>
        <v>9.3999999999999986E-3</v>
      </c>
    </row>
    <row r="20" spans="1:13" x14ac:dyDescent="0.25">
      <c r="A20" s="7" t="s">
        <v>19</v>
      </c>
      <c r="B20" s="8">
        <v>28</v>
      </c>
      <c r="C20" s="8">
        <v>0</v>
      </c>
      <c r="D20" s="8">
        <v>28</v>
      </c>
      <c r="F20" s="8">
        <v>3000</v>
      </c>
      <c r="G20" s="8">
        <f t="shared" si="0"/>
        <v>631</v>
      </c>
      <c r="H20" s="67">
        <f t="shared" si="1"/>
        <v>0.18580645161290321</v>
      </c>
      <c r="I20" s="68">
        <f t="shared" si="2"/>
        <v>9.3999999999999997E-4</v>
      </c>
      <c r="J20" s="70">
        <f>INDEX($I$6:$I$22,MATCH(Dashboard!$E$2,$H$6:$H$22,-1))</f>
        <v>9.3999999999999986E-3</v>
      </c>
    </row>
    <row r="21" spans="1:13" x14ac:dyDescent="0.25">
      <c r="A21" s="7" t="s">
        <v>20</v>
      </c>
      <c r="B21" s="8">
        <v>14</v>
      </c>
      <c r="C21" s="8">
        <v>0</v>
      </c>
      <c r="D21" s="8">
        <v>14</v>
      </c>
      <c r="F21" s="8">
        <v>3500</v>
      </c>
      <c r="G21" s="8">
        <f t="shared" si="0"/>
        <v>645</v>
      </c>
      <c r="H21" s="67">
        <f t="shared" si="1"/>
        <v>0.16774193548387095</v>
      </c>
      <c r="I21" s="68">
        <f t="shared" si="2"/>
        <v>8.0571428571428569E-4</v>
      </c>
      <c r="J21" s="70">
        <f>INDEX($I$6:$I$22,MATCH(Dashboard!$E$2,$H$6:$H$22,-1))</f>
        <v>9.3999999999999986E-3</v>
      </c>
    </row>
    <row r="22" spans="1:13" x14ac:dyDescent="0.25">
      <c r="A22" s="7" t="s">
        <v>21</v>
      </c>
      <c r="B22" s="8">
        <v>40</v>
      </c>
      <c r="C22" s="8">
        <v>0</v>
      </c>
      <c r="D22" s="8">
        <v>38</v>
      </c>
      <c r="F22" s="8">
        <v>4000</v>
      </c>
      <c r="G22" s="8">
        <f t="shared" si="0"/>
        <v>683</v>
      </c>
      <c r="H22" s="67">
        <f t="shared" si="1"/>
        <v>0.11870967741935479</v>
      </c>
      <c r="I22" s="68">
        <f t="shared" si="2"/>
        <v>7.0500000000000001E-4</v>
      </c>
      <c r="J22" s="70">
        <f>INDEX($I$6:$I$22,MATCH(Dashboard!$E$2,$H$6:$H$22,-1))</f>
        <v>9.3999999999999986E-3</v>
      </c>
    </row>
    <row r="23" spans="1:13" x14ac:dyDescent="0.25">
      <c r="A23" s="7" t="s">
        <v>22</v>
      </c>
      <c r="B23" s="8">
        <v>53</v>
      </c>
      <c r="C23" s="8">
        <v>3</v>
      </c>
      <c r="D23" s="8">
        <v>55</v>
      </c>
      <c r="G23" s="8">
        <f>D23+G22</f>
        <v>738</v>
      </c>
      <c r="H23" s="67">
        <f t="shared" si="1"/>
        <v>4.7741935483870956E-2</v>
      </c>
      <c r="I23" s="68" t="str">
        <f t="shared" si="2"/>
        <v/>
      </c>
    </row>
    <row r="24" spans="1:13" x14ac:dyDescent="0.25">
      <c r="A24" s="7" t="s">
        <v>23</v>
      </c>
      <c r="B24" s="8">
        <v>5</v>
      </c>
      <c r="C24" s="8">
        <v>12</v>
      </c>
      <c r="D24" s="8">
        <v>21</v>
      </c>
      <c r="G24" s="8">
        <f t="shared" si="0"/>
        <v>759</v>
      </c>
      <c r="H24" s="67">
        <f t="shared" si="1"/>
        <v>2.0645161290322567E-2</v>
      </c>
      <c r="I24" s="68" t="str">
        <f t="shared" si="2"/>
        <v/>
      </c>
    </row>
    <row r="25" spans="1:13" x14ac:dyDescent="0.25">
      <c r="A25" s="7"/>
      <c r="B25" s="7"/>
      <c r="C25" s="7"/>
      <c r="D25" s="7"/>
    </row>
    <row r="26" spans="1:13" x14ac:dyDescent="0.25">
      <c r="A26" s="9" t="s">
        <v>4</v>
      </c>
      <c r="B26" s="10">
        <v>526</v>
      </c>
      <c r="C26" s="10">
        <v>247</v>
      </c>
      <c r="D26" s="10">
        <v>775</v>
      </c>
    </row>
    <row r="29" spans="1:13" x14ac:dyDescent="0.25">
      <c r="A29" s="42"/>
      <c r="B29" s="87" t="s">
        <v>59</v>
      </c>
      <c r="C29" s="87"/>
      <c r="D29" s="87"/>
      <c r="E29" s="87"/>
      <c r="F29" s="87"/>
      <c r="G29" s="87"/>
      <c r="H29" s="35"/>
    </row>
    <row r="30" spans="1:13" x14ac:dyDescent="0.25">
      <c r="A30" s="43"/>
      <c r="B30" s="44"/>
      <c r="C30" s="44"/>
      <c r="D30" s="44"/>
      <c r="E30" s="35"/>
      <c r="F30" s="35"/>
      <c r="G30" s="44"/>
      <c r="H30" s="45"/>
    </row>
    <row r="31" spans="1:13" x14ac:dyDescent="0.25">
      <c r="A31" s="43"/>
      <c r="B31" s="46"/>
      <c r="C31" s="44" t="s">
        <v>60</v>
      </c>
      <c r="D31" s="44" t="s">
        <v>61</v>
      </c>
      <c r="E31" s="44" t="s">
        <v>62</v>
      </c>
      <c r="F31" s="44" t="s">
        <v>35</v>
      </c>
      <c r="G31" s="44"/>
      <c r="H31" s="45"/>
    </row>
    <row r="32" spans="1:13" ht="90.75" x14ac:dyDescent="0.25">
      <c r="A32" s="47"/>
      <c r="B32" s="48" t="s">
        <v>63</v>
      </c>
      <c r="C32" s="48" t="s">
        <v>64</v>
      </c>
      <c r="D32" s="48" t="s">
        <v>65</v>
      </c>
      <c r="E32" s="49" t="s">
        <v>66</v>
      </c>
      <c r="F32" s="48" t="s">
        <v>67</v>
      </c>
      <c r="G32" s="48" t="s">
        <v>68</v>
      </c>
      <c r="H32" s="44" t="s">
        <v>4</v>
      </c>
      <c r="I32" s="44" t="s">
        <v>84</v>
      </c>
      <c r="J32" s="44" t="s">
        <v>121</v>
      </c>
      <c r="K32" s="55" t="s">
        <v>85</v>
      </c>
      <c r="L32" s="55" t="str">
        <f>"SRV increase ($"&amp;I1&amp;"/wk) represented as a percentage of present weekly rent"</f>
        <v>SRV increase ($2.82/wk) represented as a percentage of present weekly rent</v>
      </c>
      <c r="M32" s="66" t="s">
        <v>123</v>
      </c>
    </row>
    <row r="33" spans="1:13" x14ac:dyDescent="0.25">
      <c r="A33" s="42"/>
      <c r="B33" s="42"/>
      <c r="C33" s="44"/>
      <c r="D33" s="44"/>
      <c r="E33" s="44"/>
      <c r="F33" s="44"/>
      <c r="G33" s="44"/>
      <c r="H33" s="35"/>
    </row>
    <row r="34" spans="1:13" x14ac:dyDescent="0.25">
      <c r="A34" s="42" t="s">
        <v>69</v>
      </c>
      <c r="B34" s="50">
        <v>0</v>
      </c>
      <c r="C34" s="50">
        <v>0</v>
      </c>
      <c r="D34" s="50">
        <v>0</v>
      </c>
      <c r="E34" s="50">
        <v>3</v>
      </c>
      <c r="F34" s="50">
        <v>0</v>
      </c>
      <c r="G34" s="50">
        <v>0</v>
      </c>
      <c r="H34" s="50">
        <v>4</v>
      </c>
      <c r="I34" s="77">
        <v>37.5</v>
      </c>
      <c r="J34" s="78">
        <f>J33+H34</f>
        <v>4</v>
      </c>
      <c r="K34" s="79">
        <f>1-J34/$J$47</f>
        <v>0.97241379310344822</v>
      </c>
      <c r="L34" s="68">
        <f>$I$1/I34</f>
        <v>7.5199999999999989E-2</v>
      </c>
      <c r="M34" s="70">
        <f>INDEX($L$34:$L$47,MATCH(Dashboard!$E$2,$K$34:$K$47,-1))</f>
        <v>3.2413793103448274E-2</v>
      </c>
    </row>
    <row r="35" spans="1:13" x14ac:dyDescent="0.25">
      <c r="A35" s="42" t="s">
        <v>70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77">
        <v>87</v>
      </c>
      <c r="J35" s="78">
        <f t="shared" ref="J35:J48" si="3">J34+H35</f>
        <v>4</v>
      </c>
      <c r="K35" s="79">
        <f t="shared" ref="K35:K47" si="4">1-J35/$J$47</f>
        <v>0.97241379310344822</v>
      </c>
      <c r="L35" s="68">
        <f t="shared" ref="L35:L47" si="5">$I$1/I35</f>
        <v>3.2413793103448274E-2</v>
      </c>
      <c r="M35" s="70">
        <f>INDEX($L$34:$L$47,MATCH(Dashboard!$E$2,$K$34:$K$47,-1))</f>
        <v>3.2413793103448274E-2</v>
      </c>
    </row>
    <row r="36" spans="1:13" x14ac:dyDescent="0.25">
      <c r="A36" s="42" t="s">
        <v>71</v>
      </c>
      <c r="B36" s="50">
        <v>9</v>
      </c>
      <c r="C36" s="50">
        <v>9</v>
      </c>
      <c r="D36" s="50">
        <v>0</v>
      </c>
      <c r="E36" s="50">
        <v>5</v>
      </c>
      <c r="F36" s="50">
        <v>5</v>
      </c>
      <c r="G36" s="50">
        <v>0</v>
      </c>
      <c r="H36" s="50">
        <v>25</v>
      </c>
      <c r="I36" s="77">
        <v>124.5</v>
      </c>
      <c r="J36" s="78">
        <f t="shared" si="3"/>
        <v>29</v>
      </c>
      <c r="K36" s="79">
        <f t="shared" si="4"/>
        <v>0.8</v>
      </c>
      <c r="L36" s="68">
        <f t="shared" si="5"/>
        <v>2.2650602409638555E-2</v>
      </c>
      <c r="M36" s="70">
        <f>INDEX($L$34:$L$47,MATCH(Dashboard!$E$2,$K$34:$K$47,-1))</f>
        <v>3.2413793103448274E-2</v>
      </c>
    </row>
    <row r="37" spans="1:13" x14ac:dyDescent="0.25">
      <c r="A37" s="42" t="s">
        <v>72</v>
      </c>
      <c r="B37" s="50">
        <v>14</v>
      </c>
      <c r="C37" s="50">
        <v>0</v>
      </c>
      <c r="D37" s="50">
        <v>0</v>
      </c>
      <c r="E37" s="50">
        <v>5</v>
      </c>
      <c r="F37" s="50">
        <v>0</v>
      </c>
      <c r="G37" s="50">
        <v>0</v>
      </c>
      <c r="H37" s="50">
        <v>21</v>
      </c>
      <c r="I37" s="77">
        <v>174.5</v>
      </c>
      <c r="J37" s="78">
        <f t="shared" si="3"/>
        <v>50</v>
      </c>
      <c r="K37" s="79">
        <f t="shared" si="4"/>
        <v>0.65517241379310343</v>
      </c>
      <c r="L37" s="68">
        <f t="shared" si="5"/>
        <v>1.6160458452722064E-2</v>
      </c>
      <c r="M37" s="70">
        <f>INDEX($L$34:$L$47,MATCH(Dashboard!$E$2,$K$34:$K$47,-1))</f>
        <v>3.2413793103448274E-2</v>
      </c>
    </row>
    <row r="38" spans="1:13" x14ac:dyDescent="0.25">
      <c r="A38" s="42" t="s">
        <v>73</v>
      </c>
      <c r="B38" s="50">
        <v>6</v>
      </c>
      <c r="C38" s="50">
        <v>0</v>
      </c>
      <c r="D38" s="50">
        <v>0</v>
      </c>
      <c r="E38" s="50">
        <v>4</v>
      </c>
      <c r="F38" s="50">
        <v>0</v>
      </c>
      <c r="G38" s="50">
        <v>0</v>
      </c>
      <c r="H38" s="50">
        <v>14</v>
      </c>
      <c r="I38" s="77">
        <v>212</v>
      </c>
      <c r="J38" s="78">
        <f t="shared" si="3"/>
        <v>64</v>
      </c>
      <c r="K38" s="79">
        <f t="shared" si="4"/>
        <v>0.55862068965517242</v>
      </c>
      <c r="L38" s="68">
        <f t="shared" si="5"/>
        <v>1.330188679245283E-2</v>
      </c>
      <c r="M38" s="70">
        <f>INDEX($L$34:$L$47,MATCH(Dashboard!$E$2,$K$34:$K$47,-1))</f>
        <v>3.2413793103448274E-2</v>
      </c>
    </row>
    <row r="39" spans="1:13" x14ac:dyDescent="0.25">
      <c r="A39" s="42" t="s">
        <v>74</v>
      </c>
      <c r="B39" s="50">
        <v>25</v>
      </c>
      <c r="C39" s="50">
        <v>0</v>
      </c>
      <c r="D39" s="50">
        <v>0</v>
      </c>
      <c r="E39" s="50">
        <v>7</v>
      </c>
      <c r="F39" s="50">
        <v>0</v>
      </c>
      <c r="G39" s="50">
        <v>0</v>
      </c>
      <c r="H39" s="50">
        <v>32</v>
      </c>
      <c r="I39" s="77">
        <v>249.5</v>
      </c>
      <c r="J39" s="78">
        <f t="shared" si="3"/>
        <v>96</v>
      </c>
      <c r="K39" s="79">
        <f t="shared" si="4"/>
        <v>0.33793103448275863</v>
      </c>
      <c r="L39" s="68">
        <f t="shared" si="5"/>
        <v>1.1302605210420841E-2</v>
      </c>
      <c r="M39" s="70">
        <f>INDEX($L$34:$L$47,MATCH(Dashboard!$E$2,$K$34:$K$47,-1))</f>
        <v>3.2413793103448274E-2</v>
      </c>
    </row>
    <row r="40" spans="1:13" x14ac:dyDescent="0.25">
      <c r="A40" s="42" t="s">
        <v>75</v>
      </c>
      <c r="B40" s="50">
        <v>34</v>
      </c>
      <c r="C40" s="50">
        <v>0</v>
      </c>
      <c r="D40" s="50">
        <v>0</v>
      </c>
      <c r="E40" s="50">
        <v>5</v>
      </c>
      <c r="F40" s="50">
        <v>4</v>
      </c>
      <c r="G40" s="50">
        <v>0</v>
      </c>
      <c r="H40" s="50">
        <v>46</v>
      </c>
      <c r="I40" s="77">
        <v>312</v>
      </c>
      <c r="J40" s="78">
        <f t="shared" si="3"/>
        <v>142</v>
      </c>
      <c r="K40" s="79">
        <f t="shared" si="4"/>
        <v>2.0689655172413834E-2</v>
      </c>
      <c r="L40" s="68">
        <f t="shared" si="5"/>
        <v>9.0384615384615386E-3</v>
      </c>
      <c r="M40" s="70">
        <f>INDEX($L$34:$L$47,MATCH(Dashboard!$E$2,$K$34:$K$47,-1))</f>
        <v>3.2413793103448274E-2</v>
      </c>
    </row>
    <row r="41" spans="1:13" x14ac:dyDescent="0.25">
      <c r="A41" s="42" t="s">
        <v>76</v>
      </c>
      <c r="B41" s="50">
        <v>0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77">
        <v>399.5</v>
      </c>
      <c r="J41" s="78">
        <f t="shared" si="3"/>
        <v>142</v>
      </c>
      <c r="K41" s="79">
        <f t="shared" si="4"/>
        <v>2.0689655172413834E-2</v>
      </c>
      <c r="L41" s="68">
        <f t="shared" si="5"/>
        <v>7.0588235294117641E-3</v>
      </c>
      <c r="M41" s="70">
        <f>INDEX($L$34:$L$47,MATCH(Dashboard!$E$2,$K$34:$K$47,-1))</f>
        <v>3.2413793103448274E-2</v>
      </c>
    </row>
    <row r="42" spans="1:13" x14ac:dyDescent="0.25">
      <c r="A42" s="42" t="s">
        <v>77</v>
      </c>
      <c r="B42" s="50"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3</v>
      </c>
      <c r="I42" s="77">
        <v>499.5</v>
      </c>
      <c r="J42" s="78">
        <f t="shared" si="3"/>
        <v>145</v>
      </c>
      <c r="K42" s="79">
        <f t="shared" si="4"/>
        <v>0</v>
      </c>
      <c r="L42" s="68">
        <f t="shared" si="5"/>
        <v>5.6456456456456449E-3</v>
      </c>
      <c r="M42" s="70">
        <f>INDEX($L$34:$L$47,MATCH(Dashboard!$E$2,$K$34:$K$47,-1))</f>
        <v>3.2413793103448274E-2</v>
      </c>
    </row>
    <row r="43" spans="1:13" x14ac:dyDescent="0.25">
      <c r="A43" s="42" t="s">
        <v>78</v>
      </c>
      <c r="B43" s="50">
        <v>0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77">
        <v>599.5</v>
      </c>
      <c r="J43" s="78">
        <f t="shared" si="3"/>
        <v>145</v>
      </c>
      <c r="K43" s="79">
        <f t="shared" si="4"/>
        <v>0</v>
      </c>
      <c r="L43" s="68">
        <f t="shared" si="5"/>
        <v>4.7039199332777311E-3</v>
      </c>
      <c r="M43" s="70">
        <f>INDEX($L$34:$L$47,MATCH(Dashboard!$E$2,$K$34:$K$47,-1))</f>
        <v>3.2413793103448274E-2</v>
      </c>
    </row>
    <row r="44" spans="1:13" x14ac:dyDescent="0.25">
      <c r="A44" s="42" t="s">
        <v>79</v>
      </c>
      <c r="B44" s="50">
        <v>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77">
        <v>699.5</v>
      </c>
      <c r="J44" s="78">
        <f t="shared" si="3"/>
        <v>145</v>
      </c>
      <c r="K44" s="79">
        <f t="shared" si="4"/>
        <v>0</v>
      </c>
      <c r="L44" s="68">
        <f t="shared" si="5"/>
        <v>4.0314510364546103E-3</v>
      </c>
      <c r="M44" s="70">
        <f>INDEX($L$34:$L$47,MATCH(Dashboard!$E$2,$K$34:$K$47,-1))</f>
        <v>3.2413793103448274E-2</v>
      </c>
    </row>
    <row r="45" spans="1:13" x14ac:dyDescent="0.25">
      <c r="A45" s="42" t="s">
        <v>80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77">
        <v>799.5</v>
      </c>
      <c r="J45" s="78">
        <f t="shared" si="3"/>
        <v>145</v>
      </c>
      <c r="K45" s="79">
        <f t="shared" si="4"/>
        <v>0</v>
      </c>
      <c r="L45" s="68">
        <f t="shared" si="5"/>
        <v>3.5272045028142589E-3</v>
      </c>
      <c r="M45" s="70">
        <f>INDEX($L$34:$L$47,MATCH(Dashboard!$E$2,$K$34:$K$47,-1))</f>
        <v>3.2413793103448274E-2</v>
      </c>
    </row>
    <row r="46" spans="1:13" x14ac:dyDescent="0.25">
      <c r="A46" s="42" t="s">
        <v>81</v>
      </c>
      <c r="B46" s="50">
        <v>0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77">
        <v>899.5</v>
      </c>
      <c r="J46" s="78">
        <f t="shared" si="3"/>
        <v>145</v>
      </c>
      <c r="K46" s="79">
        <f t="shared" si="4"/>
        <v>0</v>
      </c>
      <c r="L46" s="68">
        <f t="shared" si="5"/>
        <v>3.1350750416898276E-3</v>
      </c>
      <c r="M46" s="70">
        <f>INDEX($L$34:$L$47,MATCH(Dashboard!$E$2,$K$34:$K$47,-1))</f>
        <v>3.2413793103448274E-2</v>
      </c>
    </row>
    <row r="47" spans="1:13" x14ac:dyDescent="0.25">
      <c r="A47" s="42" t="s">
        <v>82</v>
      </c>
      <c r="B47" s="50">
        <v>0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77">
        <v>975</v>
      </c>
      <c r="J47" s="78">
        <f t="shared" si="3"/>
        <v>145</v>
      </c>
      <c r="K47" s="79">
        <f t="shared" si="4"/>
        <v>0</v>
      </c>
      <c r="L47" s="68">
        <f t="shared" si="5"/>
        <v>2.8923076923076923E-3</v>
      </c>
      <c r="M47" s="70">
        <f>INDEX($L$34:$L$47,MATCH(Dashboard!$E$2,$K$34:$K$47,-1))</f>
        <v>3.2413793103448274E-2</v>
      </c>
    </row>
    <row r="48" spans="1:13" x14ac:dyDescent="0.25">
      <c r="A48" s="42" t="s">
        <v>83</v>
      </c>
      <c r="B48" s="50">
        <v>0</v>
      </c>
      <c r="C48" s="50">
        <v>0</v>
      </c>
      <c r="D48" s="50">
        <v>0</v>
      </c>
      <c r="E48" s="50">
        <v>4</v>
      </c>
      <c r="F48" s="50">
        <v>16</v>
      </c>
      <c r="G48" s="50">
        <v>0</v>
      </c>
      <c r="H48" s="50">
        <v>23</v>
      </c>
      <c r="I48" s="77"/>
      <c r="J48" s="78">
        <f t="shared" si="3"/>
        <v>168</v>
      </c>
      <c r="K48" s="79"/>
      <c r="L48" s="68"/>
    </row>
    <row r="49" spans="1:8" x14ac:dyDescent="0.25">
      <c r="A49" s="42"/>
      <c r="B49" s="51"/>
      <c r="C49" s="51"/>
      <c r="D49" s="51"/>
      <c r="E49" s="51"/>
      <c r="F49" s="51"/>
      <c r="G49" s="51"/>
      <c r="H49" s="51"/>
    </row>
    <row r="50" spans="1:8" x14ac:dyDescent="0.25">
      <c r="A50" s="52" t="s">
        <v>4</v>
      </c>
      <c r="B50" s="53">
        <v>90</v>
      </c>
      <c r="C50" s="53">
        <v>9</v>
      </c>
      <c r="D50" s="53">
        <v>3</v>
      </c>
      <c r="E50" s="53">
        <v>43</v>
      </c>
      <c r="F50" s="53">
        <v>28</v>
      </c>
      <c r="G50" s="53">
        <v>0</v>
      </c>
      <c r="H50" s="53">
        <v>173</v>
      </c>
    </row>
    <row r="51" spans="1:8" x14ac:dyDescent="0.25">
      <c r="A51" s="52"/>
      <c r="B51" s="52"/>
      <c r="C51" s="54"/>
      <c r="D51" s="54"/>
      <c r="E51" s="54"/>
      <c r="F51" s="54"/>
      <c r="G51" s="54"/>
      <c r="H51" s="54"/>
    </row>
  </sheetData>
  <mergeCells count="1">
    <mergeCell ref="B29:G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E8C7B-284D-4A68-A52F-6B01853CA3A0}">
  <sheetPr codeName="Sheet2">
    <pageSetUpPr fitToPage="1"/>
  </sheetPr>
  <dimension ref="B5:H33"/>
  <sheetViews>
    <sheetView workbookViewId="0">
      <selection activeCell="H15" sqref="H15"/>
    </sheetView>
  </sheetViews>
  <sheetFormatPr defaultRowHeight="15" x14ac:dyDescent="0.25"/>
  <cols>
    <col min="2" max="2" width="5.7109375" customWidth="1"/>
    <col min="3" max="3" width="48.42578125" customWidth="1"/>
    <col min="4" max="7" width="31.42578125" customWidth="1"/>
    <col min="8" max="8" width="39" style="56" customWidth="1"/>
  </cols>
  <sheetData>
    <row r="5" spans="2:8" x14ac:dyDescent="0.25">
      <c r="C5" s="58" t="s">
        <v>87</v>
      </c>
      <c r="D5">
        <v>2337</v>
      </c>
      <c r="E5">
        <v>2338</v>
      </c>
      <c r="F5">
        <v>2336</v>
      </c>
      <c r="G5">
        <v>2329</v>
      </c>
    </row>
    <row r="6" spans="2:8" ht="30" x14ac:dyDescent="0.25">
      <c r="C6" s="58" t="s">
        <v>88</v>
      </c>
      <c r="D6" s="56" t="s">
        <v>92</v>
      </c>
      <c r="E6" s="56" t="s">
        <v>105</v>
      </c>
      <c r="F6" s="56" t="s">
        <v>106</v>
      </c>
      <c r="G6" s="56" t="s">
        <v>93</v>
      </c>
    </row>
    <row r="7" spans="2:8" ht="30" x14ac:dyDescent="0.25">
      <c r="C7" s="58" t="s">
        <v>89</v>
      </c>
      <c r="D7" s="57">
        <v>823</v>
      </c>
      <c r="E7" s="57">
        <v>59</v>
      </c>
      <c r="F7" s="57">
        <v>757</v>
      </c>
      <c r="G7" s="57">
        <v>600</v>
      </c>
      <c r="H7" s="56" t="s">
        <v>99</v>
      </c>
    </row>
    <row r="8" spans="2:8" x14ac:dyDescent="0.25">
      <c r="C8" s="58" t="s">
        <v>90</v>
      </c>
      <c r="D8" s="57">
        <v>2062</v>
      </c>
      <c r="E8" s="57">
        <v>1385</v>
      </c>
      <c r="F8" s="57">
        <v>2026</v>
      </c>
      <c r="G8" s="57">
        <v>1478</v>
      </c>
    </row>
    <row r="9" spans="2:8" x14ac:dyDescent="0.25">
      <c r="C9" s="58" t="s">
        <v>91</v>
      </c>
      <c r="D9" s="57">
        <v>1561</v>
      </c>
      <c r="E9" s="57">
        <v>1006</v>
      </c>
      <c r="F9" s="57">
        <v>1505</v>
      </c>
      <c r="G9" s="57">
        <v>1224</v>
      </c>
    </row>
    <row r="10" spans="2:8" x14ac:dyDescent="0.25">
      <c r="C10" s="58"/>
      <c r="D10" s="57"/>
      <c r="E10" s="57"/>
      <c r="F10" s="57"/>
      <c r="G10" s="57"/>
    </row>
    <row r="11" spans="2:8" ht="26.25" x14ac:dyDescent="0.4">
      <c r="B11" s="59" t="s">
        <v>100</v>
      </c>
      <c r="C11" s="58"/>
      <c r="D11" s="57"/>
      <c r="E11" s="57"/>
      <c r="F11" s="57"/>
      <c r="G11" s="57"/>
    </row>
    <row r="12" spans="2:8" ht="30" x14ac:dyDescent="0.25">
      <c r="C12" s="58" t="s">
        <v>94</v>
      </c>
      <c r="D12" s="57">
        <v>267.52999999999997</v>
      </c>
      <c r="E12" s="57">
        <v>139.37</v>
      </c>
      <c r="F12" s="57">
        <v>150.69999999999999</v>
      </c>
      <c r="G12" s="57">
        <v>147.27000000000001</v>
      </c>
      <c r="H12" s="56" t="s">
        <v>96</v>
      </c>
    </row>
    <row r="13" spans="2:8" x14ac:dyDescent="0.25">
      <c r="C13" s="58" t="s">
        <v>95</v>
      </c>
      <c r="D13" s="57">
        <f>D12/365*7</f>
        <v>5.1307123287671228</v>
      </c>
      <c r="E13" s="57">
        <f t="shared" ref="E13:G13" si="0">E12/365*7</f>
        <v>2.6728493150684933</v>
      </c>
      <c r="F13" s="57">
        <f t="shared" si="0"/>
        <v>2.8901369863013695</v>
      </c>
      <c r="G13" s="57">
        <f t="shared" si="0"/>
        <v>2.8243561643835622</v>
      </c>
    </row>
    <row r="14" spans="2:8" ht="15.75" thickBot="1" x14ac:dyDescent="0.3">
      <c r="C14" s="58"/>
      <c r="D14" s="57"/>
      <c r="E14" s="57"/>
      <c r="F14" s="57"/>
      <c r="G14" s="57"/>
    </row>
    <row r="15" spans="2:8" ht="45.75" thickBot="1" x14ac:dyDescent="0.3">
      <c r="C15" s="58" t="s">
        <v>97</v>
      </c>
      <c r="D15" s="60">
        <f>D13/D9</f>
        <v>3.2868112291909819E-3</v>
      </c>
      <c r="E15" s="61">
        <f>E13/E9</f>
        <v>2.6569078678613254E-3</v>
      </c>
      <c r="F15" s="61">
        <f t="shared" ref="F15:G15" si="1">F13/F9</f>
        <v>1.9203568015291493E-3</v>
      </c>
      <c r="G15" s="62">
        <f t="shared" si="1"/>
        <v>2.3074805264571585E-3</v>
      </c>
      <c r="H15" s="56" t="s">
        <v>107</v>
      </c>
    </row>
    <row r="16" spans="2:8" x14ac:dyDescent="0.25">
      <c r="C16" s="58"/>
      <c r="D16" s="57"/>
      <c r="E16" s="57"/>
      <c r="F16" s="57"/>
      <c r="G16" s="57"/>
    </row>
    <row r="17" spans="2:7" x14ac:dyDescent="0.25">
      <c r="C17" s="58"/>
      <c r="D17" s="57"/>
      <c r="E17" s="57"/>
      <c r="F17" s="57"/>
      <c r="G17" s="57"/>
    </row>
    <row r="18" spans="2:7" x14ac:dyDescent="0.25">
      <c r="C18" s="58" t="s">
        <v>98</v>
      </c>
      <c r="D18" s="57">
        <v>236.11</v>
      </c>
      <c r="E18" s="57">
        <v>123</v>
      </c>
      <c r="F18" s="57">
        <v>133</v>
      </c>
      <c r="G18" s="57">
        <v>129.97999999999999</v>
      </c>
    </row>
    <row r="19" spans="2:7" x14ac:dyDescent="0.25">
      <c r="C19" s="58" t="s">
        <v>95</v>
      </c>
      <c r="D19" s="57">
        <f>D18/365*7</f>
        <v>4.5281369863013703</v>
      </c>
      <c r="E19" s="57">
        <f t="shared" ref="E19" si="2">E18/365*7</f>
        <v>2.3589041095890413</v>
      </c>
      <c r="F19" s="57">
        <f t="shared" ref="F19" si="3">F18/365*7</f>
        <v>2.5506849315068494</v>
      </c>
      <c r="G19" s="57">
        <f t="shared" ref="G19" si="4">G18/365*7</f>
        <v>2.4927671232876709</v>
      </c>
    </row>
    <row r="20" spans="2:7" ht="15.75" thickBot="1" x14ac:dyDescent="0.3">
      <c r="C20" s="58"/>
      <c r="D20" s="57"/>
      <c r="E20" s="57"/>
      <c r="F20" s="57"/>
      <c r="G20" s="57"/>
    </row>
    <row r="21" spans="2:7" ht="15.75" thickBot="1" x14ac:dyDescent="0.3">
      <c r="C21" s="58" t="s">
        <v>97</v>
      </c>
      <c r="D21" s="60">
        <f>D19/D9</f>
        <v>2.900792431967566E-3</v>
      </c>
      <c r="E21" s="61">
        <f t="shared" ref="E21:G21" si="5">E19/E9</f>
        <v>2.3448350989950708E-3</v>
      </c>
      <c r="F21" s="61">
        <f t="shared" si="5"/>
        <v>1.6948072634597007E-3</v>
      </c>
      <c r="G21" s="62">
        <f t="shared" si="5"/>
        <v>2.03657444713045E-3</v>
      </c>
    </row>
    <row r="22" spans="2:7" x14ac:dyDescent="0.25">
      <c r="D22" s="57"/>
      <c r="E22" s="57"/>
      <c r="F22" s="57"/>
      <c r="G22" s="57"/>
    </row>
    <row r="23" spans="2:7" ht="26.25" x14ac:dyDescent="0.4">
      <c r="B23" s="59" t="s">
        <v>101</v>
      </c>
      <c r="D23" s="57"/>
      <c r="E23" s="57"/>
      <c r="F23" s="57"/>
      <c r="G23" s="57"/>
    </row>
    <row r="24" spans="2:7" x14ac:dyDescent="0.25">
      <c r="C24" s="58" t="s">
        <v>94</v>
      </c>
      <c r="D24" s="57">
        <v>828.88</v>
      </c>
      <c r="E24" s="57">
        <v>828.88</v>
      </c>
      <c r="F24" s="57">
        <v>828.88</v>
      </c>
      <c r="G24" s="57">
        <v>828.88</v>
      </c>
    </row>
    <row r="25" spans="2:7" x14ac:dyDescent="0.25">
      <c r="C25" s="58" t="s">
        <v>95</v>
      </c>
      <c r="D25" s="57">
        <f>D24/365*7</f>
        <v>15.896328767123288</v>
      </c>
      <c r="E25" s="57">
        <f t="shared" ref="E25" si="6">E24/365*7</f>
        <v>15.896328767123288</v>
      </c>
      <c r="F25" s="57">
        <f t="shared" ref="F25" si="7">F24/365*7</f>
        <v>15.896328767123288</v>
      </c>
      <c r="G25" s="57">
        <f t="shared" ref="G25" si="8">G24/365*7</f>
        <v>15.896328767123288</v>
      </c>
    </row>
    <row r="26" spans="2:7" ht="15.75" thickBot="1" x14ac:dyDescent="0.3">
      <c r="C26" s="58"/>
      <c r="D26" s="57"/>
      <c r="E26" s="57"/>
      <c r="F26" s="57"/>
      <c r="G26" s="57"/>
    </row>
    <row r="27" spans="2:7" ht="15.75" thickBot="1" x14ac:dyDescent="0.3">
      <c r="C27" s="58" t="s">
        <v>97</v>
      </c>
      <c r="D27" s="60">
        <f>D25/D9</f>
        <v>1.0183426500399287E-2</v>
      </c>
      <c r="E27" s="61">
        <f t="shared" ref="E27:G27" si="9">E25/E9</f>
        <v>1.5801519649227921E-2</v>
      </c>
      <c r="F27" s="61">
        <f t="shared" si="9"/>
        <v>1.0562344695762982E-2</v>
      </c>
      <c r="G27" s="62">
        <f t="shared" si="9"/>
        <v>1.2987196705166085E-2</v>
      </c>
    </row>
    <row r="28" spans="2:7" x14ac:dyDescent="0.25">
      <c r="C28" s="58"/>
      <c r="D28" s="57"/>
      <c r="E28" s="57"/>
      <c r="F28" s="57"/>
      <c r="G28" s="57"/>
    </row>
    <row r="29" spans="2:7" x14ac:dyDescent="0.25">
      <c r="C29" s="58"/>
      <c r="D29" s="57"/>
      <c r="E29" s="57"/>
      <c r="F29" s="57"/>
      <c r="G29" s="57"/>
    </row>
    <row r="30" spans="2:7" x14ac:dyDescent="0.25">
      <c r="C30" s="58" t="s">
        <v>98</v>
      </c>
      <c r="D30" s="57">
        <v>939.19</v>
      </c>
      <c r="E30" s="57">
        <v>939.19</v>
      </c>
      <c r="F30" s="57">
        <v>939.19</v>
      </c>
      <c r="G30" s="57">
        <v>939.19</v>
      </c>
    </row>
    <row r="31" spans="2:7" x14ac:dyDescent="0.25">
      <c r="C31" s="58" t="s">
        <v>95</v>
      </c>
      <c r="D31" s="57">
        <f>D30/365*7</f>
        <v>18.01186301369863</v>
      </c>
      <c r="E31" s="57">
        <f t="shared" ref="E31" si="10">E30/365*7</f>
        <v>18.01186301369863</v>
      </c>
      <c r="F31" s="57">
        <f t="shared" ref="F31" si="11">F30/365*7</f>
        <v>18.01186301369863</v>
      </c>
      <c r="G31" s="57">
        <f t="shared" ref="G31" si="12">G30/365*7</f>
        <v>18.01186301369863</v>
      </c>
    </row>
    <row r="32" spans="2:7" ht="15.75" thickBot="1" x14ac:dyDescent="0.3">
      <c r="C32" s="58"/>
      <c r="D32" s="57"/>
      <c r="E32" s="57"/>
      <c r="F32" s="57"/>
      <c r="G32" s="57"/>
    </row>
    <row r="33" spans="3:7" ht="15.75" thickBot="1" x14ac:dyDescent="0.3">
      <c r="C33" s="58" t="s">
        <v>97</v>
      </c>
      <c r="D33" s="60">
        <f>D31/D9</f>
        <v>1.1538669451440506E-2</v>
      </c>
      <c r="E33" s="61">
        <f t="shared" ref="E33:G33" si="13">E31/E9</f>
        <v>1.790443639532667E-2</v>
      </c>
      <c r="F33" s="61">
        <f t="shared" si="13"/>
        <v>1.1968015291494107E-2</v>
      </c>
      <c r="G33" s="62">
        <f t="shared" si="13"/>
        <v>1.4715574357596919E-2</v>
      </c>
    </row>
  </sheetData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06375F1995F148813EA4163FBFB2F6" ma:contentTypeVersion="13" ma:contentTypeDescription="Create a new document." ma:contentTypeScope="" ma:versionID="0b024bd6c9e8568a1dba7301d87aa822">
  <xsd:schema xmlns:xsd="http://www.w3.org/2001/XMLSchema" xmlns:xs="http://www.w3.org/2001/XMLSchema" xmlns:p="http://schemas.microsoft.com/office/2006/metadata/properties" xmlns:ns2="e950ad81-f6b1-47f3-be1f-8686895de846" xmlns:ns3="ec339ad2-a084-42ad-b99f-2f267629c690" targetNamespace="http://schemas.microsoft.com/office/2006/metadata/properties" ma:root="true" ma:fieldsID="7b729c681f4dc7fd26cda70b155e1f78" ns2:_="" ns3:_="">
    <xsd:import namespace="e950ad81-f6b1-47f3-be1f-8686895de846"/>
    <xsd:import namespace="ec339ad2-a084-42ad-b99f-2f267629c6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0ad81-f6b1-47f3-be1f-8686895de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1c469ee-23b7-4832-870e-4410ecd44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39ad2-a084-42ad-b99f-2f267629c69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4ca8a19-3a16-407c-bc6f-28746ca4c45f}" ma:internalName="TaxCatchAll" ma:showField="CatchAllData" ma:web="ec339ad2-a084-42ad-b99f-2f267629c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50ad81-f6b1-47f3-be1f-8686895de846">
      <Terms xmlns="http://schemas.microsoft.com/office/infopath/2007/PartnerControls"/>
    </lcf76f155ced4ddcb4097134ff3c332f>
    <TaxCatchAll xmlns="ec339ad2-a084-42ad-b99f-2f267629c690" xsi:nil="true"/>
  </documentManagement>
</p:properties>
</file>

<file path=customXml/itemProps1.xml><?xml version="1.0" encoding="utf-8"?>
<ds:datastoreItem xmlns:ds="http://schemas.openxmlformats.org/officeDocument/2006/customXml" ds:itemID="{8DE24890-1C18-4592-85E5-F4CF8E7464BF}"/>
</file>

<file path=customXml/itemProps2.xml><?xml version="1.0" encoding="utf-8"?>
<ds:datastoreItem xmlns:ds="http://schemas.openxmlformats.org/officeDocument/2006/customXml" ds:itemID="{DA603585-6040-446B-BF54-31B5136F6CB5}"/>
</file>

<file path=customXml/itemProps3.xml><?xml version="1.0" encoding="utf-8"?>
<ds:datastoreItem xmlns:ds="http://schemas.openxmlformats.org/officeDocument/2006/customXml" ds:itemID="{E12C3D3B-0107-4BF7-8EF7-B53AD1D799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salary ranges</vt:lpstr>
      <vt:lpstr>All suburbs</vt:lpstr>
      <vt:lpstr>Scone affordability</vt:lpstr>
      <vt:lpstr>Murrurundi Affordability</vt:lpstr>
      <vt:lpstr>Aberdeen Affordability</vt:lpstr>
      <vt:lpstr>Merriwa Affordability</vt:lpstr>
      <vt:lpstr>suburb medians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McDonald</dc:creator>
  <cp:lastModifiedBy>Janine McKenzie | Morrison Low</cp:lastModifiedBy>
  <cp:lastPrinted>2024-10-09T02:23:29Z</cp:lastPrinted>
  <dcterms:created xsi:type="dcterms:W3CDTF">2024-05-14T04:41:24Z</dcterms:created>
  <dcterms:modified xsi:type="dcterms:W3CDTF">2024-12-08T22:34:18Z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0x010100DE06375F1995F148813EA4163FBFB2F6</vt:lpwstr>
  </property>
  <property fmtid="{D5CDD505-2E9C-101B-9397-08002B2CF9AE}" pid="3" name="MediaServiceImageTags">
    <vt:lpwstr/>
  </property>
</Properties>
</file>