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1508F84F-6EEE-4DC8-BCD3-A249E9E5F187}"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assets'!$L$21:$R$1891</definedName>
    <definedName name="_xlnm.Print_Area" localSheetId="0">Cover!$B$1:$E$100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23" l="1"/>
  <c r="L17" i="17"/>
  <c r="L16" i="17"/>
  <c r="F6" i="19"/>
  <c r="AH90" i="19"/>
  <c r="M9" i="22"/>
  <c r="I18" i="17"/>
  <c r="O23" i="17"/>
  <c r="O24" i="17"/>
  <c r="O25" i="17"/>
  <c r="O26" i="17"/>
  <c r="O27" i="17"/>
  <c r="O28" i="17"/>
  <c r="J23" i="17"/>
  <c r="J24" i="17"/>
  <c r="J25" i="17"/>
  <c r="J26" i="17"/>
  <c r="J27" i="17"/>
  <c r="J28" i="17"/>
  <c r="E28" i="17"/>
  <c r="L18" i="17"/>
  <c r="AO11" i="19"/>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40" i="20"/>
  <c r="L39" i="20"/>
  <c r="M39" i="20"/>
  <c r="O134" i="14"/>
  <c r="E134" i="14"/>
  <c r="E30" i="17"/>
  <c r="O131" i="14"/>
  <c r="O2412" i="16"/>
  <c r="O2413" i="16"/>
  <c r="O2414" i="16"/>
  <c r="O2415" i="16"/>
  <c r="O2416" i="16"/>
  <c r="E2405" i="16"/>
  <c r="E2406" i="16"/>
  <c r="E2407" i="16"/>
  <c r="E2408" i="16"/>
  <c r="E2409" i="16"/>
  <c r="E2410" i="16"/>
  <c r="E2411" i="16"/>
  <c r="E2412" i="16"/>
  <c r="E2413" i="16"/>
  <c r="E2414" i="16"/>
  <c r="E2415" i="16"/>
  <c r="E2416" i="16"/>
  <c r="O2401" i="16"/>
  <c r="O2402" i="16"/>
  <c r="O2403" i="16"/>
  <c r="O2404" i="16"/>
  <c r="O2405" i="16"/>
  <c r="O2406" i="16"/>
  <c r="O2407" i="16"/>
  <c r="O2408" i="16"/>
  <c r="O2409" i="16"/>
  <c r="O2410" i="16"/>
  <c r="O2411" i="16"/>
  <c r="E2401" i="16"/>
  <c r="E2402" i="16"/>
  <c r="E2403" i="16"/>
  <c r="E2404" i="16"/>
  <c r="E2399" i="16"/>
  <c r="E2398" i="16"/>
  <c r="E2397" i="16"/>
  <c r="E2396" i="16"/>
  <c r="E2395" i="16"/>
  <c r="E2394" i="16"/>
  <c r="E2393" i="16"/>
  <c r="E2392" i="16"/>
  <c r="E2391" i="16"/>
  <c r="E2390" i="16"/>
  <c r="E2389" i="16"/>
  <c r="E2388" i="16"/>
  <c r="E2387" i="16"/>
  <c r="E2386" i="16"/>
  <c r="E2385" i="16"/>
  <c r="E2384" i="16"/>
  <c r="E2383" i="16"/>
  <c r="E2382" i="16"/>
  <c r="E2381" i="16"/>
  <c r="E2380" i="16"/>
  <c r="E2379" i="16"/>
  <c r="E2378" i="16"/>
  <c r="E2377" i="16"/>
  <c r="E2376" i="16"/>
  <c r="E2375" i="16"/>
  <c r="E2374" i="16"/>
  <c r="E2373" i="16"/>
  <c r="E2372" i="16"/>
  <c r="E2371" i="16"/>
  <c r="E2370" i="16"/>
  <c r="E2369" i="16"/>
  <c r="E2368" i="16"/>
  <c r="E2367" i="16"/>
  <c r="E2366" i="16"/>
  <c r="E2365" i="16"/>
  <c r="E2364" i="16"/>
  <c r="E2363" i="16"/>
  <c r="E2362" i="16"/>
  <c r="E2361" i="16"/>
  <c r="E2360" i="16"/>
  <c r="E2359" i="16"/>
  <c r="E2358" i="16"/>
  <c r="E2357" i="16"/>
  <c r="E2356" i="16"/>
  <c r="E2355" i="16"/>
  <c r="E2354" i="16"/>
  <c r="E2353" i="16"/>
  <c r="E2352" i="16"/>
  <c r="E2351" i="16"/>
  <c r="E2350" i="16"/>
  <c r="E2349" i="16"/>
  <c r="E2348" i="16"/>
  <c r="E2347" i="16"/>
  <c r="E2346" i="16"/>
  <c r="E2345" i="16"/>
  <c r="E2344" i="16"/>
  <c r="E2343" i="16"/>
  <c r="E2342" i="16"/>
  <c r="E2341" i="16"/>
  <c r="E2340" i="16"/>
  <c r="E2339" i="16"/>
  <c r="E2338" i="16"/>
  <c r="E2337" i="16"/>
  <c r="E2336" i="16"/>
  <c r="E2335" i="16"/>
  <c r="E2334" i="16"/>
  <c r="E2333" i="16"/>
  <c r="E2332" i="16"/>
  <c r="E2331" i="16"/>
  <c r="E2330" i="16"/>
  <c r="E2329" i="16"/>
  <c r="E2328" i="16"/>
  <c r="E2327" i="16"/>
  <c r="E2326" i="16"/>
  <c r="E2325" i="16"/>
  <c r="E2324" i="16"/>
  <c r="E2323" i="16"/>
  <c r="E2322" i="16"/>
  <c r="E2321" i="16"/>
  <c r="E2320" i="16"/>
  <c r="E2319" i="16"/>
  <c r="E2318" i="16"/>
  <c r="E2317" i="16"/>
  <c r="E2316" i="16"/>
  <c r="E2315" i="16"/>
  <c r="E2314" i="16"/>
  <c r="E2313" i="16"/>
  <c r="E2312" i="16"/>
  <c r="E2311" i="16"/>
  <c r="E2310" i="16"/>
  <c r="E2309" i="16"/>
  <c r="E2308" i="16"/>
  <c r="E2307" i="16"/>
  <c r="E2306" i="16"/>
  <c r="E2305" i="16"/>
  <c r="E2304" i="16"/>
  <c r="E2303" i="16"/>
  <c r="E2302" i="16"/>
  <c r="E2301" i="16"/>
  <c r="E2300" i="16"/>
  <c r="E2299" i="16"/>
  <c r="E2298" i="16"/>
  <c r="E2297" i="16"/>
  <c r="E2296" i="16"/>
  <c r="E2295" i="16"/>
  <c r="E2294" i="16"/>
  <c r="E2293" i="16"/>
  <c r="E2292" i="16"/>
  <c r="E2291" i="16"/>
  <c r="E2290" i="16"/>
  <c r="E2289" i="16"/>
  <c r="E2288" i="16"/>
  <c r="E2287" i="16"/>
  <c r="E2286" i="16"/>
  <c r="E2285" i="16"/>
  <c r="E2284" i="16"/>
  <c r="E2283" i="16"/>
  <c r="E2282" i="16"/>
  <c r="E2281" i="16"/>
  <c r="E2280" i="16"/>
  <c r="E2279" i="16"/>
  <c r="E2278" i="16"/>
  <c r="E2277" i="16"/>
  <c r="E2276" i="16"/>
  <c r="E2275" i="16"/>
  <c r="E2274" i="16"/>
  <c r="E2273" i="16"/>
  <c r="E2272" i="16"/>
  <c r="E2271" i="16"/>
  <c r="E2270" i="16"/>
  <c r="E2269" i="16"/>
  <c r="E2268" i="16"/>
  <c r="E2267" i="16"/>
  <c r="E2266" i="16"/>
  <c r="E2265" i="16"/>
  <c r="E2264" i="16"/>
  <c r="E2263" i="16"/>
  <c r="E2262" i="16"/>
  <c r="E2261" i="16"/>
  <c r="E2260" i="16"/>
  <c r="E2259" i="16"/>
  <c r="E2258" i="16"/>
  <c r="E2257" i="16"/>
  <c r="E2256" i="16"/>
  <c r="E2255" i="16"/>
  <c r="E2254" i="16"/>
  <c r="E2253" i="16"/>
  <c r="E2252" i="16"/>
  <c r="E2251" i="16"/>
  <c r="E2250" i="16"/>
  <c r="E2249" i="16"/>
  <c r="E2248" i="16"/>
  <c r="E2247" i="16"/>
  <c r="E2246" i="16"/>
  <c r="E2245" i="16"/>
  <c r="E2244" i="16"/>
  <c r="E2243" i="16"/>
  <c r="E2242" i="16"/>
  <c r="E2241" i="16"/>
  <c r="E2240" i="16"/>
  <c r="E2239" i="16"/>
  <c r="E2238" i="16"/>
  <c r="E2237" i="16"/>
  <c r="E2236" i="16"/>
  <c r="E2235" i="16"/>
  <c r="E2234" i="16"/>
  <c r="E2233" i="16"/>
  <c r="E2232" i="16"/>
  <c r="E2231" i="16"/>
  <c r="E2230" i="16"/>
  <c r="E2229" i="16"/>
  <c r="E2228" i="16"/>
  <c r="E2227" i="16"/>
  <c r="E2226" i="16"/>
  <c r="E2225" i="16"/>
  <c r="E2224" i="16"/>
  <c r="E2223" i="16"/>
  <c r="E2222" i="16"/>
  <c r="E2221" i="16"/>
  <c r="E2220" i="16"/>
  <c r="E2219" i="16"/>
  <c r="E2218" i="16"/>
  <c r="E2217" i="16"/>
  <c r="E2216" i="16"/>
  <c r="E2215" i="16"/>
  <c r="E2214" i="16"/>
  <c r="E2213" i="16"/>
  <c r="E2212" i="16"/>
  <c r="E2211" i="16"/>
  <c r="E2210" i="16"/>
  <c r="E2209" i="16"/>
  <c r="E2208" i="16"/>
  <c r="E2207" i="16"/>
  <c r="E2206" i="16"/>
  <c r="E2205" i="16"/>
  <c r="E2204" i="16"/>
  <c r="E2203" i="16"/>
  <c r="E2202" i="16"/>
  <c r="E2201" i="16"/>
  <c r="E2200" i="16"/>
  <c r="E2199" i="16"/>
  <c r="E2198" i="16"/>
  <c r="E2197" i="16"/>
  <c r="E2196" i="16"/>
  <c r="E2195" i="16"/>
  <c r="E2194" i="16"/>
  <c r="E2193" i="16"/>
  <c r="E2192" i="16"/>
  <c r="E2191" i="16"/>
  <c r="E2190" i="16"/>
  <c r="E2189" i="16"/>
  <c r="E2188" i="16"/>
  <c r="E2187" i="16"/>
  <c r="E2186" i="16"/>
  <c r="E2185" i="16"/>
  <c r="E2184" i="16"/>
  <c r="E2183" i="16"/>
  <c r="E2182" i="16"/>
  <c r="E2181" i="16"/>
  <c r="E2180" i="16"/>
  <c r="E2179" i="16"/>
  <c r="E2178" i="16"/>
  <c r="E2177" i="16"/>
  <c r="E2176" i="16"/>
  <c r="E2175" i="16"/>
  <c r="E2174" i="16"/>
  <c r="E2173" i="16"/>
  <c r="E2172" i="16"/>
  <c r="E2171" i="16"/>
  <c r="E2170" i="16"/>
  <c r="E2169" i="16"/>
  <c r="E2168" i="16"/>
  <c r="E2167" i="16"/>
  <c r="E2166" i="16"/>
  <c r="E2165" i="16"/>
  <c r="E2164" i="16"/>
  <c r="E2163" i="16"/>
  <c r="E2162" i="16"/>
  <c r="E2161" i="16"/>
  <c r="E2160" i="16"/>
  <c r="E2159" i="16"/>
  <c r="E2158" i="16"/>
  <c r="E2157" i="16"/>
  <c r="E2156" i="16"/>
  <c r="E2155" i="16"/>
  <c r="E2154" i="16"/>
  <c r="E2153" i="16"/>
  <c r="E2152" i="16"/>
  <c r="E2151" i="16"/>
  <c r="E2150" i="16"/>
  <c r="E2149" i="16"/>
  <c r="E2148" i="16"/>
  <c r="E2147" i="16"/>
  <c r="E2146" i="16"/>
  <c r="E2145" i="16"/>
  <c r="E2144" i="16"/>
  <c r="E2143" i="16"/>
  <c r="E2142" i="16"/>
  <c r="E2141" i="16"/>
  <c r="E2140" i="16"/>
  <c r="E2139" i="16"/>
  <c r="E2138" i="16"/>
  <c r="E2137" i="16"/>
  <c r="E2136" i="16"/>
  <c r="E2135" i="16"/>
  <c r="E2134" i="16"/>
  <c r="E2133" i="16"/>
  <c r="E2132" i="16"/>
  <c r="E2131" i="16"/>
  <c r="E2130" i="16"/>
  <c r="E2129" i="16"/>
  <c r="E2128" i="16"/>
  <c r="E2127" i="16"/>
  <c r="E2126" i="16"/>
  <c r="E2125" i="16"/>
  <c r="E2124" i="16"/>
  <c r="E2123" i="16"/>
  <c r="E2122" i="16"/>
  <c r="E2121" i="16"/>
  <c r="E2120" i="16"/>
  <c r="E2119" i="16"/>
  <c r="E2118" i="16"/>
  <c r="E2117" i="16"/>
  <c r="E2116" i="16"/>
  <c r="E2115" i="16"/>
  <c r="E2114" i="16"/>
  <c r="E2113" i="16"/>
  <c r="E2112" i="16"/>
  <c r="E2111" i="16"/>
  <c r="E2110" i="16"/>
  <c r="E2109" i="16"/>
  <c r="E2108" i="16"/>
  <c r="E2107" i="16"/>
  <c r="E2106" i="16"/>
  <c r="E2105" i="16"/>
  <c r="E2104" i="16"/>
  <c r="E2103" i="16"/>
  <c r="E2102" i="16"/>
  <c r="E2101" i="16"/>
  <c r="E2100" i="16"/>
  <c r="E2099" i="16"/>
  <c r="E2098" i="16"/>
  <c r="E2097" i="16"/>
  <c r="E2096" i="16"/>
  <c r="E2095" i="16"/>
  <c r="E2094" i="16"/>
  <c r="E2093" i="16"/>
  <c r="E2092" i="16"/>
  <c r="E2091" i="16"/>
  <c r="E2090" i="16"/>
  <c r="E2089" i="16"/>
  <c r="E2088" i="16"/>
  <c r="E2087" i="16"/>
  <c r="E2086" i="16"/>
  <c r="E2085" i="16"/>
  <c r="E2084" i="16"/>
  <c r="E2083" i="16"/>
  <c r="E2082" i="16"/>
  <c r="E2081" i="16"/>
  <c r="E2080" i="16"/>
  <c r="E2079" i="16"/>
  <c r="E2078" i="16"/>
  <c r="E2077" i="16"/>
  <c r="E2076" i="16"/>
  <c r="E2075" i="16"/>
  <c r="E2074" i="16"/>
  <c r="E2073" i="16"/>
  <c r="E2072" i="16"/>
  <c r="E2071" i="16"/>
  <c r="E2070" i="16"/>
  <c r="E2069" i="16"/>
  <c r="E2068" i="16"/>
  <c r="E2067" i="16"/>
  <c r="E2066" i="16"/>
  <c r="E2065" i="16"/>
  <c r="E2064" i="16"/>
  <c r="E2063" i="16"/>
  <c r="E2062" i="16"/>
  <c r="E2061" i="16"/>
  <c r="E2060" i="16"/>
  <c r="E2059" i="16"/>
  <c r="E2058" i="16"/>
  <c r="E2057" i="16"/>
  <c r="E2056" i="16"/>
  <c r="E2055" i="16"/>
  <c r="E2054" i="16"/>
  <c r="E2053" i="16"/>
  <c r="E2052" i="16"/>
  <c r="E2051" i="16"/>
  <c r="E2050" i="16"/>
  <c r="E2049" i="16"/>
  <c r="E2048" i="16"/>
  <c r="E2047" i="16"/>
  <c r="E2046" i="16"/>
  <c r="E2045" i="16"/>
  <c r="E2044" i="16"/>
  <c r="E2043" i="16"/>
  <c r="E2042" i="16"/>
  <c r="E2041" i="16"/>
  <c r="E2040" i="16"/>
  <c r="E2039" i="16"/>
  <c r="E2038" i="16"/>
  <c r="E2037" i="16"/>
  <c r="E2036" i="16"/>
  <c r="E2035" i="16"/>
  <c r="E2034" i="16"/>
  <c r="E2033" i="16"/>
  <c r="E2032" i="16"/>
  <c r="E2031" i="16"/>
  <c r="E2030" i="16"/>
  <c r="E2029" i="16"/>
  <c r="E2028" i="16"/>
  <c r="E2027" i="16"/>
  <c r="E2026" i="16"/>
  <c r="E2025" i="16"/>
  <c r="E2024" i="16"/>
  <c r="E2023" i="16"/>
  <c r="E2022" i="16"/>
  <c r="E2021" i="16"/>
  <c r="E2020" i="16"/>
  <c r="E2019" i="16"/>
  <c r="E2018" i="16"/>
  <c r="E2017" i="16"/>
  <c r="E2016" i="16"/>
  <c r="E2015" i="16"/>
  <c r="E2014" i="16"/>
  <c r="E2013" i="16"/>
  <c r="E2012" i="16"/>
  <c r="E2011" i="16"/>
  <c r="E2010" i="16"/>
  <c r="E2009" i="16"/>
  <c r="E2008" i="16"/>
  <c r="E2007" i="16"/>
  <c r="E2006" i="16"/>
  <c r="E2005" i="16"/>
  <c r="E2004" i="16"/>
  <c r="E2003" i="16"/>
  <c r="E2002" i="16"/>
  <c r="E2001" i="16"/>
  <c r="E2000" i="16"/>
  <c r="E1999" i="16"/>
  <c r="E1998" i="16"/>
  <c r="E1997" i="16"/>
  <c r="E1996" i="16"/>
  <c r="E1995" i="16"/>
  <c r="E1994" i="16"/>
  <c r="E1993" i="16"/>
  <c r="E1992" i="16"/>
  <c r="E1991" i="16"/>
  <c r="E1990" i="16"/>
  <c r="E1989" i="16"/>
  <c r="E1988" i="16"/>
  <c r="E1987" i="16"/>
  <c r="E1986" i="16"/>
  <c r="E1985" i="16"/>
  <c r="E1984" i="16"/>
  <c r="E1983" i="16"/>
  <c r="E1982" i="16"/>
  <c r="E1981" i="16"/>
  <c r="E1980" i="16"/>
  <c r="E1979" i="16"/>
  <c r="E1978" i="16"/>
  <c r="E1977" i="16"/>
  <c r="E1976" i="16"/>
  <c r="E1975" i="16"/>
  <c r="E1974" i="16"/>
  <c r="E1973" i="16"/>
  <c r="E1972" i="16"/>
  <c r="E1971" i="16"/>
  <c r="E1970" i="16"/>
  <c r="E1969" i="16"/>
  <c r="E1968" i="16"/>
  <c r="E1967" i="16"/>
  <c r="E1966" i="16"/>
  <c r="E1965" i="16"/>
  <c r="E1964" i="16"/>
  <c r="E1963" i="16"/>
  <c r="E1962" i="16"/>
  <c r="E1961" i="16"/>
  <c r="E1960" i="16"/>
  <c r="E1959" i="16"/>
  <c r="E1958" i="16"/>
  <c r="E1957" i="16"/>
  <c r="E1956" i="16"/>
  <c r="E1955" i="16"/>
  <c r="E1954" i="16"/>
  <c r="E1953" i="16"/>
  <c r="E1952" i="16"/>
  <c r="E1951" i="16"/>
  <c r="E1950" i="16"/>
  <c r="E1949" i="16"/>
  <c r="E1948" i="16"/>
  <c r="E1947" i="16"/>
  <c r="E1946" i="16"/>
  <c r="E1945" i="16"/>
  <c r="E1944" i="16"/>
  <c r="E1943" i="16"/>
  <c r="E1942" i="16"/>
  <c r="E1941" i="16"/>
  <c r="E1940" i="16"/>
  <c r="E1939" i="16"/>
  <c r="E1938" i="16"/>
  <c r="E1937" i="16"/>
  <c r="E1936" i="16"/>
  <c r="E1935" i="16"/>
  <c r="E1934" i="16"/>
  <c r="E1933" i="16"/>
  <c r="E1932" i="16"/>
  <c r="E1931" i="16"/>
  <c r="E1930" i="16"/>
  <c r="E1929" i="16"/>
  <c r="E1928" i="16"/>
  <c r="E1927" i="16"/>
  <c r="E1926" i="16"/>
  <c r="E1925" i="16"/>
  <c r="E1924" i="16"/>
  <c r="E1923" i="16"/>
  <c r="E1922" i="16"/>
  <c r="E1921" i="16"/>
  <c r="E1920" i="16"/>
  <c r="E1919" i="16"/>
  <c r="E1918" i="16"/>
  <c r="E1917" i="16"/>
  <c r="E1916" i="16"/>
  <c r="E1915" i="16"/>
  <c r="E1914" i="16"/>
  <c r="E1913" i="16"/>
  <c r="E1912" i="16"/>
  <c r="E1911" i="16"/>
  <c r="E1910" i="16"/>
  <c r="E1909" i="16"/>
  <c r="E1908" i="16"/>
  <c r="E1907" i="16"/>
  <c r="E1906" i="16"/>
  <c r="E1905" i="16"/>
  <c r="E1904" i="16"/>
  <c r="E1903" i="16"/>
  <c r="E1902" i="16"/>
  <c r="E1901" i="16"/>
  <c r="E1900" i="16"/>
  <c r="E1899" i="16"/>
  <c r="E1898" i="16"/>
  <c r="E1897" i="16"/>
  <c r="E1896" i="16"/>
  <c r="E1895" i="16"/>
  <c r="E1894" i="16"/>
  <c r="E1893" i="16"/>
  <c r="E1892" i="16"/>
  <c r="E1891" i="16"/>
  <c r="E1890" i="16"/>
  <c r="E1889" i="16"/>
  <c r="E1888" i="16"/>
  <c r="E1887" i="16"/>
  <c r="E1886" i="16"/>
  <c r="E1885" i="16"/>
  <c r="E1884" i="16"/>
  <c r="E1883" i="16"/>
  <c r="E1882" i="16"/>
  <c r="E1881" i="16"/>
  <c r="E1880" i="16"/>
  <c r="E1879" i="16"/>
  <c r="E1878" i="16"/>
  <c r="E1877" i="16"/>
  <c r="E1876" i="16"/>
  <c r="E1875" i="16"/>
  <c r="E1874" i="16"/>
  <c r="E1873" i="16"/>
  <c r="E1872" i="16"/>
  <c r="E1871" i="16"/>
  <c r="E1870" i="16"/>
  <c r="E1869" i="16"/>
  <c r="E1868" i="16"/>
  <c r="E1867" i="16"/>
  <c r="E1866" i="16"/>
  <c r="E1865" i="16"/>
  <c r="E1864" i="16"/>
  <c r="E1863" i="16"/>
  <c r="E1862" i="16"/>
  <c r="E1861" i="16"/>
  <c r="E1860" i="16"/>
  <c r="E1859" i="16"/>
  <c r="E1858" i="16"/>
  <c r="E1857" i="16"/>
  <c r="E1856" i="16"/>
  <c r="E1855" i="16"/>
  <c r="E1854" i="16"/>
  <c r="E1853" i="16"/>
  <c r="E1852" i="16"/>
  <c r="E1851" i="16"/>
  <c r="E1850" i="16"/>
  <c r="E1849" i="16"/>
  <c r="E1848" i="16"/>
  <c r="E1847" i="16"/>
  <c r="E1846" i="16"/>
  <c r="E1845" i="16"/>
  <c r="E1844" i="16"/>
  <c r="E1843" i="16"/>
  <c r="E1842" i="16"/>
  <c r="E1841" i="16"/>
  <c r="E1840" i="16"/>
  <c r="E1839" i="16"/>
  <c r="E1838" i="16"/>
  <c r="E1837" i="16"/>
  <c r="E1836" i="16"/>
  <c r="E1835" i="16"/>
  <c r="E1834" i="16"/>
  <c r="E1833" i="16"/>
  <c r="E1832" i="16"/>
  <c r="E1831" i="16"/>
  <c r="E1830" i="16"/>
  <c r="E1829" i="16"/>
  <c r="E1828" i="16"/>
  <c r="E1827" i="16"/>
  <c r="E1826" i="16"/>
  <c r="E1825" i="16"/>
  <c r="E1824" i="16"/>
  <c r="E1823" i="16"/>
  <c r="E1822" i="16"/>
  <c r="E1821" i="16"/>
  <c r="E1820" i="16"/>
  <c r="E1819" i="16"/>
  <c r="E1818" i="16"/>
  <c r="E1817" i="16"/>
  <c r="E1816" i="16"/>
  <c r="E1815" i="16"/>
  <c r="E1814" i="16"/>
  <c r="E1813" i="16"/>
  <c r="E1812" i="16"/>
  <c r="E1811" i="16"/>
  <c r="E1810" i="16"/>
  <c r="E1809" i="16"/>
  <c r="E1808" i="16"/>
  <c r="E1807" i="16"/>
  <c r="E1806" i="16"/>
  <c r="E1805" i="16"/>
  <c r="E1804" i="16"/>
  <c r="E1803" i="16"/>
  <c r="E1802" i="16"/>
  <c r="E1801" i="16"/>
  <c r="E1800" i="16"/>
  <c r="E1799" i="16"/>
  <c r="E1798" i="16"/>
  <c r="E1797" i="16"/>
  <c r="E1796" i="16"/>
  <c r="E1795" i="16"/>
  <c r="E1794" i="16"/>
  <c r="E1793" i="16"/>
  <c r="E1792" i="16"/>
  <c r="E1791" i="16"/>
  <c r="E1790" i="16"/>
  <c r="E1789" i="16"/>
  <c r="E1788" i="16"/>
  <c r="E1787" i="16"/>
  <c r="E1786" i="16"/>
  <c r="E1785" i="16"/>
  <c r="E1784" i="16"/>
  <c r="E1783" i="16"/>
  <c r="E1782" i="16"/>
  <c r="E1781" i="16"/>
  <c r="E1780" i="16"/>
  <c r="E1779" i="16"/>
  <c r="E1778" i="16"/>
  <c r="E1777" i="16"/>
  <c r="E1776" i="16"/>
  <c r="E1775" i="16"/>
  <c r="E1774" i="16"/>
  <c r="E1773" i="16"/>
  <c r="E1772" i="16"/>
  <c r="E1771" i="16"/>
  <c r="E1770" i="16"/>
  <c r="E1769" i="16"/>
  <c r="E1768" i="16"/>
  <c r="E1767" i="16"/>
  <c r="E1766" i="16"/>
  <c r="E1765" i="16"/>
  <c r="E1764" i="16"/>
  <c r="E1763" i="16"/>
  <c r="E1762" i="16"/>
  <c r="E1761" i="16"/>
  <c r="E1760" i="16"/>
  <c r="E1759" i="16"/>
  <c r="E1758" i="16"/>
  <c r="E1757" i="16"/>
  <c r="E1756" i="16"/>
  <c r="E1755" i="16"/>
  <c r="E1754" i="16"/>
  <c r="E1753" i="16"/>
  <c r="E1752" i="16"/>
  <c r="E1751" i="16"/>
  <c r="E1750" i="16"/>
  <c r="E1749" i="16"/>
  <c r="E1748" i="16"/>
  <c r="E1747" i="16"/>
  <c r="E1746" i="16"/>
  <c r="E1745" i="16"/>
  <c r="E1744" i="16"/>
  <c r="E1743" i="16"/>
  <c r="E1742" i="16"/>
  <c r="E1741" i="16"/>
  <c r="E1740" i="16"/>
  <c r="E1739" i="16"/>
  <c r="E1738" i="16"/>
  <c r="E1737" i="16"/>
  <c r="E1736" i="16"/>
  <c r="E1735" i="16"/>
  <c r="E1734" i="16"/>
  <c r="E1733" i="16"/>
  <c r="E1732" i="16"/>
  <c r="E1731" i="16"/>
  <c r="E1730" i="16"/>
  <c r="E1729" i="16"/>
  <c r="E1728" i="16"/>
  <c r="E1727" i="16"/>
  <c r="E1726" i="16"/>
  <c r="E1725" i="16"/>
  <c r="E1724" i="16"/>
  <c r="E1723" i="16"/>
  <c r="E1722" i="16"/>
  <c r="E1721" i="16"/>
  <c r="E1720" i="16"/>
  <c r="E1719" i="16"/>
  <c r="E1718" i="16"/>
  <c r="E1717" i="16"/>
  <c r="E1716" i="16"/>
  <c r="E1715" i="16"/>
  <c r="E1714" i="16"/>
  <c r="E1713" i="16"/>
  <c r="E1712" i="16"/>
  <c r="E1711" i="16"/>
  <c r="E1710" i="16"/>
  <c r="E1709" i="16"/>
  <c r="E1708" i="16"/>
  <c r="E1707" i="16"/>
  <c r="E1706" i="16"/>
  <c r="E1705" i="16"/>
  <c r="E1704" i="16"/>
  <c r="E1703" i="16"/>
  <c r="E1702" i="16"/>
  <c r="E1701" i="16"/>
  <c r="E1700" i="16"/>
  <c r="E1699" i="16"/>
  <c r="E1698" i="16"/>
  <c r="E1697" i="16"/>
  <c r="E1696" i="16"/>
  <c r="E1695" i="16"/>
  <c r="E1694" i="16"/>
  <c r="E1693" i="16"/>
  <c r="E1692" i="16"/>
  <c r="E1691" i="16"/>
  <c r="E1690" i="16"/>
  <c r="E1689" i="16"/>
  <c r="E1688" i="16"/>
  <c r="E1687" i="16"/>
  <c r="E1686" i="16"/>
  <c r="E1685" i="16"/>
  <c r="E1684" i="16"/>
  <c r="E1683" i="16"/>
  <c r="E1682" i="16"/>
  <c r="E1681" i="16"/>
  <c r="E1680" i="16"/>
  <c r="E1679" i="16"/>
  <c r="E1678" i="16"/>
  <c r="E1677" i="16"/>
  <c r="E1676" i="16"/>
  <c r="E1675" i="16"/>
  <c r="E1674" i="16"/>
  <c r="E1673" i="16"/>
  <c r="E1672" i="16"/>
  <c r="E1671" i="16"/>
  <c r="E1670" i="16"/>
  <c r="E1669" i="16"/>
  <c r="E1668" i="16"/>
  <c r="E1667" i="16"/>
  <c r="E1666" i="16"/>
  <c r="E1665" i="16"/>
  <c r="E1664" i="16"/>
  <c r="E1663" i="16"/>
  <c r="E1662" i="16"/>
  <c r="E1661" i="16"/>
  <c r="E1660" i="16"/>
  <c r="E1659" i="16"/>
  <c r="E1658" i="16"/>
  <c r="E1657" i="16"/>
  <c r="E1656" i="16"/>
  <c r="E1655" i="16"/>
  <c r="E1654" i="16"/>
  <c r="E1653" i="16"/>
  <c r="E1652" i="16"/>
  <c r="E1651" i="16"/>
  <c r="E1650" i="16"/>
  <c r="E1649" i="16"/>
  <c r="E1648" i="16"/>
  <c r="E1647" i="16"/>
  <c r="E1646" i="16"/>
  <c r="E1645" i="16"/>
  <c r="E1644" i="16"/>
  <c r="E1643" i="16"/>
  <c r="E1642" i="16"/>
  <c r="E1641" i="16"/>
  <c r="E1640" i="16"/>
  <c r="E1639" i="16"/>
  <c r="E1638" i="16"/>
  <c r="E1637" i="16"/>
  <c r="E1636" i="16"/>
  <c r="E1635" i="16"/>
  <c r="E1634" i="16"/>
  <c r="E1633" i="16"/>
  <c r="E1632" i="16"/>
  <c r="E1631" i="16"/>
  <c r="E1630" i="16"/>
  <c r="E1629" i="16"/>
  <c r="E1628" i="16"/>
  <c r="E1627" i="16"/>
  <c r="E1626" i="16"/>
  <c r="E1625" i="16"/>
  <c r="E1624" i="16"/>
  <c r="E1623" i="16"/>
  <c r="E1622" i="16"/>
  <c r="E1621" i="16"/>
  <c r="E1620" i="16"/>
  <c r="E1619" i="16"/>
  <c r="E1618" i="16"/>
  <c r="E1617" i="16"/>
  <c r="E1616" i="16"/>
  <c r="E1615" i="16"/>
  <c r="E1614" i="16"/>
  <c r="E1613" i="16"/>
  <c r="E1612" i="16"/>
  <c r="E1611" i="16"/>
  <c r="E1610" i="16"/>
  <c r="E1609" i="16"/>
  <c r="E1608" i="16"/>
  <c r="E1607" i="16"/>
  <c r="E1606" i="16"/>
  <c r="E1605" i="16"/>
  <c r="E1604" i="16"/>
  <c r="E1603" i="16"/>
  <c r="E1602" i="16"/>
  <c r="E1601" i="16"/>
  <c r="E1600" i="16"/>
  <c r="E1599" i="16"/>
  <c r="E1598" i="16"/>
  <c r="E1597" i="16"/>
  <c r="E1596" i="16"/>
  <c r="E1595" i="16"/>
  <c r="E1594" i="16"/>
  <c r="E1593" i="16"/>
  <c r="E1592" i="16"/>
  <c r="E1591" i="16"/>
  <c r="E1590" i="16"/>
  <c r="E1589" i="16"/>
  <c r="E1588" i="16"/>
  <c r="E1587" i="16"/>
  <c r="E1586" i="16"/>
  <c r="E1585" i="16"/>
  <c r="E1584" i="16"/>
  <c r="E1583" i="16"/>
  <c r="E1582" i="16"/>
  <c r="E1581" i="16"/>
  <c r="E1580" i="16"/>
  <c r="E1579" i="16"/>
  <c r="E1578" i="16"/>
  <c r="E1577" i="16"/>
  <c r="E1576" i="16"/>
  <c r="E1575" i="16"/>
  <c r="E1574" i="16"/>
  <c r="E1573" i="16"/>
  <c r="E1572" i="16"/>
  <c r="E1571" i="16"/>
  <c r="E1570" i="16"/>
  <c r="E1569" i="16"/>
  <c r="E1568" i="16"/>
  <c r="E1567" i="16"/>
  <c r="E1566" i="16"/>
  <c r="E1565" i="16"/>
  <c r="E1564" i="16"/>
  <c r="E1563" i="16"/>
  <c r="E1562" i="16"/>
  <c r="E1561" i="16"/>
  <c r="E1560" i="16"/>
  <c r="E1559" i="16"/>
  <c r="E1558" i="16"/>
  <c r="E1557" i="16"/>
  <c r="E1556" i="16"/>
  <c r="E1555" i="16"/>
  <c r="E1554" i="16"/>
  <c r="E1553" i="16"/>
  <c r="E1552" i="16"/>
  <c r="E1551" i="16"/>
  <c r="E1550" i="16"/>
  <c r="E1549" i="16"/>
  <c r="E1548" i="16"/>
  <c r="E1547" i="16"/>
  <c r="E1546" i="16"/>
  <c r="E1545" i="16"/>
  <c r="E1544" i="16"/>
  <c r="E1543" i="16"/>
  <c r="E1542" i="16"/>
  <c r="E1541" i="16"/>
  <c r="E1540" i="16"/>
  <c r="E1539" i="16"/>
  <c r="E1538" i="16"/>
  <c r="E1537" i="16"/>
  <c r="E1536" i="16"/>
  <c r="E1535" i="16"/>
  <c r="E1534" i="16"/>
  <c r="E1533" i="16"/>
  <c r="E1532" i="16"/>
  <c r="E1531" i="16"/>
  <c r="E1530" i="16"/>
  <c r="E1529" i="16"/>
  <c r="E1528" i="16"/>
  <c r="E1527" i="16"/>
  <c r="E1526" i="16"/>
  <c r="E1525" i="16"/>
  <c r="E1524" i="16"/>
  <c r="E1523" i="16"/>
  <c r="E1522" i="16"/>
  <c r="E1521" i="16"/>
  <c r="E1520" i="16"/>
  <c r="E1519" i="16"/>
  <c r="E1518" i="16"/>
  <c r="E1517" i="16"/>
  <c r="E1516" i="16"/>
  <c r="E1515" i="16"/>
  <c r="E1514" i="16"/>
  <c r="E1513" i="16"/>
  <c r="E1512" i="16"/>
  <c r="E1511" i="16"/>
  <c r="E1510" i="16"/>
  <c r="E1509" i="16"/>
  <c r="E1508" i="16"/>
  <c r="E1507" i="16"/>
  <c r="E1506" i="16"/>
  <c r="E1505" i="16"/>
  <c r="E1504" i="16"/>
  <c r="E1503" i="16"/>
  <c r="E1502" i="16"/>
  <c r="E1501" i="16"/>
  <c r="E1500" i="16"/>
  <c r="E1499" i="16"/>
  <c r="E1498" i="16"/>
  <c r="E1497" i="16"/>
  <c r="E1496" i="16"/>
  <c r="E1495" i="16"/>
  <c r="E1494" i="16"/>
  <c r="E1493" i="16"/>
  <c r="E1492" i="16"/>
  <c r="E1491" i="16"/>
  <c r="E1490" i="16"/>
  <c r="E1489" i="16"/>
  <c r="E1488" i="16"/>
  <c r="E1487" i="16"/>
  <c r="E1486" i="16"/>
  <c r="E1485" i="16"/>
  <c r="E1484" i="16"/>
  <c r="E1483" i="16"/>
  <c r="E1482" i="16"/>
  <c r="E1481" i="16"/>
  <c r="E1480" i="16"/>
  <c r="E1479" i="16"/>
  <c r="E1478" i="16"/>
  <c r="E1477" i="16"/>
  <c r="E1476" i="16"/>
  <c r="E1475" i="16"/>
  <c r="E1474" i="16"/>
  <c r="E1473" i="16"/>
  <c r="E1472" i="16"/>
  <c r="E1471" i="16"/>
  <c r="E1470" i="16"/>
  <c r="E1469" i="16"/>
  <c r="E1468" i="16"/>
  <c r="E1467" i="16"/>
  <c r="E1466" i="16"/>
  <c r="E1465" i="16"/>
  <c r="E1464" i="16"/>
  <c r="E1463" i="16"/>
  <c r="E1462" i="16"/>
  <c r="E1461" i="16"/>
  <c r="E1460" i="16"/>
  <c r="E1459" i="16"/>
  <c r="E1458" i="16"/>
  <c r="E1457" i="16"/>
  <c r="E1456" i="16"/>
  <c r="E1455" i="16"/>
  <c r="E1454" i="16"/>
  <c r="E1453" i="16"/>
  <c r="E1452" i="16"/>
  <c r="E1451" i="16"/>
  <c r="E1450" i="16"/>
  <c r="E1449" i="16"/>
  <c r="E1448" i="16"/>
  <c r="E1447" i="16"/>
  <c r="E1446" i="16"/>
  <c r="E1445" i="16"/>
  <c r="E1444" i="16"/>
  <c r="E1443" i="16"/>
  <c r="E1442" i="16"/>
  <c r="E1441" i="16"/>
  <c r="E1440" i="16"/>
  <c r="E1439" i="16"/>
  <c r="E1438" i="16"/>
  <c r="E1437" i="16"/>
  <c r="E1436" i="16"/>
  <c r="E1435" i="16"/>
  <c r="E1434" i="16"/>
  <c r="E1433" i="16"/>
  <c r="E1432" i="16"/>
  <c r="E1431" i="16"/>
  <c r="E1430" i="16"/>
  <c r="E1429" i="16"/>
  <c r="E1428" i="16"/>
  <c r="E1427" i="16"/>
  <c r="E1426" i="16"/>
  <c r="E1425" i="16"/>
  <c r="E1424" i="16"/>
  <c r="E1423" i="16"/>
  <c r="E1422" i="16"/>
  <c r="E1421" i="16"/>
  <c r="E1420" i="16"/>
  <c r="E1419" i="16"/>
  <c r="E1418" i="16"/>
  <c r="E1417" i="16"/>
  <c r="E1416" i="16"/>
  <c r="E1415" i="16"/>
  <c r="E1414" i="16"/>
  <c r="E1413" i="16"/>
  <c r="E1412" i="16"/>
  <c r="E1411" i="16"/>
  <c r="E1410" i="16"/>
  <c r="E1409" i="16"/>
  <c r="E1408" i="16"/>
  <c r="E1407" i="16"/>
  <c r="E1406" i="16"/>
  <c r="E1405" i="16"/>
  <c r="E1404" i="16"/>
  <c r="E1403" i="16"/>
  <c r="E1402" i="16"/>
  <c r="E1401" i="16"/>
  <c r="E1400" i="16"/>
  <c r="E1399" i="16"/>
  <c r="E1398" i="16"/>
  <c r="E1397" i="16"/>
  <c r="E1396" i="16"/>
  <c r="E1395" i="16"/>
  <c r="E1394" i="16"/>
  <c r="E1393" i="16"/>
  <c r="E1392" i="16"/>
  <c r="E1391" i="16"/>
  <c r="E1390" i="16"/>
  <c r="E1389" i="16"/>
  <c r="E1388" i="16"/>
  <c r="E1387" i="16"/>
  <c r="E1386" i="16"/>
  <c r="E1385" i="16"/>
  <c r="E1384" i="16"/>
  <c r="E1383" i="16"/>
  <c r="E1382" i="16"/>
  <c r="E1381" i="16"/>
  <c r="E1380" i="16"/>
  <c r="E1379" i="16"/>
  <c r="E1378" i="16"/>
  <c r="E1377" i="16"/>
  <c r="E1376" i="16"/>
  <c r="E1375" i="16"/>
  <c r="E1374" i="16"/>
  <c r="E1373" i="16"/>
  <c r="E1372" i="16"/>
  <c r="E1371" i="16"/>
  <c r="E1370" i="16"/>
  <c r="E1369" i="16"/>
  <c r="E1368" i="16"/>
  <c r="E1367" i="16"/>
  <c r="E1366" i="16"/>
  <c r="E1365" i="16"/>
  <c r="E1364" i="16"/>
  <c r="E1363" i="16"/>
  <c r="E1362" i="16"/>
  <c r="E1361" i="16"/>
  <c r="E1360" i="16"/>
  <c r="E1359" i="16"/>
  <c r="E1358" i="16"/>
  <c r="E1357" i="16"/>
  <c r="E1356" i="16"/>
  <c r="E1355" i="16"/>
  <c r="E1354" i="16"/>
  <c r="E1353" i="16"/>
  <c r="E1352" i="16"/>
  <c r="E1351" i="16"/>
  <c r="E1350" i="16"/>
  <c r="E1349" i="16"/>
  <c r="E1348" i="16"/>
  <c r="E1347" i="16"/>
  <c r="E1346" i="16"/>
  <c r="E1345" i="16"/>
  <c r="E1344" i="16"/>
  <c r="E1343" i="16"/>
  <c r="E1342" i="16"/>
  <c r="E1341" i="16"/>
  <c r="E1340" i="16"/>
  <c r="E1339" i="16"/>
  <c r="E1338" i="16"/>
  <c r="E1337" i="16"/>
  <c r="E1336" i="16"/>
  <c r="E1335" i="16"/>
  <c r="E1334" i="16"/>
  <c r="E1333" i="16"/>
  <c r="E1332" i="16"/>
  <c r="E1331" i="16"/>
  <c r="E1330" i="16"/>
  <c r="E1329" i="16"/>
  <c r="E1328" i="16"/>
  <c r="E1327" i="16"/>
  <c r="E1326" i="16"/>
  <c r="E1325" i="16"/>
  <c r="E1324" i="16"/>
  <c r="E1323" i="16"/>
  <c r="E1322" i="16"/>
  <c r="E1321" i="16"/>
  <c r="E1320" i="16"/>
  <c r="E1319" i="16"/>
  <c r="E1318" i="16"/>
  <c r="E1317" i="16"/>
  <c r="E1316" i="16"/>
  <c r="E1315" i="16"/>
  <c r="E1314" i="16"/>
  <c r="E1313" i="16"/>
  <c r="E1312" i="16"/>
  <c r="E1311" i="16"/>
  <c r="E1310" i="16"/>
  <c r="E1309" i="16"/>
  <c r="E1308" i="16"/>
  <c r="E1307" i="16"/>
  <c r="E1306" i="16"/>
  <c r="E1305" i="16"/>
  <c r="E1304" i="16"/>
  <c r="E1303" i="16"/>
  <c r="E1302" i="16"/>
  <c r="E1301" i="16"/>
  <c r="E1300" i="16"/>
  <c r="E1299" i="16"/>
  <c r="E1298" i="16"/>
  <c r="E1297" i="16"/>
  <c r="E1296" i="16"/>
  <c r="E1295" i="16"/>
  <c r="E1294" i="16"/>
  <c r="E1293" i="16"/>
  <c r="E1292" i="16"/>
  <c r="E1291" i="16"/>
  <c r="E1290" i="16"/>
  <c r="E1289" i="16"/>
  <c r="E1288" i="16"/>
  <c r="E1287" i="16"/>
  <c r="E1286" i="16"/>
  <c r="E1285" i="16"/>
  <c r="E1284" i="16"/>
  <c r="E1283" i="16"/>
  <c r="E1282" i="16"/>
  <c r="E1281" i="16"/>
  <c r="E1280" i="16"/>
  <c r="E1279" i="16"/>
  <c r="E1278" i="16"/>
  <c r="E1277" i="16"/>
  <c r="E1276" i="16"/>
  <c r="E1275" i="16"/>
  <c r="E1274" i="16"/>
  <c r="E1273" i="16"/>
  <c r="E1272" i="16"/>
  <c r="E1271" i="16"/>
  <c r="E1270" i="16"/>
  <c r="E1269" i="16"/>
  <c r="E1268" i="16"/>
  <c r="E1267" i="16"/>
  <c r="E1266" i="16"/>
  <c r="E1265" i="16"/>
  <c r="E1264" i="16"/>
  <c r="E1263" i="16"/>
  <c r="E1262" i="16"/>
  <c r="E1261" i="16"/>
  <c r="E1260" i="16"/>
  <c r="E1259" i="16"/>
  <c r="E1258" i="16"/>
  <c r="E1257" i="16"/>
  <c r="E1256" i="16"/>
  <c r="E1255" i="16"/>
  <c r="E1254" i="16"/>
  <c r="E1253" i="16"/>
  <c r="E1252" i="16"/>
  <c r="E1251" i="16"/>
  <c r="E1250" i="16"/>
  <c r="E1249" i="16"/>
  <c r="E1248" i="16"/>
  <c r="E1247" i="16"/>
  <c r="E1246" i="16"/>
  <c r="E1245" i="16"/>
  <c r="E1244" i="16"/>
  <c r="E1243" i="16"/>
  <c r="E1242" i="16"/>
  <c r="E1241" i="16"/>
  <c r="E1240" i="16"/>
  <c r="E1239" i="16"/>
  <c r="E1238" i="16"/>
  <c r="E1237" i="16"/>
  <c r="E1236" i="16"/>
  <c r="E1235" i="16"/>
  <c r="E1234" i="16"/>
  <c r="E1233" i="16"/>
  <c r="E1232" i="16"/>
  <c r="E1231" i="16"/>
  <c r="E1230" i="16"/>
  <c r="E1229" i="16"/>
  <c r="E1228" i="16"/>
  <c r="E1227" i="16"/>
  <c r="E1226" i="16"/>
  <c r="E1225" i="16"/>
  <c r="E1224" i="16"/>
  <c r="E1223" i="16"/>
  <c r="E1222" i="16"/>
  <c r="E1221" i="16"/>
  <c r="E1220" i="16"/>
  <c r="E1219" i="16"/>
  <c r="E1218" i="16"/>
  <c r="E1217" i="16"/>
  <c r="E1216" i="16"/>
  <c r="E1215" i="16"/>
  <c r="E1214" i="16"/>
  <c r="E1213" i="16"/>
  <c r="E1212" i="16"/>
  <c r="E1211" i="16"/>
  <c r="E1210" i="16"/>
  <c r="E1209" i="16"/>
  <c r="E1208" i="16"/>
  <c r="E1207" i="16"/>
  <c r="E1206" i="16"/>
  <c r="E1205" i="16"/>
  <c r="E1204" i="16"/>
  <c r="E1203" i="16"/>
  <c r="E1202" i="16"/>
  <c r="E1201" i="16"/>
  <c r="E1200" i="16"/>
  <c r="E1199" i="16"/>
  <c r="E1198" i="16"/>
  <c r="E1197" i="16"/>
  <c r="E1196" i="16"/>
  <c r="E1195" i="16"/>
  <c r="E1194" i="16"/>
  <c r="E1193" i="16"/>
  <c r="E1192" i="16"/>
  <c r="E1191" i="16"/>
  <c r="E1190" i="16"/>
  <c r="E1189" i="16"/>
  <c r="E1188" i="16"/>
  <c r="E1187" i="16"/>
  <c r="E1186" i="16"/>
  <c r="E1185" i="16"/>
  <c r="E1184" i="16"/>
  <c r="E1183" i="16"/>
  <c r="E1182" i="16"/>
  <c r="E1181" i="16"/>
  <c r="E1180" i="16"/>
  <c r="E1179" i="16"/>
  <c r="E1178" i="16"/>
  <c r="E1177" i="16"/>
  <c r="E1176" i="16"/>
  <c r="E1175" i="16"/>
  <c r="E1174" i="16"/>
  <c r="E1173" i="16"/>
  <c r="E1172" i="16"/>
  <c r="E1171" i="16"/>
  <c r="E1170" i="16"/>
  <c r="E1169" i="16"/>
  <c r="E1168" i="16"/>
  <c r="E1167" i="16"/>
  <c r="E1166" i="16"/>
  <c r="E1165" i="16"/>
  <c r="E1164" i="16"/>
  <c r="E1163" i="16"/>
  <c r="E1162" i="16"/>
  <c r="E1161" i="16"/>
  <c r="E1160" i="16"/>
  <c r="E1159" i="16"/>
  <c r="E1158" i="16"/>
  <c r="E1157" i="16"/>
  <c r="E1156" i="16"/>
  <c r="E1155" i="16"/>
  <c r="E1154" i="16"/>
  <c r="E1153" i="16"/>
  <c r="E1152" i="16"/>
  <c r="E1151" i="16"/>
  <c r="E1150" i="16"/>
  <c r="E1149" i="16"/>
  <c r="E1148" i="16"/>
  <c r="E1147" i="16"/>
  <c r="E1146" i="16"/>
  <c r="E1145" i="16"/>
  <c r="E1144" i="16"/>
  <c r="E1143" i="16"/>
  <c r="E1142" i="16"/>
  <c r="E1141" i="16"/>
  <c r="E1140" i="16"/>
  <c r="E1139" i="16"/>
  <c r="E1138" i="16"/>
  <c r="E1137" i="16"/>
  <c r="E1136" i="16"/>
  <c r="E1135" i="16"/>
  <c r="E1134" i="16"/>
  <c r="E1133" i="16"/>
  <c r="E1132" i="16"/>
  <c r="E1131" i="16"/>
  <c r="E1130" i="16"/>
  <c r="E1129" i="16"/>
  <c r="E1128" i="16"/>
  <c r="E1127" i="16"/>
  <c r="E1126" i="16"/>
  <c r="E1125" i="16"/>
  <c r="E1124" i="16"/>
  <c r="E1123" i="16"/>
  <c r="E1122" i="16"/>
  <c r="E1121" i="16"/>
  <c r="E1120" i="16"/>
  <c r="E1119" i="16"/>
  <c r="E1118" i="16"/>
  <c r="E1117" i="16"/>
  <c r="E1116" i="16"/>
  <c r="E1115" i="16"/>
  <c r="E1114" i="16"/>
  <c r="E1113" i="16"/>
  <c r="E1112" i="16"/>
  <c r="E1111" i="16"/>
  <c r="E1110" i="16"/>
  <c r="E1109" i="16"/>
  <c r="E1108" i="16"/>
  <c r="E1107" i="16"/>
  <c r="E1106" i="16"/>
  <c r="E1105" i="16"/>
  <c r="E1104" i="16"/>
  <c r="E1103" i="16"/>
  <c r="E1102" i="16"/>
  <c r="E1101" i="16"/>
  <c r="E1100" i="16"/>
  <c r="E1099" i="16"/>
  <c r="E1098" i="16"/>
  <c r="E1097" i="16"/>
  <c r="E1096" i="16"/>
  <c r="E1095" i="16"/>
  <c r="E1094" i="16"/>
  <c r="E1093" i="16"/>
  <c r="E1092" i="16"/>
  <c r="E1091" i="16"/>
  <c r="E1090" i="16"/>
  <c r="E1089" i="16"/>
  <c r="E1088" i="16"/>
  <c r="E1087" i="16"/>
  <c r="E1086" i="16"/>
  <c r="E1085" i="16"/>
  <c r="E1084" i="16"/>
  <c r="E1083" i="16"/>
  <c r="E1082" i="16"/>
  <c r="E1081" i="16"/>
  <c r="E1080" i="16"/>
  <c r="E1079" i="16"/>
  <c r="E1078" i="16"/>
  <c r="E1077" i="16"/>
  <c r="E1076" i="16"/>
  <c r="E1075" i="16"/>
  <c r="E1074" i="16"/>
  <c r="E1073" i="16"/>
  <c r="E1072" i="16"/>
  <c r="E1071" i="16"/>
  <c r="E1070" i="16"/>
  <c r="E1069" i="16"/>
  <c r="E1068" i="16"/>
  <c r="E1067" i="16"/>
  <c r="E1066" i="16"/>
  <c r="E1065" i="16"/>
  <c r="E1064" i="16"/>
  <c r="E1063" i="16"/>
  <c r="E1062" i="16"/>
  <c r="E1061" i="16"/>
  <c r="E1060" i="16"/>
  <c r="E1059" i="16"/>
  <c r="E1058" i="16"/>
  <c r="E1057" i="16"/>
  <c r="E1056" i="16"/>
  <c r="E1055" i="16"/>
  <c r="E1054" i="16"/>
  <c r="E1053" i="16"/>
  <c r="E1052" i="16"/>
  <c r="E1051" i="16"/>
  <c r="E1050" i="16"/>
  <c r="E1049" i="16"/>
  <c r="E1048" i="16"/>
  <c r="E1047" i="16"/>
  <c r="E1046" i="16"/>
  <c r="E1045" i="16"/>
  <c r="E1044" i="16"/>
  <c r="E1043" i="16"/>
  <c r="E1042" i="16"/>
  <c r="E1041" i="16"/>
  <c r="E1040" i="16"/>
  <c r="E1039" i="16"/>
  <c r="E1038" i="16"/>
  <c r="E1037" i="16"/>
  <c r="E1036" i="16"/>
  <c r="E1035" i="16"/>
  <c r="E1034" i="16"/>
  <c r="E1033" i="16"/>
  <c r="E1032" i="16"/>
  <c r="E1031" i="16"/>
  <c r="E1030" i="16"/>
  <c r="E1029" i="16"/>
  <c r="E1028" i="16"/>
  <c r="E1027" i="16"/>
  <c r="E1026" i="16"/>
  <c r="E1025" i="16"/>
  <c r="E1024" i="16"/>
  <c r="E1023" i="16"/>
  <c r="E1022" i="16"/>
  <c r="E1021" i="16"/>
  <c r="E1020" i="16"/>
  <c r="E1019" i="16"/>
  <c r="E1018" i="16"/>
  <c r="E1017" i="16"/>
  <c r="E1016" i="16"/>
  <c r="E1015" i="16"/>
  <c r="E1014" i="16"/>
  <c r="E1013" i="16"/>
  <c r="E1012" i="16"/>
  <c r="E1011" i="16"/>
  <c r="E1010" i="16"/>
  <c r="E1009" i="16"/>
  <c r="E1008" i="16"/>
  <c r="E1007" i="16"/>
  <c r="E1006" i="16"/>
  <c r="E1005" i="16"/>
  <c r="E1004" i="16"/>
  <c r="E1003" i="16"/>
  <c r="E1002" i="16"/>
  <c r="E1001" i="16"/>
  <c r="E1000" i="16"/>
  <c r="E999" i="16"/>
  <c r="E998" i="16"/>
  <c r="E997" i="16"/>
  <c r="E996" i="16"/>
  <c r="E995" i="16"/>
  <c r="E994" i="16"/>
  <c r="E993" i="16"/>
  <c r="E992" i="16"/>
  <c r="E991" i="16"/>
  <c r="E990" i="16"/>
  <c r="E989" i="16"/>
  <c r="E988" i="16"/>
  <c r="E987" i="16"/>
  <c r="E986" i="16"/>
  <c r="E985" i="16"/>
  <c r="E984" i="16"/>
  <c r="E983" i="16"/>
  <c r="E982" i="16"/>
  <c r="E981" i="16"/>
  <c r="E980" i="16"/>
  <c r="E979" i="16"/>
  <c r="E978" i="16"/>
  <c r="E977" i="16"/>
  <c r="E976" i="16"/>
  <c r="E975" i="16"/>
  <c r="E974" i="16"/>
  <c r="E973" i="16"/>
  <c r="E972" i="16"/>
  <c r="E971" i="16"/>
  <c r="E970" i="16"/>
  <c r="E969" i="16"/>
  <c r="E968" i="16"/>
  <c r="E967" i="16"/>
  <c r="E966" i="16"/>
  <c r="E965" i="16"/>
  <c r="E964" i="16"/>
  <c r="E963" i="16"/>
  <c r="E962" i="16"/>
  <c r="E961" i="16"/>
  <c r="E960" i="16"/>
  <c r="E959" i="16"/>
  <c r="E958" i="16"/>
  <c r="E957" i="16"/>
  <c r="E956" i="16"/>
  <c r="E955" i="16"/>
  <c r="E954" i="16"/>
  <c r="E953" i="16"/>
  <c r="E952" i="16"/>
  <c r="E951" i="16"/>
  <c r="E950" i="16"/>
  <c r="E949" i="16"/>
  <c r="E948" i="16"/>
  <c r="E947" i="16"/>
  <c r="E946" i="16"/>
  <c r="E945" i="16"/>
  <c r="E944" i="16"/>
  <c r="E943" i="16"/>
  <c r="E942" i="16"/>
  <c r="E941" i="16"/>
  <c r="E940" i="16"/>
  <c r="E939" i="16"/>
  <c r="E938" i="16"/>
  <c r="E937" i="16"/>
  <c r="E936" i="16"/>
  <c r="E935" i="16"/>
  <c r="E934" i="16"/>
  <c r="E933" i="16"/>
  <c r="E932" i="16"/>
  <c r="E931" i="16"/>
  <c r="E930" i="16"/>
  <c r="E929" i="16"/>
  <c r="E928" i="16"/>
  <c r="E927" i="16"/>
  <c r="E926" i="16"/>
  <c r="E925" i="16"/>
  <c r="E924" i="16"/>
  <c r="E923" i="16"/>
  <c r="E922" i="16"/>
  <c r="E921" i="16"/>
  <c r="E920" i="16"/>
  <c r="E919" i="16"/>
  <c r="E918" i="16"/>
  <c r="E917" i="16"/>
  <c r="E916" i="16"/>
  <c r="E915" i="16"/>
  <c r="E914" i="16"/>
  <c r="E913" i="16"/>
  <c r="E912" i="16"/>
  <c r="E911" i="16"/>
  <c r="E910" i="16"/>
  <c r="E909" i="16"/>
  <c r="E908" i="16"/>
  <c r="E907" i="16"/>
  <c r="E906" i="16"/>
  <c r="E905" i="16"/>
  <c r="E904" i="16"/>
  <c r="E903" i="16"/>
  <c r="E902" i="16"/>
  <c r="E901" i="16"/>
  <c r="E900" i="16"/>
  <c r="E899" i="16"/>
  <c r="E898" i="16"/>
  <c r="E897" i="16"/>
  <c r="E896" i="16"/>
  <c r="E895" i="16"/>
  <c r="E894" i="16"/>
  <c r="E893" i="16"/>
  <c r="E892" i="16"/>
  <c r="E891" i="16"/>
  <c r="E890" i="16"/>
  <c r="E889" i="16"/>
  <c r="E888" i="16"/>
  <c r="E887" i="16"/>
  <c r="E886" i="16"/>
  <c r="E885" i="16"/>
  <c r="E884" i="16"/>
  <c r="E883" i="16"/>
  <c r="E882" i="16"/>
  <c r="E881" i="16"/>
  <c r="E880" i="16"/>
  <c r="E879" i="16"/>
  <c r="E878" i="16"/>
  <c r="E877" i="16"/>
  <c r="E876" i="16"/>
  <c r="E875" i="16"/>
  <c r="E874" i="16"/>
  <c r="E873" i="16"/>
  <c r="E872" i="16"/>
  <c r="E871" i="16"/>
  <c r="E870" i="16"/>
  <c r="E869" i="16"/>
  <c r="E868" i="16"/>
  <c r="E867" i="16"/>
  <c r="E866" i="16"/>
  <c r="E865" i="16"/>
  <c r="E864" i="16"/>
  <c r="E863" i="16"/>
  <c r="E862" i="16"/>
  <c r="E861" i="16"/>
  <c r="E860" i="16"/>
  <c r="E859" i="16"/>
  <c r="E858" i="16"/>
  <c r="E857" i="16"/>
  <c r="E856" i="16"/>
  <c r="E855" i="16"/>
  <c r="E854" i="16"/>
  <c r="E853" i="16"/>
  <c r="E852" i="16"/>
  <c r="E851" i="16"/>
  <c r="E850" i="16"/>
  <c r="E849" i="16"/>
  <c r="E848" i="16"/>
  <c r="E847" i="16"/>
  <c r="E846" i="16"/>
  <c r="E845" i="16"/>
  <c r="E844" i="16"/>
  <c r="E843" i="16"/>
  <c r="E842" i="16"/>
  <c r="E841" i="16"/>
  <c r="E840" i="16"/>
  <c r="E839" i="16"/>
  <c r="E838" i="16"/>
  <c r="E837" i="16"/>
  <c r="E836" i="16"/>
  <c r="E835" i="16"/>
  <c r="E834" i="16"/>
  <c r="E833" i="16"/>
  <c r="E832" i="16"/>
  <c r="E831" i="16"/>
  <c r="E830" i="16"/>
  <c r="E829" i="16"/>
  <c r="E828" i="16"/>
  <c r="E827" i="16"/>
  <c r="E826" i="16"/>
  <c r="E825" i="16"/>
  <c r="E824" i="16"/>
  <c r="E823" i="16"/>
  <c r="E822" i="16"/>
  <c r="E821" i="16"/>
  <c r="E820" i="16"/>
  <c r="E819" i="16"/>
  <c r="E818" i="16"/>
  <c r="E817" i="16"/>
  <c r="E816" i="16"/>
  <c r="E815" i="16"/>
  <c r="E814" i="16"/>
  <c r="E813" i="16"/>
  <c r="E812" i="16"/>
  <c r="E811" i="16"/>
  <c r="E810" i="16"/>
  <c r="E809" i="16"/>
  <c r="E808" i="16"/>
  <c r="E807" i="16"/>
  <c r="E806" i="16"/>
  <c r="E805" i="16"/>
  <c r="E804" i="16"/>
  <c r="E803" i="16"/>
  <c r="E802" i="16"/>
  <c r="E801" i="16"/>
  <c r="E800" i="16"/>
  <c r="E799" i="16"/>
  <c r="E798" i="16"/>
  <c r="E797" i="16"/>
  <c r="E796" i="16"/>
  <c r="E795" i="16"/>
  <c r="E794" i="16"/>
  <c r="E793" i="16"/>
  <c r="E792" i="16"/>
  <c r="E791" i="16"/>
  <c r="E790" i="16"/>
  <c r="E789" i="16"/>
  <c r="E788" i="16"/>
  <c r="E787" i="16"/>
  <c r="E786" i="16"/>
  <c r="E785" i="16"/>
  <c r="E784" i="16"/>
  <c r="E783" i="16"/>
  <c r="E782" i="16"/>
  <c r="E781" i="16"/>
  <c r="E780" i="16"/>
  <c r="E779" i="16"/>
  <c r="E778" i="16"/>
  <c r="E777" i="16"/>
  <c r="E776" i="16"/>
  <c r="E775" i="16"/>
  <c r="E774" i="16"/>
  <c r="E773" i="16"/>
  <c r="E772" i="16"/>
  <c r="E771" i="16"/>
  <c r="E770" i="16"/>
  <c r="E769" i="16"/>
  <c r="E768" i="16"/>
  <c r="E767" i="16"/>
  <c r="E766" i="16"/>
  <c r="E765" i="16"/>
  <c r="E764" i="16"/>
  <c r="E763" i="16"/>
  <c r="E762" i="16"/>
  <c r="E761" i="16"/>
  <c r="E760" i="16"/>
  <c r="E759" i="16"/>
  <c r="E758" i="16"/>
  <c r="E757" i="16"/>
  <c r="E756" i="16"/>
  <c r="E755" i="16"/>
  <c r="E754" i="16"/>
  <c r="E753" i="16"/>
  <c r="E752" i="16"/>
  <c r="E751" i="16"/>
  <c r="E750" i="16"/>
  <c r="E749" i="16"/>
  <c r="E748" i="16"/>
  <c r="E747" i="16"/>
  <c r="E746" i="16"/>
  <c r="E745" i="16"/>
  <c r="E744" i="16"/>
  <c r="E743" i="16"/>
  <c r="E742" i="16"/>
  <c r="E741" i="16"/>
  <c r="E740" i="16"/>
  <c r="E739" i="16"/>
  <c r="E738" i="16"/>
  <c r="E737" i="16"/>
  <c r="E736" i="16"/>
  <c r="E735" i="16"/>
  <c r="E734" i="16"/>
  <c r="E733" i="16"/>
  <c r="E732" i="16"/>
  <c r="E731" i="16"/>
  <c r="E730" i="16"/>
  <c r="E729" i="16"/>
  <c r="E728" i="16"/>
  <c r="E727" i="16"/>
  <c r="E726" i="16"/>
  <c r="E725" i="16"/>
  <c r="E724" i="16"/>
  <c r="E723" i="16"/>
  <c r="E722" i="16"/>
  <c r="E721" i="16"/>
  <c r="E720" i="16"/>
  <c r="E719" i="16"/>
  <c r="E718" i="16"/>
  <c r="E717" i="16"/>
  <c r="E716" i="16"/>
  <c r="E715" i="16"/>
  <c r="E714" i="16"/>
  <c r="E713" i="16"/>
  <c r="E712" i="16"/>
  <c r="E711" i="16"/>
  <c r="E710" i="16"/>
  <c r="E709" i="16"/>
  <c r="E708" i="16"/>
  <c r="E707" i="16"/>
  <c r="E706" i="16"/>
  <c r="E705" i="16"/>
  <c r="E704" i="16"/>
  <c r="E703" i="16"/>
  <c r="E702" i="16"/>
  <c r="E701" i="16"/>
  <c r="E700" i="16"/>
  <c r="E699" i="16"/>
  <c r="E698" i="16"/>
  <c r="E697" i="16"/>
  <c r="E696" i="16"/>
  <c r="E695" i="16"/>
  <c r="E694" i="16"/>
  <c r="E693" i="16"/>
  <c r="E692" i="16"/>
  <c r="E691" i="16"/>
  <c r="E690" i="16"/>
  <c r="E689" i="16"/>
  <c r="E688" i="16"/>
  <c r="E687" i="16"/>
  <c r="E686" i="16"/>
  <c r="E685" i="16"/>
  <c r="E684" i="16"/>
  <c r="E683" i="16"/>
  <c r="E682" i="16"/>
  <c r="E681" i="16"/>
  <c r="E680" i="16"/>
  <c r="E679" i="16"/>
  <c r="E678" i="16"/>
  <c r="E677" i="16"/>
  <c r="E676" i="16"/>
  <c r="E675" i="16"/>
  <c r="E674" i="16"/>
  <c r="E673" i="16"/>
  <c r="E672" i="16"/>
  <c r="E671" i="16"/>
  <c r="E670" i="16"/>
  <c r="E669" i="16"/>
  <c r="E668" i="16"/>
  <c r="E667" i="16"/>
  <c r="E666" i="16"/>
  <c r="E665" i="16"/>
  <c r="E664" i="16"/>
  <c r="E663" i="16"/>
  <c r="E662" i="16"/>
  <c r="E661" i="16"/>
  <c r="E660" i="16"/>
  <c r="E659" i="16"/>
  <c r="E658" i="16"/>
  <c r="E657" i="16"/>
  <c r="E656" i="16"/>
  <c r="E655" i="16"/>
  <c r="E654" i="16"/>
  <c r="E653" i="16"/>
  <c r="E652" i="16"/>
  <c r="E651" i="16"/>
  <c r="E650" i="16"/>
  <c r="E649" i="16"/>
  <c r="E648" i="16"/>
  <c r="E647" i="16"/>
  <c r="E646" i="16"/>
  <c r="E645" i="16"/>
  <c r="E644" i="16"/>
  <c r="E643" i="16"/>
  <c r="E642" i="16"/>
  <c r="E641" i="16"/>
  <c r="E640" i="16"/>
  <c r="E639" i="16"/>
  <c r="E638" i="16"/>
  <c r="E637" i="16"/>
  <c r="E636" i="16"/>
  <c r="E635" i="16"/>
  <c r="E634" i="16"/>
  <c r="E633" i="16"/>
  <c r="E632" i="16"/>
  <c r="E631" i="16"/>
  <c r="E630" i="16"/>
  <c r="E629" i="16"/>
  <c r="E628" i="16"/>
  <c r="E627" i="16"/>
  <c r="E626" i="16"/>
  <c r="E625" i="16"/>
  <c r="E624" i="16"/>
  <c r="E623" i="16"/>
  <c r="E622" i="16"/>
  <c r="E621" i="16"/>
  <c r="E620" i="16"/>
  <c r="E619" i="16"/>
  <c r="E618" i="16"/>
  <c r="E617" i="16"/>
  <c r="E616" i="16"/>
  <c r="E615" i="16"/>
  <c r="E614" i="16"/>
  <c r="E613" i="16"/>
  <c r="E612" i="16"/>
  <c r="E611" i="16"/>
  <c r="E610" i="16"/>
  <c r="E609" i="16"/>
  <c r="E608" i="16"/>
  <c r="E607" i="16"/>
  <c r="E606" i="16"/>
  <c r="E605" i="16"/>
  <c r="E604" i="16"/>
  <c r="E603" i="16"/>
  <c r="E602" i="16"/>
  <c r="E601" i="16"/>
  <c r="E600" i="16"/>
  <c r="E599" i="16"/>
  <c r="E598" i="16"/>
  <c r="E597" i="16"/>
  <c r="E596" i="16"/>
  <c r="E595" i="16"/>
  <c r="E594" i="16"/>
  <c r="E593" i="16"/>
  <c r="E592" i="16"/>
  <c r="E591" i="16"/>
  <c r="E590" i="16"/>
  <c r="E589" i="16"/>
  <c r="E588" i="16"/>
  <c r="E587" i="16"/>
  <c r="E586" i="16"/>
  <c r="E585" i="16"/>
  <c r="E584" i="16"/>
  <c r="E583" i="16"/>
  <c r="E582" i="16"/>
  <c r="E581" i="16"/>
  <c r="E580" i="16"/>
  <c r="E579" i="16"/>
  <c r="E578" i="16"/>
  <c r="E577" i="16"/>
  <c r="E576" i="16"/>
  <c r="E575" i="16"/>
  <c r="E574" i="16"/>
  <c r="E573" i="16"/>
  <c r="E572" i="16"/>
  <c r="E571" i="16"/>
  <c r="E570" i="16"/>
  <c r="E569" i="16"/>
  <c r="E568" i="16"/>
  <c r="E567" i="16"/>
  <c r="E566" i="16"/>
  <c r="E565" i="16"/>
  <c r="E564" i="16"/>
  <c r="E563" i="16"/>
  <c r="E562" i="16"/>
  <c r="E561" i="16"/>
  <c r="E560" i="16"/>
  <c r="E559" i="16"/>
  <c r="E558" i="16"/>
  <c r="E557" i="16"/>
  <c r="E556" i="16"/>
  <c r="E555" i="16"/>
  <c r="E554" i="16"/>
  <c r="E553" i="16"/>
  <c r="E552" i="16"/>
  <c r="E551" i="16"/>
  <c r="E550" i="16"/>
  <c r="E549" i="16"/>
  <c r="E548" i="16"/>
  <c r="E547" i="16"/>
  <c r="E546" i="16"/>
  <c r="E545" i="16"/>
  <c r="E544" i="16"/>
  <c r="E543" i="16"/>
  <c r="E542" i="16"/>
  <c r="E541" i="16"/>
  <c r="E540" i="16"/>
  <c r="E539" i="16"/>
  <c r="E538" i="16"/>
  <c r="E537" i="16"/>
  <c r="E536" i="16"/>
  <c r="E535" i="16"/>
  <c r="E534" i="16"/>
  <c r="E533" i="16"/>
  <c r="E532" i="16"/>
  <c r="E531" i="16"/>
  <c r="E530" i="16"/>
  <c r="E529" i="16"/>
  <c r="E528" i="16"/>
  <c r="E527" i="16"/>
  <c r="E526" i="16"/>
  <c r="E525" i="16"/>
  <c r="E524" i="16"/>
  <c r="E523" i="16"/>
  <c r="E522" i="16"/>
  <c r="E521" i="16"/>
  <c r="E520" i="16"/>
  <c r="E519" i="16"/>
  <c r="E518" i="16"/>
  <c r="E517" i="16"/>
  <c r="E516" i="16"/>
  <c r="E515" i="16"/>
  <c r="E514" i="16"/>
  <c r="E513" i="16"/>
  <c r="E512" i="16"/>
  <c r="E511" i="16"/>
  <c r="E510" i="16"/>
  <c r="E509" i="16"/>
  <c r="E508" i="16"/>
  <c r="E507" i="16"/>
  <c r="E506" i="16"/>
  <c r="E505" i="16"/>
  <c r="E504" i="16"/>
  <c r="E503" i="16"/>
  <c r="E502" i="16"/>
  <c r="E501" i="16"/>
  <c r="E500" i="16"/>
  <c r="E499" i="16"/>
  <c r="E498" i="16"/>
  <c r="E497" i="16"/>
  <c r="E496" i="16"/>
  <c r="E495" i="16"/>
  <c r="E494" i="16"/>
  <c r="E493" i="16"/>
  <c r="E492" i="16"/>
  <c r="E491" i="16"/>
  <c r="E490" i="16"/>
  <c r="E489" i="16"/>
  <c r="E488" i="16"/>
  <c r="E487" i="16"/>
  <c r="E486" i="16"/>
  <c r="E485" i="16"/>
  <c r="E484" i="16"/>
  <c r="E483" i="16"/>
  <c r="E482" i="16"/>
  <c r="E481" i="16"/>
  <c r="E480" i="16"/>
  <c r="E479" i="16"/>
  <c r="E478" i="16"/>
  <c r="E477" i="16"/>
  <c r="E476" i="16"/>
  <c r="E475" i="16"/>
  <c r="E474" i="16"/>
  <c r="E473" i="16"/>
  <c r="E472" i="16"/>
  <c r="E471" i="16"/>
  <c r="E470" i="16"/>
  <c r="E469" i="16"/>
  <c r="E468" i="16"/>
  <c r="E467" i="16"/>
  <c r="E466" i="16"/>
  <c r="E465" i="16"/>
  <c r="E464" i="16"/>
  <c r="E463" i="16"/>
  <c r="E462" i="16"/>
  <c r="E461" i="16"/>
  <c r="E460" i="16"/>
  <c r="E459" i="16"/>
  <c r="E458" i="16"/>
  <c r="E457" i="16"/>
  <c r="E456" i="16"/>
  <c r="E455" i="16"/>
  <c r="E454" i="16"/>
  <c r="E453" i="16"/>
  <c r="E452" i="16"/>
  <c r="E451" i="16"/>
  <c r="E450" i="16"/>
  <c r="E449" i="16"/>
  <c r="E448" i="16"/>
  <c r="E447" i="16"/>
  <c r="E446" i="16"/>
  <c r="E445" i="16"/>
  <c r="E444" i="16"/>
  <c r="E443" i="16"/>
  <c r="E442" i="16"/>
  <c r="E441" i="16"/>
  <c r="E440" i="16"/>
  <c r="E439" i="16"/>
  <c r="E438" i="16"/>
  <c r="E437" i="16"/>
  <c r="E436" i="16"/>
  <c r="E435" i="16"/>
  <c r="E434" i="16"/>
  <c r="E433" i="16"/>
  <c r="E432" i="16"/>
  <c r="E431" i="16"/>
  <c r="E430" i="16"/>
  <c r="E429" i="16"/>
  <c r="E428" i="16"/>
  <c r="E427" i="16"/>
  <c r="E426" i="16"/>
  <c r="E425" i="16"/>
  <c r="E424" i="16"/>
  <c r="E423" i="16"/>
  <c r="E422" i="16"/>
  <c r="E421" i="16"/>
  <c r="E420" i="16"/>
  <c r="E419" i="16"/>
  <c r="E418" i="16"/>
  <c r="E417" i="16"/>
  <c r="E416" i="16"/>
  <c r="E415" i="16"/>
  <c r="E414" i="16"/>
  <c r="E413" i="16"/>
  <c r="E412" i="16"/>
  <c r="E411"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2"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533" i="16"/>
  <c r="O534" i="16"/>
  <c r="O535" i="16"/>
  <c r="O536"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569" i="16"/>
  <c r="O570" i="16"/>
  <c r="O571" i="16"/>
  <c r="O572" i="16"/>
  <c r="O573" i="16"/>
  <c r="O574" i="16"/>
  <c r="O575" i="16"/>
  <c r="O576" i="16"/>
  <c r="O577" i="16"/>
  <c r="O578" i="16"/>
  <c r="O579" i="16"/>
  <c r="O580" i="16"/>
  <c r="O581" i="16"/>
  <c r="O582" i="16"/>
  <c r="O583" i="16"/>
  <c r="O584" i="16"/>
  <c r="O585" i="16"/>
  <c r="O586" i="16"/>
  <c r="O587" i="16"/>
  <c r="O588" i="16"/>
  <c r="O589" i="16"/>
  <c r="O590" i="16"/>
  <c r="O591" i="16"/>
  <c r="O592" i="16"/>
  <c r="O593" i="16"/>
  <c r="O594" i="16"/>
  <c r="O595" i="16"/>
  <c r="O596" i="16"/>
  <c r="O597" i="16"/>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E22" i="16"/>
  <c r="O126" i="14"/>
  <c r="O127" i="14"/>
  <c r="O128" i="14"/>
  <c r="O129" i="14"/>
  <c r="O132" i="14"/>
  <c r="E126" i="14"/>
  <c r="E127" i="14"/>
  <c r="E128" i="14"/>
  <c r="E129" i="14"/>
  <c r="E131" i="14"/>
  <c r="E132" i="14"/>
  <c r="O124" i="14"/>
  <c r="O123" i="14"/>
  <c r="O122" i="14"/>
  <c r="E122" i="14"/>
  <c r="E123" i="14"/>
  <c r="E124"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N64" i="20"/>
  <c r="O64" i="20"/>
  <c r="N63" i="20"/>
  <c r="O63" i="20"/>
  <c r="N62" i="20"/>
  <c r="O62" i="20"/>
  <c r="N61" i="20"/>
  <c r="O61" i="20"/>
  <c r="N60" i="20"/>
  <c r="O60" i="20"/>
  <c r="N59" i="20"/>
  <c r="O59" i="20"/>
  <c r="N58" i="20"/>
  <c r="O58" i="20"/>
  <c r="N57" i="20"/>
  <c r="O57" i="20"/>
  <c r="N56" i="20"/>
  <c r="O56" i="20"/>
  <c r="N55" i="20"/>
  <c r="O55" i="20"/>
  <c r="N54" i="20"/>
  <c r="O54" i="20"/>
  <c r="N53" i="20"/>
  <c r="O53" i="20"/>
  <c r="N52" i="20"/>
  <c r="O52" i="20"/>
  <c r="N51" i="20"/>
  <c r="O51" i="20"/>
  <c r="N50" i="20"/>
  <c r="O50" i="20"/>
  <c r="N49" i="20"/>
  <c r="O49" i="20"/>
  <c r="N48" i="20"/>
  <c r="O48" i="20"/>
  <c r="N47" i="20"/>
  <c r="O47" i="20"/>
  <c r="N46" i="20"/>
  <c r="O46" i="20"/>
  <c r="N45" i="20"/>
  <c r="O45" i="20"/>
  <c r="N44" i="20"/>
  <c r="O44" i="20"/>
  <c r="N43" i="20"/>
  <c r="O43" i="20"/>
  <c r="N42" i="20"/>
  <c r="O42" i="20"/>
  <c r="N41" i="20"/>
  <c r="O41" i="20"/>
  <c r="N40" i="20"/>
  <c r="O40" i="20"/>
  <c r="N39" i="20"/>
  <c r="O39" i="20"/>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23" i="16"/>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23" i="14"/>
  <c r="E22" i="14"/>
  <c r="B40" i="22"/>
  <c r="B41" i="22"/>
  <c r="B42" i="22"/>
  <c r="B43" i="22"/>
  <c r="B44" i="22"/>
  <c r="B45" i="22"/>
  <c r="B46" i="22"/>
  <c r="B47" i="22"/>
  <c r="B48" i="22"/>
  <c r="B49" i="22"/>
  <c r="B50" i="22"/>
  <c r="B51" i="22"/>
  <c r="B52" i="22"/>
  <c r="B53" i="22"/>
  <c r="B54" i="22"/>
  <c r="B55" i="22"/>
  <c r="B56" i="22"/>
  <c r="C66" i="20"/>
  <c r="C39" i="22"/>
  <c r="R39" i="22"/>
  <c r="D17" i="22"/>
  <c r="C41" i="22"/>
  <c r="R41" i="22"/>
  <c r="B57" i="22"/>
  <c r="B58" i="22"/>
  <c r="B59" i="22"/>
  <c r="B60" i="22"/>
  <c r="C56" i="22"/>
  <c r="R56" i="22"/>
  <c r="C52" i="22"/>
  <c r="R52" i="22"/>
  <c r="C48" i="22"/>
  <c r="R48" i="22"/>
  <c r="C44" i="22"/>
  <c r="R44" i="22"/>
  <c r="C55" i="22"/>
  <c r="R55" i="22"/>
  <c r="C51" i="22"/>
  <c r="R51" i="22"/>
  <c r="C47" i="22"/>
  <c r="R47" i="22"/>
  <c r="C43" i="22"/>
  <c r="R43" i="22"/>
  <c r="C54" i="22"/>
  <c r="R54" i="22"/>
  <c r="C50" i="22"/>
  <c r="R50" i="22"/>
  <c r="C46" i="22"/>
  <c r="R46" i="22"/>
  <c r="C42" i="22"/>
  <c r="R42" i="22"/>
  <c r="C40" i="22"/>
  <c r="R40" i="22"/>
  <c r="C53" i="22"/>
  <c r="R53" i="22"/>
  <c r="C49" i="22"/>
  <c r="R49" i="22"/>
  <c r="C45" i="22"/>
  <c r="R45" i="22"/>
  <c r="K10" i="26"/>
  <c r="K10" i="23"/>
  <c r="C15" i="22"/>
  <c r="C57" i="22"/>
  <c r="R57" i="22"/>
  <c r="C59" i="22"/>
  <c r="R59" i="22"/>
  <c r="C58" i="22"/>
  <c r="R58" i="22"/>
  <c r="B61" i="22"/>
  <c r="C60" i="22"/>
  <c r="R60" i="22"/>
  <c r="B15" i="20"/>
  <c r="B14" i="20"/>
  <c r="C18" i="12"/>
  <c r="D60" i="12"/>
  <c r="C66" i="12"/>
  <c r="J10" i="26"/>
  <c r="D14" i="26"/>
  <c r="B62" i="22"/>
  <c r="C61" i="22"/>
  <c r="R61" i="22"/>
  <c r="O22" i="14"/>
  <c r="B63" i="22"/>
  <c r="C62" i="22"/>
  <c r="R62" i="22"/>
  <c r="D254" i="17"/>
  <c r="B64" i="22"/>
  <c r="C63" i="22"/>
  <c r="R63" i="22"/>
  <c r="C9" i="20"/>
  <c r="C20" i="12"/>
  <c r="C54" i="12"/>
  <c r="C42" i="12"/>
  <c r="D8" i="25"/>
  <c r="B65" i="22"/>
  <c r="C64" i="22"/>
  <c r="R64" i="22"/>
  <c r="C7" i="17"/>
  <c r="C6" i="17"/>
  <c r="C7" i="16"/>
  <c r="C6" i="16"/>
  <c r="C6" i="14"/>
  <c r="B66" i="22"/>
  <c r="C65" i="22"/>
  <c r="R65" i="22"/>
  <c r="L12" i="15"/>
  <c r="B67" i="22"/>
  <c r="C66" i="22"/>
  <c r="R66" i="22"/>
  <c r="C7" i="14"/>
  <c r="B68" i="22"/>
  <c r="C68" i="22"/>
  <c r="R68" i="22"/>
  <c r="C67" i="22"/>
  <c r="R67" i="22"/>
  <c r="O254" i="17"/>
  <c r="O30" i="17"/>
  <c r="O22" i="17"/>
  <c r="O22" i="16"/>
  <c r="J10" i="23"/>
  <c r="D39" i="20"/>
  <c r="H39" i="20"/>
  <c r="L5" i="15"/>
  <c r="I18" i="15"/>
  <c r="H30" i="15"/>
  <c r="G6" i="19"/>
  <c r="D24" i="22"/>
  <c r="AL15" i="19"/>
  <c r="D38" i="12"/>
  <c r="C40" i="12"/>
  <c r="D81" i="12"/>
  <c r="D73" i="12"/>
  <c r="D72" i="12"/>
  <c r="D48" i="12"/>
  <c r="F254" i="17"/>
  <c r="P254" i="17"/>
  <c r="AG11" i="19"/>
  <c r="AD11" i="19"/>
  <c r="AA11" i="19"/>
  <c r="X11" i="19"/>
  <c r="U11" i="19"/>
  <c r="R11" i="19"/>
  <c r="P21" i="14"/>
  <c r="O21" i="14"/>
  <c r="N21" i="14"/>
  <c r="P21" i="17"/>
  <c r="O21" i="17"/>
  <c r="N21" i="17"/>
  <c r="O21" i="16"/>
  <c r="N21" i="16"/>
  <c r="D14" i="23"/>
  <c r="L18" i="15"/>
  <c r="K20" i="22"/>
  <c r="L20" i="22"/>
  <c r="D32" i="12"/>
  <c r="D31" i="12"/>
  <c r="D30" i="12"/>
  <c r="D28" i="12"/>
  <c r="D29" i="12"/>
  <c r="K8" i="25"/>
  <c r="D17" i="25"/>
  <c r="P21" i="16"/>
  <c r="AJ19" i="19"/>
  <c r="O11" i="19"/>
  <c r="L36" i="15"/>
  <c r="AI13" i="19"/>
  <c r="AI14" i="19"/>
  <c r="AI15" i="19"/>
  <c r="AI16" i="19"/>
  <c r="AI17" i="19"/>
  <c r="AI18" i="19"/>
  <c r="J11" i="20"/>
  <c r="J10" i="20"/>
  <c r="J9" i="20"/>
  <c r="C17" i="20"/>
  <c r="A10" i="20"/>
  <c r="C10" i="20"/>
  <c r="C26" i="20"/>
  <c r="A11" i="20"/>
  <c r="C11" i="20"/>
  <c r="C35" i="20"/>
  <c r="E15" i="17"/>
  <c r="E16" i="16"/>
  <c r="E15" i="16"/>
  <c r="E16" i="14"/>
  <c r="E15" i="14"/>
  <c r="F134" i="14"/>
  <c r="F28" i="17"/>
  <c r="F26" i="17"/>
  <c r="P24" i="17"/>
  <c r="F24" i="17"/>
  <c r="F23" i="17"/>
  <c r="P25" i="17"/>
  <c r="P27" i="17"/>
  <c r="P23" i="17"/>
  <c r="F25" i="17"/>
  <c r="P28" i="17"/>
  <c r="P26" i="17"/>
  <c r="F27" i="17"/>
  <c r="F30" i="17"/>
  <c r="F22" i="17"/>
  <c r="F1243" i="16"/>
  <c r="F1252" i="16"/>
  <c r="F1279" i="16"/>
  <c r="F1288" i="16"/>
  <c r="F1297" i="16"/>
  <c r="F1307" i="16"/>
  <c r="F1316" i="16"/>
  <c r="F1343" i="16"/>
  <c r="F1352" i="16"/>
  <c r="F1361" i="16"/>
  <c r="F1371" i="16"/>
  <c r="F1380" i="16"/>
  <c r="F1407" i="16"/>
  <c r="F1416" i="16"/>
  <c r="F1425" i="16"/>
  <c r="F1435" i="16"/>
  <c r="F1444" i="16"/>
  <c r="F1471" i="16"/>
  <c r="F1480" i="16"/>
  <c r="F1489" i="16"/>
  <c r="F1499" i="16"/>
  <c r="F1508" i="16"/>
  <c r="F1236" i="16"/>
  <c r="F1263" i="16"/>
  <c r="F1272" i="16"/>
  <c r="F1281" i="16"/>
  <c r="F1291" i="16"/>
  <c r="F1300" i="16"/>
  <c r="F1327" i="16"/>
  <c r="F1336" i="16"/>
  <c r="F1345" i="16"/>
  <c r="F1355" i="16"/>
  <c r="F1364" i="16"/>
  <c r="F1391" i="16"/>
  <c r="F1400" i="16"/>
  <c r="F1409" i="16"/>
  <c r="F1419" i="16"/>
  <c r="F1428" i="16"/>
  <c r="F1455" i="16"/>
  <c r="F1464" i="16"/>
  <c r="F1473" i="16"/>
  <c r="F1483" i="16"/>
  <c r="F1492" i="16"/>
  <c r="F1519" i="16"/>
  <c r="F1528" i="16"/>
  <c r="F1537" i="16"/>
  <c r="F1547" i="16"/>
  <c r="F1556" i="16"/>
  <c r="F1583" i="16"/>
  <c r="F1592" i="16"/>
  <c r="F1601" i="16"/>
  <c r="F1611" i="16"/>
  <c r="F1620" i="16"/>
  <c r="F1647" i="16"/>
  <c r="F1656" i="16"/>
  <c r="F1665" i="16"/>
  <c r="F1675" i="16"/>
  <c r="F1684" i="16"/>
  <c r="F1711" i="16"/>
  <c r="F1720" i="16"/>
  <c r="F1729" i="16"/>
  <c r="F1739" i="16"/>
  <c r="F1748" i="16"/>
  <c r="F1775" i="16"/>
  <c r="F1784" i="16"/>
  <c r="F1793" i="16"/>
  <c r="F1803" i="16"/>
  <c r="F1812" i="16"/>
  <c r="F1239" i="16"/>
  <c r="F1248" i="16"/>
  <c r="F1257" i="16"/>
  <c r="F1267" i="16"/>
  <c r="F1276" i="16"/>
  <c r="F1303" i="16"/>
  <c r="F1312" i="16"/>
  <c r="F1321" i="16"/>
  <c r="F1331" i="16"/>
  <c r="F1340" i="16"/>
  <c r="F1367" i="16"/>
  <c r="F1376" i="16"/>
  <c r="F1385" i="16"/>
  <c r="F1395" i="16"/>
  <c r="F1404" i="16"/>
  <c r="F1431" i="16"/>
  <c r="F1440" i="16"/>
  <c r="F1449" i="16"/>
  <c r="F1459" i="16"/>
  <c r="F1468" i="16"/>
  <c r="F1495" i="16"/>
  <c r="F1504" i="16"/>
  <c r="F1513" i="16"/>
  <c r="F1523" i="16"/>
  <c r="F1532" i="16"/>
  <c r="F1559" i="16"/>
  <c r="F1568" i="16"/>
  <c r="F1577" i="16"/>
  <c r="F1587" i="16"/>
  <c r="F1596" i="16"/>
  <c r="F1623" i="16"/>
  <c r="F1632" i="16"/>
  <c r="F1641" i="16"/>
  <c r="F1651" i="16"/>
  <c r="F1660" i="16"/>
  <c r="F1687" i="16"/>
  <c r="F1696" i="16"/>
  <c r="F1705" i="16"/>
  <c r="F1715" i="16"/>
  <c r="F1724" i="16"/>
  <c r="F1751" i="16"/>
  <c r="F1760" i="16"/>
  <c r="F1769" i="16"/>
  <c r="F1779" i="16"/>
  <c r="F1788" i="16"/>
  <c r="F1815" i="16"/>
  <c r="F1824" i="16"/>
  <c r="F1832" i="16"/>
  <c r="F1840" i="16"/>
  <c r="F1848" i="16"/>
  <c r="F1856" i="16"/>
  <c r="F1864" i="16"/>
  <c r="F1872" i="16"/>
  <c r="F1880" i="16"/>
  <c r="F1888" i="16"/>
  <c r="F1896" i="16"/>
  <c r="F1904" i="16"/>
  <c r="F1912" i="16"/>
  <c r="F1920" i="16"/>
  <c r="F1928" i="16"/>
  <c r="F1936" i="16"/>
  <c r="F2408" i="16"/>
  <c r="F1241" i="16"/>
  <c r="F1256" i="16"/>
  <c r="F1271" i="16"/>
  <c r="F1315" i="16"/>
  <c r="F1329" i="16"/>
  <c r="F1344" i="16"/>
  <c r="F1359" i="16"/>
  <c r="F1388" i="16"/>
  <c r="F1403" i="16"/>
  <c r="F1417" i="16"/>
  <c r="F1432" i="16"/>
  <c r="F1447" i="16"/>
  <c r="F1476" i="16"/>
  <c r="F1491" i="16"/>
  <c r="F1505" i="16"/>
  <c r="F1531" i="16"/>
  <c r="F1543" i="16"/>
  <c r="F1555" i="16"/>
  <c r="F1567" i="16"/>
  <c r="F1580" i="16"/>
  <c r="F1591" i="16"/>
  <c r="F1604" i="16"/>
  <c r="F1616" i="16"/>
  <c r="F1628" i="16"/>
  <c r="F1640" i="16"/>
  <c r="F1664" i="16"/>
  <c r="F1689" i="16"/>
  <c r="F1713" i="16"/>
  <c r="F1726" i="16"/>
  <c r="F1737" i="16"/>
  <c r="F1750" i="16"/>
  <c r="F1763" i="16"/>
  <c r="F1774" i="16"/>
  <c r="F1787" i="16"/>
  <c r="F1799" i="16"/>
  <c r="F1811" i="16"/>
  <c r="F1823" i="16"/>
  <c r="F1834" i="16"/>
  <c r="F1844" i="16"/>
  <c r="F1855" i="16"/>
  <c r="F1866" i="16"/>
  <c r="F1876" i="16"/>
  <c r="F1887" i="16"/>
  <c r="F1898" i="16"/>
  <c r="F1908" i="16"/>
  <c r="F1919" i="16"/>
  <c r="F1930" i="16"/>
  <c r="F1940" i="16"/>
  <c r="F1950" i="16"/>
  <c r="F1959" i="16"/>
  <c r="F1967" i="16"/>
  <c r="F1975" i="16"/>
  <c r="F1983" i="16"/>
  <c r="F1991" i="16"/>
  <c r="F1999" i="16"/>
  <c r="F2007" i="16"/>
  <c r="F2015" i="16"/>
  <c r="F2023" i="16"/>
  <c r="F2031" i="16"/>
  <c r="F2039" i="16"/>
  <c r="F2047" i="16"/>
  <c r="F2055" i="16"/>
  <c r="F2063" i="16"/>
  <c r="F2071" i="16"/>
  <c r="F2079" i="16"/>
  <c r="F2087" i="16"/>
  <c r="F2095" i="16"/>
  <c r="F2103" i="16"/>
  <c r="F2111" i="16"/>
  <c r="F2119" i="16"/>
  <c r="F2127" i="16"/>
  <c r="F2135" i="16"/>
  <c r="F2143" i="16"/>
  <c r="F2151" i="16"/>
  <c r="F2159" i="16"/>
  <c r="F2167" i="16"/>
  <c r="F2175" i="16"/>
  <c r="F2412" i="16"/>
  <c r="F1244" i="16"/>
  <c r="F1259" i="16"/>
  <c r="F1273" i="16"/>
  <c r="F1287" i="16"/>
  <c r="F1302" i="16"/>
  <c r="F1332" i="16"/>
  <c r="F1347" i="16"/>
  <c r="F1360" i="16"/>
  <c r="F1375" i="16"/>
  <c r="F1390" i="16"/>
  <c r="F1420" i="16"/>
  <c r="F1433" i="16"/>
  <c r="F1260" i="16"/>
  <c r="F1275" i="16"/>
  <c r="F1289" i="16"/>
  <c r="F1304" i="16"/>
  <c r="F1319" i="16"/>
  <c r="F1348" i="16"/>
  <c r="F1363" i="16"/>
  <c r="F1377" i="16"/>
  <c r="F1392" i="16"/>
  <c r="F1436" i="16"/>
  <c r="F1451" i="16"/>
  <c r="F1465" i="16"/>
  <c r="F1479" i="16"/>
  <c r="F1494" i="16"/>
  <c r="F1521" i="16"/>
  <c r="F1534" i="16"/>
  <c r="F1545" i="16"/>
  <c r="F1558" i="16"/>
  <c r="F1571" i="16"/>
  <c r="F1582" i="16"/>
  <c r="F1595" i="16"/>
  <c r="F1607" i="16"/>
  <c r="F1619" i="16"/>
  <c r="F1631" i="16"/>
  <c r="F1644" i="16"/>
  <c r="F1655" i="16"/>
  <c r="F1668" i="16"/>
  <c r="F1680" i="16"/>
  <c r="F1692" i="16"/>
  <c r="F1704" i="16"/>
  <c r="F1728" i="16"/>
  <c r="F1753" i="16"/>
  <c r="F1777" i="16"/>
  <c r="F1790" i="16"/>
  <c r="F1801" i="16"/>
  <c r="F1814" i="16"/>
  <c r="F1826" i="16"/>
  <c r="F1836" i="16"/>
  <c r="F1847" i="16"/>
  <c r="F1858" i="16"/>
  <c r="F1868" i="16"/>
  <c r="F1879" i="16"/>
  <c r="F1890" i="16"/>
  <c r="F1900" i="16"/>
  <c r="F1911" i="16"/>
  <c r="F1922" i="16"/>
  <c r="F1932" i="16"/>
  <c r="F1943" i="16"/>
  <c r="F1952" i="16"/>
  <c r="F1961" i="16"/>
  <c r="F1969" i="16"/>
  <c r="F1977" i="16"/>
  <c r="F1985" i="16"/>
  <c r="F1993" i="16"/>
  <c r="F2001" i="16"/>
  <c r="F2407" i="16"/>
  <c r="F1247" i="16"/>
  <c r="F1292" i="16"/>
  <c r="F1305" i="16"/>
  <c r="F1320" i="16"/>
  <c r="F1335" i="16"/>
  <c r="F1379" i="16"/>
  <c r="F1393" i="16"/>
  <c r="F1408" i="16"/>
  <c r="F1423" i="16"/>
  <c r="F1452" i="16"/>
  <c r="F1467" i="16"/>
  <c r="F1481" i="16"/>
  <c r="F1496" i="16"/>
  <c r="F1511" i="16"/>
  <c r="F1524" i="16"/>
  <c r="F1535" i="16"/>
  <c r="F1548" i="16"/>
  <c r="F1560" i="16"/>
  <c r="F1572" i="16"/>
  <c r="F1584" i="16"/>
  <c r="F1608" i="16"/>
  <c r="F1633" i="16"/>
  <c r="F1657" i="16"/>
  <c r="F1681" i="16"/>
  <c r="F1707" i="16"/>
  <c r="F1731" i="16"/>
  <c r="F1743" i="16"/>
  <c r="F1755" i="16"/>
  <c r="F1767" i="16"/>
  <c r="F1780" i="16"/>
  <c r="F1791" i="16"/>
  <c r="F1804" i="16"/>
  <c r="F1816" i="16"/>
  <c r="F1827" i="16"/>
  <c r="F1849" i="16"/>
  <c r="F1859" i="16"/>
  <c r="F1870" i="16"/>
  <c r="F1881" i="16"/>
  <c r="F1891" i="16"/>
  <c r="F1902" i="16"/>
  <c r="F1913" i="16"/>
  <c r="F1923" i="16"/>
  <c r="F1934" i="16"/>
  <c r="F1944" i="16"/>
  <c r="F1953" i="16"/>
  <c r="F1962" i="16"/>
  <c r="F1970" i="16"/>
  <c r="F1978" i="16"/>
  <c r="F1986" i="16"/>
  <c r="F1994" i="16"/>
  <c r="F2002" i="16"/>
  <c r="F2010" i="16"/>
  <c r="F2018" i="16"/>
  <c r="F2026" i="16"/>
  <c r="F2034" i="16"/>
  <c r="F2042" i="16"/>
  <c r="F2050" i="16"/>
  <c r="F2058" i="16"/>
  <c r="F2066" i="16"/>
  <c r="F2074" i="16"/>
  <c r="F2082" i="16"/>
  <c r="F2090" i="16"/>
  <c r="F2098" i="16"/>
  <c r="F2106" i="16"/>
  <c r="F2114" i="16"/>
  <c r="F2122" i="16"/>
  <c r="F2130" i="16"/>
  <c r="F2138" i="16"/>
  <c r="F2146" i="16"/>
  <c r="F2154" i="16"/>
  <c r="F2162" i="16"/>
  <c r="F2170" i="16"/>
  <c r="F2178" i="16"/>
  <c r="F2186" i="16"/>
  <c r="F2194" i="16"/>
  <c r="F2202" i="16"/>
  <c r="F2210" i="16"/>
  <c r="F2218" i="16"/>
  <c r="F2226" i="16"/>
  <c r="F2234" i="16"/>
  <c r="F2242" i="16"/>
  <c r="F2250" i="16"/>
  <c r="F2258" i="16"/>
  <c r="F2266" i="16"/>
  <c r="F2274" i="16"/>
  <c r="F2282" i="16"/>
  <c r="F2290" i="16"/>
  <c r="F2298" i="16"/>
  <c r="F2306" i="16"/>
  <c r="F2314" i="16"/>
  <c r="F2322" i="16"/>
  <c r="F2330" i="16"/>
  <c r="F2338" i="16"/>
  <c r="F2346" i="16"/>
  <c r="F2354" i="16"/>
  <c r="F2362" i="16"/>
  <c r="F2370" i="16"/>
  <c r="F2378" i="16"/>
  <c r="F2386" i="16"/>
  <c r="F2394" i="16"/>
  <c r="F1283" i="16"/>
  <c r="F1311" i="16"/>
  <c r="F1369" i="16"/>
  <c r="F1399" i="16"/>
  <c r="F1456" i="16"/>
  <c r="F1478" i="16"/>
  <c r="F1502" i="16"/>
  <c r="F1542" i="16"/>
  <c r="F1563" i="16"/>
  <c r="F1600" i="16"/>
  <c r="F1622" i="16"/>
  <c r="F1639" i="16"/>
  <c r="F1679" i="16"/>
  <c r="F1699" i="16"/>
  <c r="F1719" i="16"/>
  <c r="F1736" i="16"/>
  <c r="F1758" i="16"/>
  <c r="F1776" i="16"/>
  <c r="F1796" i="16"/>
  <c r="F1817" i="16"/>
  <c r="F1833" i="16"/>
  <c r="F1851" i="16"/>
  <c r="F1867" i="16"/>
  <c r="F1884" i="16"/>
  <c r="F1903" i="16"/>
  <c r="F1918" i="16"/>
  <c r="F1937" i="16"/>
  <c r="F1951" i="16"/>
  <c r="F1979" i="16"/>
  <c r="F1990" i="16"/>
  <c r="F2004" i="16"/>
  <c r="F2014" i="16"/>
  <c r="F2025" i="16"/>
  <c r="F2036" i="16"/>
  <c r="F2046" i="16"/>
  <c r="F2057" i="16"/>
  <c r="F2068" i="16"/>
  <c r="F2078" i="16"/>
  <c r="F2089" i="16"/>
  <c r="F2100" i="16"/>
  <c r="F2110" i="16"/>
  <c r="F2121" i="16"/>
  <c r="F2132" i="16"/>
  <c r="F2142" i="16"/>
  <c r="F2153" i="16"/>
  <c r="F2164" i="16"/>
  <c r="F2174" i="16"/>
  <c r="F2184" i="16"/>
  <c r="F2193" i="16"/>
  <c r="F2203" i="16"/>
  <c r="F2212" i="16"/>
  <c r="F2230" i="16"/>
  <c r="F2239" i="16"/>
  <c r="F2248" i="16"/>
  <c r="F2257" i="16"/>
  <c r="F2267" i="16"/>
  <c r="F2276" i="16"/>
  <c r="F2294" i="16"/>
  <c r="F2303" i="16"/>
  <c r="F2312" i="16"/>
  <c r="F2321" i="16"/>
  <c r="F2331" i="16"/>
  <c r="F2340" i="16"/>
  <c r="F2358" i="16"/>
  <c r="F2367" i="16"/>
  <c r="F2376" i="16"/>
  <c r="F2385" i="16"/>
  <c r="F2395" i="16"/>
  <c r="F1235" i="16"/>
  <c r="F1323" i="16"/>
  <c r="F1411" i="16"/>
  <c r="F1527" i="16"/>
  <c r="F1588" i="16"/>
  <c r="F1663" i="16"/>
  <c r="F1723" i="16"/>
  <c r="F1255" i="16"/>
  <c r="F1284" i="16"/>
  <c r="F1313" i="16"/>
  <c r="F1342" i="16"/>
  <c r="F1372" i="16"/>
  <c r="F1401" i="16"/>
  <c r="F1430" i="16"/>
  <c r="F1457" i="16"/>
  <c r="F1484" i="16"/>
  <c r="F1503" i="16"/>
  <c r="F1526" i="16"/>
  <c r="F1544" i="16"/>
  <c r="F1564" i="16"/>
  <c r="F1585" i="16"/>
  <c r="F1603" i="16"/>
  <c r="F1624" i="16"/>
  <c r="F1643" i="16"/>
  <c r="F1662" i="16"/>
  <c r="F1683" i="16"/>
  <c r="F1700" i="16"/>
  <c r="F1721" i="16"/>
  <c r="F1740" i="16"/>
  <c r="F1759" i="16"/>
  <c r="F1798" i="16"/>
  <c r="F1819" i="16"/>
  <c r="F1835" i="16"/>
  <c r="F1852" i="16"/>
  <c r="F1871" i="16"/>
  <c r="F1886" i="16"/>
  <c r="F1905" i="16"/>
  <c r="F1921" i="16"/>
  <c r="F1938" i="16"/>
  <c r="F1954" i="16"/>
  <c r="F1966" i="16"/>
  <c r="F1980" i="16"/>
  <c r="F1992" i="16"/>
  <c r="F2016" i="16"/>
  <c r="F2027" i="16"/>
  <c r="F2048" i="16"/>
  <c r="F2059" i="16"/>
  <c r="F2080" i="16"/>
  <c r="F2091" i="16"/>
  <c r="F2112" i="16"/>
  <c r="F2123" i="16"/>
  <c r="F2144" i="16"/>
  <c r="F2155" i="16"/>
  <c r="F2176" i="16"/>
  <c r="F2185" i="16"/>
  <c r="F2195" i="16"/>
  <c r="F2204" i="16"/>
  <c r="F2222" i="16"/>
  <c r="F2231" i="16"/>
  <c r="F2240" i="16"/>
  <c r="F2249" i="16"/>
  <c r="F2259" i="16"/>
  <c r="F2268" i="16"/>
  <c r="F2286" i="16"/>
  <c r="F2295" i="16"/>
  <c r="F2304" i="16"/>
  <c r="F2313" i="16"/>
  <c r="F2323" i="16"/>
  <c r="F2332" i="16"/>
  <c r="F2350" i="16"/>
  <c r="F2359" i="16"/>
  <c r="F2368" i="16"/>
  <c r="F2377" i="16"/>
  <c r="F2387" i="16"/>
  <c r="F2396" i="16"/>
  <c r="F1264" i="16"/>
  <c r="F1351" i="16"/>
  <c r="F1439" i="16"/>
  <c r="F1507" i="16"/>
  <c r="F1566" i="16"/>
  <c r="F1625" i="16"/>
  <c r="F1460" i="16"/>
  <c r="F1606" i="16"/>
  <c r="F1646" i="16"/>
  <c r="F1703" i="16"/>
  <c r="F1265" i="16"/>
  <c r="F1295" i="16"/>
  <c r="F1324" i="16"/>
  <c r="F1353" i="16"/>
  <c r="F1383" i="16"/>
  <c r="F1412" i="16"/>
  <c r="F1441" i="16"/>
  <c r="F1463" i="16"/>
  <c r="F1487" i="16"/>
  <c r="F1512" i="16"/>
  <c r="F1529" i="16"/>
  <c r="F1551" i="16"/>
  <c r="F1569" i="16"/>
  <c r="F1609" i="16"/>
  <c r="F1627" i="16"/>
  <c r="F1648" i="16"/>
  <c r="F1667" i="16"/>
  <c r="F1686" i="16"/>
  <c r="F1708" i="16"/>
  <c r="F1745" i="16"/>
  <c r="F1764" i="16"/>
  <c r="F1783" i="16"/>
  <c r="F1822" i="16"/>
  <c r="F1841" i="16"/>
  <c r="F1857" i="16"/>
  <c r="F1874" i="16"/>
  <c r="F1892" i="16"/>
  <c r="F1907" i="16"/>
  <c r="F1926" i="16"/>
  <c r="F1942" i="16"/>
  <c r="F1956" i="16"/>
  <c r="F1971" i="16"/>
  <c r="F1982" i="16"/>
  <c r="F1996" i="16"/>
  <c r="F2008" i="16"/>
  <c r="F2019" i="16"/>
  <c r="F2040" i="16"/>
  <c r="F2051" i="16"/>
  <c r="F2072" i="16"/>
  <c r="F2083" i="16"/>
  <c r="F2104" i="16"/>
  <c r="F2115" i="16"/>
  <c r="F2136" i="16"/>
  <c r="F2147" i="16"/>
  <c r="F2168" i="16"/>
  <c r="F2179" i="16"/>
  <c r="F2188" i="16"/>
  <c r="F2206" i="16"/>
  <c r="F2215" i="16"/>
  <c r="F2224" i="16"/>
  <c r="F2233" i="16"/>
  <c r="F2243" i="16"/>
  <c r="F2252" i="16"/>
  <c r="F2270" i="16"/>
  <c r="F2279" i="16"/>
  <c r="F2288" i="16"/>
  <c r="F2297" i="16"/>
  <c r="F2307" i="16"/>
  <c r="F2316" i="16"/>
  <c r="F2334" i="16"/>
  <c r="F2343" i="16"/>
  <c r="F2352" i="16"/>
  <c r="F2361" i="16"/>
  <c r="F2371" i="16"/>
  <c r="F2380" i="16"/>
  <c r="F2398" i="16"/>
  <c r="F1278" i="16"/>
  <c r="F1337" i="16"/>
  <c r="F1396" i="16"/>
  <c r="F1448" i="16"/>
  <c r="F1497" i="16"/>
  <c r="F1539" i="16"/>
  <c r="F1576" i="16"/>
  <c r="F1615" i="16"/>
  <c r="F1654" i="16"/>
  <c r="F1734" i="16"/>
  <c r="F1768" i="16"/>
  <c r="F1795" i="16"/>
  <c r="F1828" i="16"/>
  <c r="F1882" i="16"/>
  <c r="F1910" i="16"/>
  <c r="F1960" i="16"/>
  <c r="F2000" i="16"/>
  <c r="F2035" i="16"/>
  <c r="F2070" i="16"/>
  <c r="F2105" i="16"/>
  <c r="F2139" i="16"/>
  <c r="F2172" i="16"/>
  <c r="F2201" i="16"/>
  <c r="F2232" i="16"/>
  <c r="F2262" i="16"/>
  <c r="F2291" i="16"/>
  <c r="F2335" i="16"/>
  <c r="F2364" i="16"/>
  <c r="F2392" i="16"/>
  <c r="F2263" i="16"/>
  <c r="F2292" i="16"/>
  <c r="F2336" i="16"/>
  <c r="F2365" i="16"/>
  <c r="F1915" i="16"/>
  <c r="F2141" i="16"/>
  <c r="F2251" i="16"/>
  <c r="F2309" i="16"/>
  <c r="F2397" i="16"/>
  <c r="F2237" i="16"/>
  <c r="F2369" i="16"/>
  <c r="F1280" i="16"/>
  <c r="F1339" i="16"/>
  <c r="F1454" i="16"/>
  <c r="F1500" i="16"/>
  <c r="F1540" i="16"/>
  <c r="F1579" i="16"/>
  <c r="F1617" i="16"/>
  <c r="F1659" i="16"/>
  <c r="F1697" i="16"/>
  <c r="F1735" i="16"/>
  <c r="F1771" i="16"/>
  <c r="F1800" i="16"/>
  <c r="F1830" i="16"/>
  <c r="F1860" i="16"/>
  <c r="F1883" i="16"/>
  <c r="F1914" i="16"/>
  <c r="F1939" i="16"/>
  <c r="F1963" i="16"/>
  <c r="F1984" i="16"/>
  <c r="F2003" i="16"/>
  <c r="F2021" i="16"/>
  <c r="F2038" i="16"/>
  <c r="F2054" i="16"/>
  <c r="F2073" i="16"/>
  <c r="F2088" i="16"/>
  <c r="F2107" i="16"/>
  <c r="F2124" i="16"/>
  <c r="F2140" i="16"/>
  <c r="F2158" i="16"/>
  <c r="F2173" i="16"/>
  <c r="F2190" i="16"/>
  <c r="F2205" i="16"/>
  <c r="F2219" i="16"/>
  <c r="F2247" i="16"/>
  <c r="F2278" i="16"/>
  <c r="F2320" i="16"/>
  <c r="F2381" i="16"/>
  <c r="F1987" i="16"/>
  <c r="F2022" i="16"/>
  <c r="F2056" i="16"/>
  <c r="F2092" i="16"/>
  <c r="F2177" i="16"/>
  <c r="F2207" i="16"/>
  <c r="F2280" i="16"/>
  <c r="F2324" i="16"/>
  <c r="F2366" i="16"/>
  <c r="F2208" i="16"/>
  <c r="F2265" i="16"/>
  <c r="F2326" i="16"/>
  <c r="F2399" i="16"/>
  <c r="F1238" i="16"/>
  <c r="F1296" i="16"/>
  <c r="F1356" i="16"/>
  <c r="F1414" i="16"/>
  <c r="F1515" i="16"/>
  <c r="F1552" i="16"/>
  <c r="F1590" i="16"/>
  <c r="F1630" i="16"/>
  <c r="F1671" i="16"/>
  <c r="F1709" i="16"/>
  <c r="F1744" i="16"/>
  <c r="F1772" i="16"/>
  <c r="F1807" i="16"/>
  <c r="F1831" i="16"/>
  <c r="F1862" i="16"/>
  <c r="F1889" i="16"/>
  <c r="F1964" i="16"/>
  <c r="F2006" i="16"/>
  <c r="F2041" i="16"/>
  <c r="F2075" i="16"/>
  <c r="F2160" i="16"/>
  <c r="F2236" i="16"/>
  <c r="F2353" i="16"/>
  <c r="F2296" i="16"/>
  <c r="F2383" i="16"/>
  <c r="F1240" i="16"/>
  <c r="F1299" i="16"/>
  <c r="F1415" i="16"/>
  <c r="F1470" i="16"/>
  <c r="F1516" i="16"/>
  <c r="F1553" i="16"/>
  <c r="F1593" i="16"/>
  <c r="F1635" i="16"/>
  <c r="F1672" i="16"/>
  <c r="F1710" i="16"/>
  <c r="F1747" i="16"/>
  <c r="F1773" i="16"/>
  <c r="F1808" i="16"/>
  <c r="F1839" i="16"/>
  <c r="F1863" i="16"/>
  <c r="F1894" i="16"/>
  <c r="F1916" i="16"/>
  <c r="F1946" i="16"/>
  <c r="F1968" i="16"/>
  <c r="F1988" i="16"/>
  <c r="F2009" i="16"/>
  <c r="F2024" i="16"/>
  <c r="F2043" i="16"/>
  <c r="F2060" i="16"/>
  <c r="F2076" i="16"/>
  <c r="F2094" i="16"/>
  <c r="F2109" i="16"/>
  <c r="F2128" i="16"/>
  <c r="F2145" i="16"/>
  <c r="F2161" i="16"/>
  <c r="F2192" i="16"/>
  <c r="F2223" i="16"/>
  <c r="F2310" i="16"/>
  <c r="F1268" i="16"/>
  <c r="F1326" i="16"/>
  <c r="F1384" i="16"/>
  <c r="F1443" i="16"/>
  <c r="F1488" i="16"/>
  <c r="F1612" i="16"/>
  <c r="F1649" i="16"/>
  <c r="F1688" i="16"/>
  <c r="F1727" i="16"/>
  <c r="F1756" i="16"/>
  <c r="F1789" i="16"/>
  <c r="F1820" i="16"/>
  <c r="F1846" i="16"/>
  <c r="F1875" i="16"/>
  <c r="F1899" i="16"/>
  <c r="F1929" i="16"/>
  <c r="F1955" i="16"/>
  <c r="F1974" i="16"/>
  <c r="F1997" i="16"/>
  <c r="F2013" i="16"/>
  <c r="F2032" i="16"/>
  <c r="F2049" i="16"/>
  <c r="F2065" i="16"/>
  <c r="F2084" i="16"/>
  <c r="F2099" i="16"/>
  <c r="F2117" i="16"/>
  <c r="F2134" i="16"/>
  <c r="F2150" i="16"/>
  <c r="F2169" i="16"/>
  <c r="F2183" i="16"/>
  <c r="F2199" i="16"/>
  <c r="F2214" i="16"/>
  <c r="F2228" i="16"/>
  <c r="F2244" i="16"/>
  <c r="F2256" i="16"/>
  <c r="F2272" i="16"/>
  <c r="F2287" i="16"/>
  <c r="F2301" i="16"/>
  <c r="F2317" i="16"/>
  <c r="F2329" i="16"/>
  <c r="F2345" i="16"/>
  <c r="F2360" i="16"/>
  <c r="F2374" i="16"/>
  <c r="F2390" i="16"/>
  <c r="F2108" i="16"/>
  <c r="F2191" i="16"/>
  <c r="F2264" i="16"/>
  <c r="F2337" i="16"/>
  <c r="F2180" i="16"/>
  <c r="F2281" i="16"/>
  <c r="F2355" i="16"/>
  <c r="F1328" i="16"/>
  <c r="F1387" i="16"/>
  <c r="F1536" i="16"/>
  <c r="F1575" i="16"/>
  <c r="F1652" i="16"/>
  <c r="F1691" i="16"/>
  <c r="F1732" i="16"/>
  <c r="F1761" i="16"/>
  <c r="F1792" i="16"/>
  <c r="F1825" i="16"/>
  <c r="F1850" i="16"/>
  <c r="F1878" i="16"/>
  <c r="F1906" i="16"/>
  <c r="F1931" i="16"/>
  <c r="F1958" i="16"/>
  <c r="F1976" i="16"/>
  <c r="F1998" i="16"/>
  <c r="F2017" i="16"/>
  <c r="F2033" i="16"/>
  <c r="F2052" i="16"/>
  <c r="F2067" i="16"/>
  <c r="F2102" i="16"/>
  <c r="F2118" i="16"/>
  <c r="F2137" i="16"/>
  <c r="F2152" i="16"/>
  <c r="F2171" i="16"/>
  <c r="F2187" i="16"/>
  <c r="F2200" i="16"/>
  <c r="F2216" i="16"/>
  <c r="F2229" i="16"/>
  <c r="F2245" i="16"/>
  <c r="F2260" i="16"/>
  <c r="F2273" i="16"/>
  <c r="F2289" i="16"/>
  <c r="F2302" i="16"/>
  <c r="F2318" i="16"/>
  <c r="F2333" i="16"/>
  <c r="F2347" i="16"/>
  <c r="F2363" i="16"/>
  <c r="F2375" i="16"/>
  <c r="F2391" i="16"/>
  <c r="F1695" i="16"/>
  <c r="F1854" i="16"/>
  <c r="F1935" i="16"/>
  <c r="F1981" i="16"/>
  <c r="F2020" i="16"/>
  <c r="F2053" i="16"/>
  <c r="F2086" i="16"/>
  <c r="F2120" i="16"/>
  <c r="F2156" i="16"/>
  <c r="F2189" i="16"/>
  <c r="F2217" i="16"/>
  <c r="F2246" i="16"/>
  <c r="F2275" i="16"/>
  <c r="F2305" i="16"/>
  <c r="F2319" i="16"/>
  <c r="F2348" i="16"/>
  <c r="F2379" i="16"/>
  <c r="F2235" i="16"/>
  <c r="F2308" i="16"/>
  <c r="F2351" i="16"/>
  <c r="F2393" i="16"/>
  <c r="F1945" i="16"/>
  <c r="F2126" i="16"/>
  <c r="F2220" i="16"/>
  <c r="F2293" i="16"/>
  <c r="F2382" i="16"/>
  <c r="F2253" i="16"/>
  <c r="F2339" i="16"/>
  <c r="F1424" i="16"/>
  <c r="F1598" i="16"/>
  <c r="F1749" i="16"/>
  <c r="F1865" i="16"/>
  <c r="F1972" i="16"/>
  <c r="F2044" i="16"/>
  <c r="F2181" i="16"/>
  <c r="F2238" i="16"/>
  <c r="F2299" i="16"/>
  <c r="F2356" i="16"/>
  <c r="F1752" i="16"/>
  <c r="F1973" i="16"/>
  <c r="F2182" i="16"/>
  <c r="F2300" i="16"/>
  <c r="F1927" i="16"/>
  <c r="F1427" i="16"/>
  <c r="F1813" i="16"/>
  <c r="F2328" i="16"/>
  <c r="F1249" i="16"/>
  <c r="F1472" i="16"/>
  <c r="F1636" i="16"/>
  <c r="F1782" i="16"/>
  <c r="F1895" i="16"/>
  <c r="F1989" i="16"/>
  <c r="F2062" i="16"/>
  <c r="F2129" i="16"/>
  <c r="F2196" i="16"/>
  <c r="F2254" i="16"/>
  <c r="F2311" i="16"/>
  <c r="F2372" i="16"/>
  <c r="F1520" i="16"/>
  <c r="F2149" i="16"/>
  <c r="F1251" i="16"/>
  <c r="F1475" i="16"/>
  <c r="F1637" i="16"/>
  <c r="F1785" i="16"/>
  <c r="F1897" i="16"/>
  <c r="F1995" i="16"/>
  <c r="F2064" i="16"/>
  <c r="F2131" i="16"/>
  <c r="F2198" i="16"/>
  <c r="F2255" i="16"/>
  <c r="F2315" i="16"/>
  <c r="F2373" i="16"/>
  <c r="F1673" i="16"/>
  <c r="F2077" i="16"/>
  <c r="F2209" i="16"/>
  <c r="F2327" i="16"/>
  <c r="F2384" i="16"/>
  <c r="F1310" i="16"/>
  <c r="F2211" i="16"/>
  <c r="F1308" i="16"/>
  <c r="F1517" i="16"/>
  <c r="F1809" i="16"/>
  <c r="F1924" i="16"/>
  <c r="F2011" i="16"/>
  <c r="F2148" i="16"/>
  <c r="F2269" i="16"/>
  <c r="F2081" i="16"/>
  <c r="F1676" i="16"/>
  <c r="F2388" i="16"/>
  <c r="F1366" i="16"/>
  <c r="F1557" i="16"/>
  <c r="F1712" i="16"/>
  <c r="F1842" i="16"/>
  <c r="F1947" i="16"/>
  <c r="F2028" i="16"/>
  <c r="F2096" i="16"/>
  <c r="F2163" i="16"/>
  <c r="F2225" i="16"/>
  <c r="F2283" i="16"/>
  <c r="F2342" i="16"/>
  <c r="F2045" i="16"/>
  <c r="F2357" i="16"/>
  <c r="F2012" i="16"/>
  <c r="F2271" i="16"/>
  <c r="F1368" i="16"/>
  <c r="F1561" i="16"/>
  <c r="F1716" i="16"/>
  <c r="F1843" i="16"/>
  <c r="F1948" i="16"/>
  <c r="F2030" i="16"/>
  <c r="F2097" i="16"/>
  <c r="F2166" i="16"/>
  <c r="F2227" i="16"/>
  <c r="F2284" i="16"/>
  <c r="F2344" i="16"/>
  <c r="F2113" i="16"/>
  <c r="F1599" i="16"/>
  <c r="F1873" i="16"/>
  <c r="F2116" i="16"/>
  <c r="F2241" i="16"/>
  <c r="F1237" i="16"/>
  <c r="F1301" i="16"/>
  <c r="F1493" i="16"/>
  <c r="F1365" i="16"/>
  <c r="F1437" i="16"/>
  <c r="F1541" i="16"/>
  <c r="F1629" i="16"/>
  <c r="F1701" i="16"/>
  <c r="F1797" i="16"/>
  <c r="F1869" i="16"/>
  <c r="F1933" i="16"/>
  <c r="F2061" i="16"/>
  <c r="F2197" i="16"/>
  <c r="F2349" i="16"/>
  <c r="F1406" i="16"/>
  <c r="F1254" i="16"/>
  <c r="F1422" i="16"/>
  <c r="F1638" i="16"/>
  <c r="F2414" i="16"/>
  <c r="F1242" i="16"/>
  <c r="F1306" i="16"/>
  <c r="F1370" i="16"/>
  <c r="F1434" i="16"/>
  <c r="F1498" i="16"/>
  <c r="F1562" i="16"/>
  <c r="F1626" i="16"/>
  <c r="F1690" i="16"/>
  <c r="F1754" i="16"/>
  <c r="F1818" i="16"/>
  <c r="F1245" i="16"/>
  <c r="F1309" i="16"/>
  <c r="F1533" i="16"/>
  <c r="F1373" i="16"/>
  <c r="F1453" i="16"/>
  <c r="F1549" i="16"/>
  <c r="F1645" i="16"/>
  <c r="F1717" i="16"/>
  <c r="F1805" i="16"/>
  <c r="F1877" i="16"/>
  <c r="F1941" i="16"/>
  <c r="F2069" i="16"/>
  <c r="F2213" i="16"/>
  <c r="F2389" i="16"/>
  <c r="F1438" i="16"/>
  <c r="F1270" i="16"/>
  <c r="F1446" i="16"/>
  <c r="F1678" i="16"/>
  <c r="F2413" i="16"/>
  <c r="F1250" i="16"/>
  <c r="F1314" i="16"/>
  <c r="F1378" i="16"/>
  <c r="F1442" i="16"/>
  <c r="F1506" i="16"/>
  <c r="F1570" i="16"/>
  <c r="F1634" i="16"/>
  <c r="F1698" i="16"/>
  <c r="F1762" i="16"/>
  <c r="F2402" i="16"/>
  <c r="F1253" i="16"/>
  <c r="F1317" i="16"/>
  <c r="F1573" i="16"/>
  <c r="F1381" i="16"/>
  <c r="F1461" i="16"/>
  <c r="F1565" i="16"/>
  <c r="F1653" i="16"/>
  <c r="F1725" i="16"/>
  <c r="F1821" i="16"/>
  <c r="F1885" i="16"/>
  <c r="F1949" i="16"/>
  <c r="F2093" i="16"/>
  <c r="F2221" i="16"/>
  <c r="F2411" i="16"/>
  <c r="F1518" i="16"/>
  <c r="F1294" i="16"/>
  <c r="F1462" i="16"/>
  <c r="F1702" i="16"/>
  <c r="F2406" i="16"/>
  <c r="F1258" i="16"/>
  <c r="F1322" i="16"/>
  <c r="F1386" i="16"/>
  <c r="F1450" i="16"/>
  <c r="F1514" i="16"/>
  <c r="F1578" i="16"/>
  <c r="F1642" i="16"/>
  <c r="F1706" i="16"/>
  <c r="F1770" i="16"/>
  <c r="F2409" i="16"/>
  <c r="F1261" i="16"/>
  <c r="F1325" i="16"/>
  <c r="F1613" i="16"/>
  <c r="F1389" i="16"/>
  <c r="F1477" i="16"/>
  <c r="F1581" i="16"/>
  <c r="F1661" i="16"/>
  <c r="F1733" i="16"/>
  <c r="F1829" i="16"/>
  <c r="F1893" i="16"/>
  <c r="F1957" i="16"/>
  <c r="F2101" i="16"/>
  <c r="F2261" i="16"/>
  <c r="F1246" i="16"/>
  <c r="F1670" i="16"/>
  <c r="F1318" i="16"/>
  <c r="F1486" i="16"/>
  <c r="F1742" i="16"/>
  <c r="F2404" i="16"/>
  <c r="F1266" i="16"/>
  <c r="F1330" i="16"/>
  <c r="F1394" i="16"/>
  <c r="F1458" i="16"/>
  <c r="F1522" i="16"/>
  <c r="F1586" i="16"/>
  <c r="F1650" i="16"/>
  <c r="F1714" i="16"/>
  <c r="F1778" i="16"/>
  <c r="F1269" i="16"/>
  <c r="F1357" i="16"/>
  <c r="F2085" i="16"/>
  <c r="F1405" i="16"/>
  <c r="F1485" i="16"/>
  <c r="F1589" i="16"/>
  <c r="F1669" i="16"/>
  <c r="F1741" i="16"/>
  <c r="F1837" i="16"/>
  <c r="F1901" i="16"/>
  <c r="F1965" i="16"/>
  <c r="F2125" i="16"/>
  <c r="F2277" i="16"/>
  <c r="F1262" i="16"/>
  <c r="F1694" i="16"/>
  <c r="F1334" i="16"/>
  <c r="F1510" i="16"/>
  <c r="F1766" i="16"/>
  <c r="F2405" i="16"/>
  <c r="F1274" i="16"/>
  <c r="F1338" i="16"/>
  <c r="F1402" i="16"/>
  <c r="F1466" i="16"/>
  <c r="F1530" i="16"/>
  <c r="F1594" i="16"/>
  <c r="F1658" i="16"/>
  <c r="F1722" i="16"/>
  <c r="F1786" i="16"/>
  <c r="F1277" i="16"/>
  <c r="F1397" i="16"/>
  <c r="F1333" i="16"/>
  <c r="F1413" i="16"/>
  <c r="F1501" i="16"/>
  <c r="F1597" i="16"/>
  <c r="F1677" i="16"/>
  <c r="F1757" i="16"/>
  <c r="F1845" i="16"/>
  <c r="F1909" i="16"/>
  <c r="F2005" i="16"/>
  <c r="F2133" i="16"/>
  <c r="F2285" i="16"/>
  <c r="F1286" i="16"/>
  <c r="F1718" i="16"/>
  <c r="F1358" i="16"/>
  <c r="F1550" i="16"/>
  <c r="F1806" i="16"/>
  <c r="F2403" i="16"/>
  <c r="F1282" i="16"/>
  <c r="F1346" i="16"/>
  <c r="F1410" i="16"/>
  <c r="F1474" i="16"/>
  <c r="F1538" i="16"/>
  <c r="F1602" i="16"/>
  <c r="F1666" i="16"/>
  <c r="F1730" i="16"/>
  <c r="F1794" i="16"/>
  <c r="F1285" i="16"/>
  <c r="F1445" i="16"/>
  <c r="F1341" i="16"/>
  <c r="F1421" i="16"/>
  <c r="F1509" i="16"/>
  <c r="F1605" i="16"/>
  <c r="F1685" i="16"/>
  <c r="F1765" i="16"/>
  <c r="F1853" i="16"/>
  <c r="F1917" i="16"/>
  <c r="F2029" i="16"/>
  <c r="F2157" i="16"/>
  <c r="F2325" i="16"/>
  <c r="F1350" i="16"/>
  <c r="F1838" i="16"/>
  <c r="F1382" i="16"/>
  <c r="F1574" i="16"/>
  <c r="F2415" i="16"/>
  <c r="F2410" i="16"/>
  <c r="F1290" i="16"/>
  <c r="F1354" i="16"/>
  <c r="F1418" i="16"/>
  <c r="F1482" i="16"/>
  <c r="F1546" i="16"/>
  <c r="F1610" i="16"/>
  <c r="F1674" i="16"/>
  <c r="F1738" i="16"/>
  <c r="F1802" i="16"/>
  <c r="F1293" i="16"/>
  <c r="F1469" i="16"/>
  <c r="F1349" i="16"/>
  <c r="F1429" i="16"/>
  <c r="F1525" i="16"/>
  <c r="F1621" i="16"/>
  <c r="F1693" i="16"/>
  <c r="F1781" i="16"/>
  <c r="F1861" i="16"/>
  <c r="F1925" i="16"/>
  <c r="F2037" i="16"/>
  <c r="F2165" i="16"/>
  <c r="F2341" i="16"/>
  <c r="F1374" i="16"/>
  <c r="F2416" i="16"/>
  <c r="F1398" i="16"/>
  <c r="F1614" i="16"/>
  <c r="F2401" i="16"/>
  <c r="F1234" i="16"/>
  <c r="F1298" i="16"/>
  <c r="F1362" i="16"/>
  <c r="F1426" i="16"/>
  <c r="F1490" i="16"/>
  <c r="F1554" i="16"/>
  <c r="F1618" i="16"/>
  <c r="F1682" i="16"/>
  <c r="F1746" i="16"/>
  <c r="F1810" i="16"/>
  <c r="F1006" i="16"/>
  <c r="F1044" i="16"/>
  <c r="F1076" i="16"/>
  <c r="F1108" i="16"/>
  <c r="F1140" i="16"/>
  <c r="F748" i="16"/>
  <c r="F1172" i="16"/>
  <c r="F878" i="16"/>
  <c r="F1204" i="16"/>
  <c r="F942" i="16"/>
  <c r="F174" i="16"/>
  <c r="F334" i="16"/>
  <c r="F398" i="16"/>
  <c r="F183" i="16"/>
  <c r="F247" i="16"/>
  <c r="F232" i="16"/>
  <c r="F560" i="16"/>
  <c r="F328" i="16"/>
  <c r="F233" i="16"/>
  <c r="F481" i="16"/>
  <c r="F649" i="16"/>
  <c r="F729" i="16"/>
  <c r="F198" i="16"/>
  <c r="F392" i="16"/>
  <c r="F297" i="16"/>
  <c r="F561" i="16"/>
  <c r="F226" i="16"/>
  <c r="F278" i="16"/>
  <c r="F456" i="16"/>
  <c r="F321" i="16"/>
  <c r="F577" i="16"/>
  <c r="F227" i="16"/>
  <c r="F296" i="16"/>
  <c r="F209" i="16"/>
  <c r="F473" i="16"/>
  <c r="F210" i="16"/>
  <c r="F817" i="16"/>
  <c r="F881" i="16"/>
  <c r="F945" i="16"/>
  <c r="F1009" i="16"/>
  <c r="F1073" i="16"/>
  <c r="F1137" i="16"/>
  <c r="F1201" i="16"/>
  <c r="F306" i="16"/>
  <c r="F370" i="16"/>
  <c r="F434" i="16"/>
  <c r="F498" i="16"/>
  <c r="F562" i="16"/>
  <c r="F626" i="16"/>
  <c r="F339" i="16"/>
  <c r="F467" i="16"/>
  <c r="F531" i="16"/>
  <c r="F595" i="16"/>
  <c r="F659" i="16"/>
  <c r="F395" i="16"/>
  <c r="F212" i="16"/>
  <c r="F276" i="16"/>
  <c r="F340" i="16"/>
  <c r="F404" i="16"/>
  <c r="F468" i="16"/>
  <c r="F532" i="16"/>
  <c r="F1020" i="16"/>
  <c r="F1100" i="16"/>
  <c r="F1188" i="16"/>
  <c r="F331" i="16"/>
  <c r="F189" i="16"/>
  <c r="F253" i="16"/>
  <c r="F317" i="16"/>
  <c r="F381" i="16"/>
  <c r="F445" i="16"/>
  <c r="F509" i="16"/>
  <c r="F573" i="16"/>
  <c r="F637" i="16"/>
  <c r="F462" i="16"/>
  <c r="F526" i="16"/>
  <c r="F590" i="16"/>
  <c r="F870" i="16"/>
  <c r="F950" i="16"/>
  <c r="F1022" i="16"/>
  <c r="F1086" i="16"/>
  <c r="F1150" i="16"/>
  <c r="F1214" i="16"/>
  <c r="F319" i="16"/>
  <c r="F383" i="16"/>
  <c r="F447" i="16"/>
  <c r="F511" i="16"/>
  <c r="F575" i="16"/>
  <c r="F639" i="16"/>
  <c r="F703" i="16"/>
  <c r="F767" i="16"/>
  <c r="F608" i="16"/>
  <c r="F672" i="16"/>
  <c r="F706" i="16"/>
  <c r="F770" i="16"/>
  <c r="F834" i="16"/>
  <c r="F222" i="16"/>
  <c r="F342" i="16"/>
  <c r="F406" i="16"/>
  <c r="F191" i="16"/>
  <c r="F255" i="16"/>
  <c r="F280" i="16"/>
  <c r="F568" i="16"/>
  <c r="F368" i="16"/>
  <c r="F249" i="16"/>
  <c r="F505" i="16"/>
  <c r="F673" i="16"/>
  <c r="F737" i="16"/>
  <c r="F238" i="16"/>
  <c r="F432" i="16"/>
  <c r="F329" i="16"/>
  <c r="F593" i="16"/>
  <c r="F234" i="16"/>
  <c r="F176" i="16"/>
  <c r="F496" i="16"/>
  <c r="F353" i="16"/>
  <c r="F633" i="16"/>
  <c r="F182" i="16"/>
  <c r="F336" i="16"/>
  <c r="F241" i="16"/>
  <c r="F513" i="16"/>
  <c r="F171" i="16"/>
  <c r="F825" i="16"/>
  <c r="F889" i="16"/>
  <c r="F953" i="16"/>
  <c r="F1017" i="16"/>
  <c r="F1081" i="16"/>
  <c r="F1145" i="16"/>
  <c r="F1209" i="16"/>
  <c r="F314" i="16"/>
  <c r="F378" i="16"/>
  <c r="F442" i="16"/>
  <c r="F506" i="16"/>
  <c r="F570" i="16"/>
  <c r="F634" i="16"/>
  <c r="F363" i="16"/>
  <c r="F475" i="16"/>
  <c r="F539" i="16"/>
  <c r="F603" i="16"/>
  <c r="F667" i="16"/>
  <c r="F427" i="16"/>
  <c r="F220" i="16"/>
  <c r="F284" i="16"/>
  <c r="F348" i="16"/>
  <c r="F412" i="16"/>
  <c r="F476" i="16"/>
  <c r="F540" i="16"/>
  <c r="F1028" i="16"/>
  <c r="F1116" i="16"/>
  <c r="F1196" i="16"/>
  <c r="F355" i="16"/>
  <c r="F197" i="16"/>
  <c r="F261" i="16"/>
  <c r="F325" i="16"/>
  <c r="F389" i="16"/>
  <c r="F453" i="16"/>
  <c r="F517" i="16"/>
  <c r="F581" i="16"/>
  <c r="F645" i="16"/>
  <c r="F470" i="16"/>
  <c r="F534" i="16"/>
  <c r="F598" i="16"/>
  <c r="F886" i="16"/>
  <c r="F958" i="16"/>
  <c r="F1030" i="16"/>
  <c r="F1094" i="16"/>
  <c r="F1158" i="16"/>
  <c r="F1222" i="16"/>
  <c r="F327" i="16"/>
  <c r="F391" i="16"/>
  <c r="F455" i="16"/>
  <c r="F519" i="16"/>
  <c r="F583" i="16"/>
  <c r="F647" i="16"/>
  <c r="F711" i="16"/>
  <c r="F775" i="16"/>
  <c r="F246" i="16"/>
  <c r="F350" i="16"/>
  <c r="F414" i="16"/>
  <c r="F199" i="16"/>
  <c r="F263" i="16"/>
  <c r="F320" i="16"/>
  <c r="F166" i="16"/>
  <c r="F400" i="16"/>
  <c r="F281" i="16"/>
  <c r="F529" i="16"/>
  <c r="F681" i="16"/>
  <c r="F745" i="16"/>
  <c r="F160" i="16"/>
  <c r="F472" i="16"/>
  <c r="F361" i="16"/>
  <c r="F617" i="16"/>
  <c r="F242" i="16"/>
  <c r="F216" i="16"/>
  <c r="F552" i="16"/>
  <c r="F377" i="16"/>
  <c r="F194" i="16"/>
  <c r="F230" i="16"/>
  <c r="F376" i="16"/>
  <c r="F273" i="16"/>
  <c r="F545" i="16"/>
  <c r="F187" i="16"/>
  <c r="F833" i="16"/>
  <c r="F897" i="16"/>
  <c r="F961" i="16"/>
  <c r="F1025" i="16"/>
  <c r="F1089" i="16"/>
  <c r="F1153" i="16"/>
  <c r="F1217" i="16"/>
  <c r="F322" i="16"/>
  <c r="F386" i="16"/>
  <c r="F450" i="16"/>
  <c r="F514" i="16"/>
  <c r="F578" i="16"/>
  <c r="F642" i="16"/>
  <c r="F387" i="16"/>
  <c r="F483" i="16"/>
  <c r="F547" i="16"/>
  <c r="F611" i="16"/>
  <c r="F243" i="16"/>
  <c r="F164" i="16"/>
  <c r="F228" i="16"/>
  <c r="F292" i="16"/>
  <c r="F356" i="16"/>
  <c r="F420" i="16"/>
  <c r="F484" i="16"/>
  <c r="F620" i="16"/>
  <c r="F1036" i="16"/>
  <c r="F1124" i="16"/>
  <c r="F1212" i="16"/>
  <c r="F379" i="16"/>
  <c r="F205" i="16"/>
  <c r="F269" i="16"/>
  <c r="F333" i="16"/>
  <c r="F397" i="16"/>
  <c r="F461" i="16"/>
  <c r="F525" i="16"/>
  <c r="F589" i="16"/>
  <c r="F653" i="16"/>
  <c r="F478" i="16"/>
  <c r="F542" i="16"/>
  <c r="F606" i="16"/>
  <c r="F894" i="16"/>
  <c r="F966" i="16"/>
  <c r="F1038" i="16"/>
  <c r="F1102" i="16"/>
  <c r="F1166" i="16"/>
  <c r="F1230" i="16"/>
  <c r="F335" i="16"/>
  <c r="F399" i="16"/>
  <c r="F463" i="16"/>
  <c r="F527" i="16"/>
  <c r="F591" i="16"/>
  <c r="F655" i="16"/>
  <c r="F719" i="16"/>
  <c r="F783" i="16"/>
  <c r="F624" i="16"/>
  <c r="F658" i="16"/>
  <c r="F722" i="16"/>
  <c r="F786" i="16"/>
  <c r="F850" i="16"/>
  <c r="F294" i="16"/>
  <c r="F358" i="16"/>
  <c r="F422" i="16"/>
  <c r="F207" i="16"/>
  <c r="F271" i="16"/>
  <c r="F360" i="16"/>
  <c r="F214" i="16"/>
  <c r="F440" i="16"/>
  <c r="F313" i="16"/>
  <c r="F553" i="16"/>
  <c r="F689" i="16"/>
  <c r="F753" i="16"/>
  <c r="F200" i="16"/>
  <c r="F512" i="16"/>
  <c r="F393" i="16"/>
  <c r="F657" i="16"/>
  <c r="F250" i="16"/>
  <c r="F264" i="16"/>
  <c r="F161" i="16"/>
  <c r="F409" i="16"/>
  <c r="F163" i="16"/>
  <c r="F286" i="16"/>
  <c r="F424" i="16"/>
  <c r="F305" i="16"/>
  <c r="F569" i="16"/>
  <c r="F211" i="16"/>
  <c r="F841" i="16"/>
  <c r="F905" i="16"/>
  <c r="F969" i="16"/>
  <c r="F1033" i="16"/>
  <c r="F1097" i="16"/>
  <c r="F1161" i="16"/>
  <c r="F1225" i="16"/>
  <c r="F330" i="16"/>
  <c r="F394" i="16"/>
  <c r="F458" i="16"/>
  <c r="F522" i="16"/>
  <c r="F586" i="16"/>
  <c r="F235" i="16"/>
  <c r="F411" i="16"/>
  <c r="F491" i="16"/>
  <c r="F555" i="16"/>
  <c r="F619" i="16"/>
  <c r="F267" i="16"/>
  <c r="F172" i="16"/>
  <c r="F236" i="16"/>
  <c r="F300" i="16"/>
  <c r="F364" i="16"/>
  <c r="F428" i="16"/>
  <c r="F492" i="16"/>
  <c r="F652" i="16"/>
  <c r="F1052" i="16"/>
  <c r="F1132" i="16"/>
  <c r="F1220" i="16"/>
  <c r="F403" i="16"/>
  <c r="F213" i="16"/>
  <c r="F277" i="16"/>
  <c r="F341" i="16"/>
  <c r="F405" i="16"/>
  <c r="F469" i="16"/>
  <c r="F533" i="16"/>
  <c r="F597" i="16"/>
  <c r="F661" i="16"/>
  <c r="F486" i="16"/>
  <c r="F550" i="16"/>
  <c r="F614" i="16"/>
  <c r="F902" i="16"/>
  <c r="F974" i="16"/>
  <c r="F1046" i="16"/>
  <c r="F1110" i="16"/>
  <c r="F1174" i="16"/>
  <c r="F279" i="16"/>
  <c r="F343" i="16"/>
  <c r="F407" i="16"/>
  <c r="F471" i="16"/>
  <c r="F535" i="16"/>
  <c r="F599" i="16"/>
  <c r="F663" i="16"/>
  <c r="F727" i="16"/>
  <c r="F791" i="16"/>
  <c r="F302" i="16"/>
  <c r="F366" i="16"/>
  <c r="F430" i="16"/>
  <c r="F215" i="16"/>
  <c r="F158" i="16"/>
  <c r="F408" i="16"/>
  <c r="F254" i="16"/>
  <c r="F480" i="16"/>
  <c r="F345" i="16"/>
  <c r="F585" i="16"/>
  <c r="F697" i="16"/>
  <c r="F761" i="16"/>
  <c r="F248" i="16"/>
  <c r="F536" i="16"/>
  <c r="F425" i="16"/>
  <c r="F170" i="16"/>
  <c r="F258" i="16"/>
  <c r="F304" i="16"/>
  <c r="F193" i="16"/>
  <c r="F433" i="16"/>
  <c r="F179" i="16"/>
  <c r="F168" i="16"/>
  <c r="F464" i="16"/>
  <c r="F337" i="16"/>
  <c r="F601" i="16"/>
  <c r="F270" i="16"/>
  <c r="F849" i="16"/>
  <c r="F913" i="16"/>
  <c r="F977" i="16"/>
  <c r="F1041" i="16"/>
  <c r="F1105" i="16"/>
  <c r="F1169" i="16"/>
  <c r="F1233" i="16"/>
  <c r="F338" i="16"/>
  <c r="F402" i="16"/>
  <c r="F466" i="16"/>
  <c r="F530" i="16"/>
  <c r="F594" i="16"/>
  <c r="F259" i="16"/>
  <c r="F419" i="16"/>
  <c r="F499" i="16"/>
  <c r="F563" i="16"/>
  <c r="F627" i="16"/>
  <c r="F291" i="16"/>
  <c r="F180" i="16"/>
  <c r="F244" i="16"/>
  <c r="F308" i="16"/>
  <c r="F372" i="16"/>
  <c r="F436" i="16"/>
  <c r="F500" i="16"/>
  <c r="F684" i="16"/>
  <c r="F1060" i="16"/>
  <c r="F1148" i="16"/>
  <c r="F1228" i="16"/>
  <c r="F443" i="16"/>
  <c r="F221" i="16"/>
  <c r="F285" i="16"/>
  <c r="F349" i="16"/>
  <c r="F413" i="16"/>
  <c r="F477" i="16"/>
  <c r="F541" i="16"/>
  <c r="F605" i="16"/>
  <c r="F669" i="16"/>
  <c r="F494" i="16"/>
  <c r="F558" i="16"/>
  <c r="F838" i="16"/>
  <c r="F910" i="16"/>
  <c r="F982" i="16"/>
  <c r="F1054" i="16"/>
  <c r="F1118" i="16"/>
  <c r="F1182" i="16"/>
  <c r="F287" i="16"/>
  <c r="F351" i="16"/>
  <c r="F415" i="16"/>
  <c r="F310" i="16"/>
  <c r="F374" i="16"/>
  <c r="F159" i="16"/>
  <c r="F223" i="16"/>
  <c r="F206" i="16"/>
  <c r="F448" i="16"/>
  <c r="F192" i="16"/>
  <c r="F528" i="16"/>
  <c r="F385" i="16"/>
  <c r="F609" i="16"/>
  <c r="F705" i="16"/>
  <c r="F769" i="16"/>
  <c r="F272" i="16"/>
  <c r="F185" i="16"/>
  <c r="F457" i="16"/>
  <c r="F186" i="16"/>
  <c r="F266" i="16"/>
  <c r="F344" i="16"/>
  <c r="F225" i="16"/>
  <c r="F465" i="16"/>
  <c r="F195" i="16"/>
  <c r="F208" i="16"/>
  <c r="F504" i="16"/>
  <c r="F369" i="16"/>
  <c r="F665" i="16"/>
  <c r="F793" i="16"/>
  <c r="F857" i="16"/>
  <c r="F921" i="16"/>
  <c r="F985" i="16"/>
  <c r="F1049" i="16"/>
  <c r="F1113" i="16"/>
  <c r="F1177" i="16"/>
  <c r="F282" i="16"/>
  <c r="F346" i="16"/>
  <c r="F410" i="16"/>
  <c r="F474" i="16"/>
  <c r="F538" i="16"/>
  <c r="F602" i="16"/>
  <c r="F275" i="16"/>
  <c r="F435" i="16"/>
  <c r="F507" i="16"/>
  <c r="F571" i="16"/>
  <c r="F635" i="16"/>
  <c r="F315" i="16"/>
  <c r="F188" i="16"/>
  <c r="F252" i="16"/>
  <c r="F316" i="16"/>
  <c r="F380" i="16"/>
  <c r="F444" i="16"/>
  <c r="F508" i="16"/>
  <c r="F716" i="16"/>
  <c r="F1068" i="16"/>
  <c r="F1156" i="16"/>
  <c r="F251" i="16"/>
  <c r="F165" i="16"/>
  <c r="F229" i="16"/>
  <c r="F293" i="16"/>
  <c r="F357" i="16"/>
  <c r="F421" i="16"/>
  <c r="F485" i="16"/>
  <c r="F549" i="16"/>
  <c r="F613" i="16"/>
  <c r="F438" i="16"/>
  <c r="F502" i="16"/>
  <c r="F318" i="16"/>
  <c r="F382" i="16"/>
  <c r="F167" i="16"/>
  <c r="F231" i="16"/>
  <c r="F262" i="16"/>
  <c r="F488" i="16"/>
  <c r="F240" i="16"/>
  <c r="F169" i="16"/>
  <c r="F417" i="16"/>
  <c r="F625" i="16"/>
  <c r="F713" i="16"/>
  <c r="F777" i="16"/>
  <c r="F312" i="16"/>
  <c r="F217" i="16"/>
  <c r="F489" i="16"/>
  <c r="F202" i="16"/>
  <c r="F274" i="16"/>
  <c r="F384" i="16"/>
  <c r="F257" i="16"/>
  <c r="F497" i="16"/>
  <c r="F203" i="16"/>
  <c r="F224" i="16"/>
  <c r="F544" i="16"/>
  <c r="F401" i="16"/>
  <c r="F162" i="16"/>
  <c r="F801" i="16"/>
  <c r="F865" i="16"/>
  <c r="F929" i="16"/>
  <c r="F993" i="16"/>
  <c r="F1057" i="16"/>
  <c r="F1121" i="16"/>
  <c r="F1185" i="16"/>
  <c r="F290" i="16"/>
  <c r="F354" i="16"/>
  <c r="F418" i="16"/>
  <c r="F482" i="16"/>
  <c r="F546" i="16"/>
  <c r="F610" i="16"/>
  <c r="F299" i="16"/>
  <c r="F451" i="16"/>
  <c r="F515" i="16"/>
  <c r="F579" i="16"/>
  <c r="F643" i="16"/>
  <c r="F347" i="16"/>
  <c r="F196" i="16"/>
  <c r="F260" i="16"/>
  <c r="F324" i="16"/>
  <c r="F388" i="16"/>
  <c r="F452" i="16"/>
  <c r="F516" i="16"/>
  <c r="F780" i="16"/>
  <c r="F1084" i="16"/>
  <c r="F1164" i="16"/>
  <c r="F283" i="16"/>
  <c r="F173" i="16"/>
  <c r="F237" i="16"/>
  <c r="F301" i="16"/>
  <c r="F365" i="16"/>
  <c r="F429" i="16"/>
  <c r="F493" i="16"/>
  <c r="F557" i="16"/>
  <c r="F621" i="16"/>
  <c r="F446" i="16"/>
  <c r="F510" i="16"/>
  <c r="F574" i="16"/>
  <c r="F854" i="16"/>
  <c r="F926" i="16"/>
  <c r="F998" i="16"/>
  <c r="F1070" i="16"/>
  <c r="F1134" i="16"/>
  <c r="F1198" i="16"/>
  <c r="F303" i="16"/>
  <c r="F367" i="16"/>
  <c r="F431" i="16"/>
  <c r="F326" i="16"/>
  <c r="F449" i="16"/>
  <c r="F190" i="16"/>
  <c r="F178" i="16"/>
  <c r="F298" i="16"/>
  <c r="F523" i="16"/>
  <c r="F460" i="16"/>
  <c r="F309" i="16"/>
  <c r="F566" i="16"/>
  <c r="F1062" i="16"/>
  <c r="F359" i="16"/>
  <c r="F543" i="16"/>
  <c r="F671" i="16"/>
  <c r="F576" i="16"/>
  <c r="F656" i="16"/>
  <c r="F714" i="16"/>
  <c r="F802" i="16"/>
  <c r="F882" i="16"/>
  <c r="F390" i="16"/>
  <c r="F641" i="16"/>
  <c r="F416" i="16"/>
  <c r="F809" i="16"/>
  <c r="F362" i="16"/>
  <c r="F587" i="16"/>
  <c r="F524" i="16"/>
  <c r="F373" i="16"/>
  <c r="F582" i="16"/>
  <c r="F1078" i="16"/>
  <c r="F375" i="16"/>
  <c r="F551" i="16"/>
  <c r="F679" i="16"/>
  <c r="F584" i="16"/>
  <c r="F664" i="16"/>
  <c r="F730" i="16"/>
  <c r="F810" i="16"/>
  <c r="F890" i="16"/>
  <c r="F954" i="16"/>
  <c r="F1018" i="16"/>
  <c r="F1082" i="16"/>
  <c r="F1146" i="16"/>
  <c r="F1210" i="16"/>
  <c r="F715" i="16"/>
  <c r="F779" i="16"/>
  <c r="F843" i="16"/>
  <c r="F907" i="16"/>
  <c r="F971" i="16"/>
  <c r="F1035" i="16"/>
  <c r="F1099" i="16"/>
  <c r="F1163" i="16"/>
  <c r="F1227" i="16"/>
  <c r="F604" i="16"/>
  <c r="F692" i="16"/>
  <c r="F772" i="16"/>
  <c r="F852" i="16"/>
  <c r="F916" i="16"/>
  <c r="F980" i="16"/>
  <c r="F701" i="16"/>
  <c r="F765" i="16"/>
  <c r="F829" i="16"/>
  <c r="F893" i="16"/>
  <c r="F957" i="16"/>
  <c r="F1021" i="16"/>
  <c r="F1085" i="16"/>
  <c r="F1149" i="16"/>
  <c r="F1213" i="16"/>
  <c r="F662" i="16"/>
  <c r="F726" i="16"/>
  <c r="F790" i="16"/>
  <c r="F815" i="16"/>
  <c r="F879" i="16"/>
  <c r="F943" i="16"/>
  <c r="F1007" i="16"/>
  <c r="F1071" i="16"/>
  <c r="F1135" i="16"/>
  <c r="F1199" i="16"/>
  <c r="F704" i="16"/>
  <c r="F768" i="16"/>
  <c r="F832" i="16"/>
  <c r="F896" i="16"/>
  <c r="F960" i="16"/>
  <c r="F1024" i="16"/>
  <c r="F1088" i="16"/>
  <c r="F1152" i="16"/>
  <c r="F1216" i="16"/>
  <c r="F1168" i="16"/>
  <c r="F352" i="16"/>
  <c r="F554" i="16"/>
  <c r="F1180" i="16"/>
  <c r="F1190" i="16"/>
  <c r="F616" i="16"/>
  <c r="F754" i="16"/>
  <c r="F978" i="16"/>
  <c r="F1042" i="16"/>
  <c r="F675" i="16"/>
  <c r="F867" i="16"/>
  <c r="F1059" i="16"/>
  <c r="F1187" i="16"/>
  <c r="F804" i="16"/>
  <c r="F940" i="16"/>
  <c r="F789" i="16"/>
  <c r="F981" i="16"/>
  <c r="F1173" i="16"/>
  <c r="F750" i="16"/>
  <c r="F175" i="16"/>
  <c r="F721" i="16"/>
  <c r="F289" i="16"/>
  <c r="F873" i="16"/>
  <c r="F426" i="16"/>
  <c r="F651" i="16"/>
  <c r="F812" i="16"/>
  <c r="F437" i="16"/>
  <c r="F846" i="16"/>
  <c r="F1126" i="16"/>
  <c r="F423" i="16"/>
  <c r="F559" i="16"/>
  <c r="F687" i="16"/>
  <c r="F592" i="16"/>
  <c r="F650" i="16"/>
  <c r="F738" i="16"/>
  <c r="F818" i="16"/>
  <c r="F898" i="16"/>
  <c r="F962" i="16"/>
  <c r="F1026" i="16"/>
  <c r="F1090" i="16"/>
  <c r="F1154" i="16"/>
  <c r="F1218" i="16"/>
  <c r="F723" i="16"/>
  <c r="F787" i="16"/>
  <c r="F851" i="16"/>
  <c r="F915" i="16"/>
  <c r="F979" i="16"/>
  <c r="F1043" i="16"/>
  <c r="F1107" i="16"/>
  <c r="F1171" i="16"/>
  <c r="F548" i="16"/>
  <c r="F612" i="16"/>
  <c r="F700" i="16"/>
  <c r="F788" i="16"/>
  <c r="F860" i="16"/>
  <c r="F924" i="16"/>
  <c r="F988" i="16"/>
  <c r="F709" i="16"/>
  <c r="F773" i="16"/>
  <c r="F837" i="16"/>
  <c r="F901" i="16"/>
  <c r="F965" i="16"/>
  <c r="F1029" i="16"/>
  <c r="F1093" i="16"/>
  <c r="F1157" i="16"/>
  <c r="F1221" i="16"/>
  <c r="F670" i="16"/>
  <c r="F734" i="16"/>
  <c r="F798" i="16"/>
  <c r="F823" i="16"/>
  <c r="F887" i="16"/>
  <c r="F951" i="16"/>
  <c r="F1015" i="16"/>
  <c r="F1079" i="16"/>
  <c r="F1143" i="16"/>
  <c r="F1207" i="16"/>
  <c r="F712" i="16"/>
  <c r="F776" i="16"/>
  <c r="F840" i="16"/>
  <c r="F904" i="16"/>
  <c r="F968" i="16"/>
  <c r="F1032" i="16"/>
  <c r="F1096" i="16"/>
  <c r="F1160" i="16"/>
  <c r="F1224" i="16"/>
  <c r="F1104" i="16"/>
  <c r="F184" i="16"/>
  <c r="F204" i="16"/>
  <c r="F565" i="16"/>
  <c r="F479" i="16"/>
  <c r="F674" i="16"/>
  <c r="F914" i="16"/>
  <c r="F1170" i="16"/>
  <c r="F803" i="16"/>
  <c r="F1123" i="16"/>
  <c r="F564" i="16"/>
  <c r="F724" i="16"/>
  <c r="F876" i="16"/>
  <c r="F725" i="16"/>
  <c r="F917" i="16"/>
  <c r="F1045" i="16"/>
  <c r="F622" i="16"/>
  <c r="F814" i="16"/>
  <c r="F903" i="16"/>
  <c r="F239" i="16"/>
  <c r="F785" i="16"/>
  <c r="F537" i="16"/>
  <c r="F937" i="16"/>
  <c r="F490" i="16"/>
  <c r="F371" i="16"/>
  <c r="F1092" i="16"/>
  <c r="F501" i="16"/>
  <c r="F862" i="16"/>
  <c r="F1142" i="16"/>
  <c r="F439" i="16"/>
  <c r="F567" i="16"/>
  <c r="F695" i="16"/>
  <c r="F600" i="16"/>
  <c r="F666" i="16"/>
  <c r="F746" i="16"/>
  <c r="F826" i="16"/>
  <c r="F906" i="16"/>
  <c r="F970" i="16"/>
  <c r="F1034" i="16"/>
  <c r="F1098" i="16"/>
  <c r="F1162" i="16"/>
  <c r="F1226" i="16"/>
  <c r="F731" i="16"/>
  <c r="F795" i="16"/>
  <c r="F859" i="16"/>
  <c r="F923" i="16"/>
  <c r="F987" i="16"/>
  <c r="F1051" i="16"/>
  <c r="F1115" i="16"/>
  <c r="F1179" i="16"/>
  <c r="F556" i="16"/>
  <c r="F628" i="16"/>
  <c r="F708" i="16"/>
  <c r="F796" i="16"/>
  <c r="F868" i="16"/>
  <c r="F932" i="16"/>
  <c r="F996" i="16"/>
  <c r="F717" i="16"/>
  <c r="F781" i="16"/>
  <c r="F845" i="16"/>
  <c r="F909" i="16"/>
  <c r="F973" i="16"/>
  <c r="F1037" i="16"/>
  <c r="F1101" i="16"/>
  <c r="F1165" i="16"/>
  <c r="F1229" i="16"/>
  <c r="F678" i="16"/>
  <c r="F742" i="16"/>
  <c r="F806" i="16"/>
  <c r="F831" i="16"/>
  <c r="F895" i="16"/>
  <c r="F959" i="16"/>
  <c r="F1023" i="16"/>
  <c r="F1087" i="16"/>
  <c r="F1151" i="16"/>
  <c r="F1215" i="16"/>
  <c r="F720" i="16"/>
  <c r="F784" i="16"/>
  <c r="F848" i="16"/>
  <c r="F912" i="16"/>
  <c r="F976" i="16"/>
  <c r="F1040" i="16"/>
  <c r="F1232" i="16"/>
  <c r="F219" i="16"/>
  <c r="F918" i="16"/>
  <c r="F735" i="16"/>
  <c r="F842" i="16"/>
  <c r="F1106" i="16"/>
  <c r="F739" i="16"/>
  <c r="F995" i="16"/>
  <c r="F636" i="16"/>
  <c r="F1004" i="16"/>
  <c r="F853" i="16"/>
  <c r="F1109" i="16"/>
  <c r="F686" i="16"/>
  <c r="F1001" i="16"/>
  <c r="F607" i="16"/>
  <c r="F931" i="16"/>
  <c r="F520" i="16"/>
  <c r="F265" i="16"/>
  <c r="F256" i="16"/>
  <c r="F1065" i="16"/>
  <c r="F618" i="16"/>
  <c r="F268" i="16"/>
  <c r="F307" i="16"/>
  <c r="F629" i="16"/>
  <c r="F934" i="16"/>
  <c r="F1206" i="16"/>
  <c r="F487" i="16"/>
  <c r="F615" i="16"/>
  <c r="F743" i="16"/>
  <c r="F632" i="16"/>
  <c r="F682" i="16"/>
  <c r="F762" i="16"/>
  <c r="F858" i="16"/>
  <c r="F922" i="16"/>
  <c r="F986" i="16"/>
  <c r="F1050" i="16"/>
  <c r="F1114" i="16"/>
  <c r="F1178" i="16"/>
  <c r="F683" i="16"/>
  <c r="F747" i="16"/>
  <c r="F811" i="16"/>
  <c r="F875" i="16"/>
  <c r="F939" i="16"/>
  <c r="F1003" i="16"/>
  <c r="F1067" i="16"/>
  <c r="F1131" i="16"/>
  <c r="F1195" i="16"/>
  <c r="F572" i="16"/>
  <c r="F644" i="16"/>
  <c r="F732" i="16"/>
  <c r="F820" i="16"/>
  <c r="F884" i="16"/>
  <c r="F948" i="16"/>
  <c r="F1012" i="16"/>
  <c r="F733" i="16"/>
  <c r="F797" i="16"/>
  <c r="F861" i="16"/>
  <c r="F925" i="16"/>
  <c r="F989" i="16"/>
  <c r="F1053" i="16"/>
  <c r="F1117" i="16"/>
  <c r="F1181" i="16"/>
  <c r="F630" i="16"/>
  <c r="F694" i="16"/>
  <c r="F758" i="16"/>
  <c r="F822" i="16"/>
  <c r="F847" i="16"/>
  <c r="F911" i="16"/>
  <c r="F975" i="16"/>
  <c r="F1039" i="16"/>
  <c r="F1103" i="16"/>
  <c r="F1167" i="16"/>
  <c r="F1231" i="16"/>
  <c r="F736" i="16"/>
  <c r="F800" i="16"/>
  <c r="F864" i="16"/>
  <c r="F928" i="16"/>
  <c r="F992" i="16"/>
  <c r="F1056" i="16"/>
  <c r="F1120" i="16"/>
  <c r="F1184" i="16"/>
  <c r="F288" i="16"/>
  <c r="F521" i="16"/>
  <c r="F177" i="16"/>
  <c r="F1129" i="16"/>
  <c r="F323" i="16"/>
  <c r="F332" i="16"/>
  <c r="F181" i="16"/>
  <c r="F454" i="16"/>
  <c r="F990" i="16"/>
  <c r="F295" i="16"/>
  <c r="F495" i="16"/>
  <c r="F623" i="16"/>
  <c r="F751" i="16"/>
  <c r="F640" i="16"/>
  <c r="F690" i="16"/>
  <c r="F778" i="16"/>
  <c r="F866" i="16"/>
  <c r="F930" i="16"/>
  <c r="F994" i="16"/>
  <c r="F1058" i="16"/>
  <c r="F1122" i="16"/>
  <c r="F1186" i="16"/>
  <c r="F691" i="16"/>
  <c r="F755" i="16"/>
  <c r="F819" i="16"/>
  <c r="F883" i="16"/>
  <c r="F947" i="16"/>
  <c r="F1011" i="16"/>
  <c r="F1075" i="16"/>
  <c r="F1139" i="16"/>
  <c r="F1203" i="16"/>
  <c r="F580" i="16"/>
  <c r="F660" i="16"/>
  <c r="F740" i="16"/>
  <c r="F828" i="16"/>
  <c r="F892" i="16"/>
  <c r="F956" i="16"/>
  <c r="F677" i="16"/>
  <c r="F741" i="16"/>
  <c r="F805" i="16"/>
  <c r="F869" i="16"/>
  <c r="F933" i="16"/>
  <c r="F997" i="16"/>
  <c r="F1061" i="16"/>
  <c r="F1125" i="16"/>
  <c r="F1189" i="16"/>
  <c r="F638" i="16"/>
  <c r="F702" i="16"/>
  <c r="F766" i="16"/>
  <c r="F830" i="16"/>
  <c r="F855" i="16"/>
  <c r="F919" i="16"/>
  <c r="F983" i="16"/>
  <c r="F1047" i="16"/>
  <c r="F1111" i="16"/>
  <c r="F1175" i="16"/>
  <c r="F680" i="16"/>
  <c r="F744" i="16"/>
  <c r="F808" i="16"/>
  <c r="F872" i="16"/>
  <c r="F936" i="16"/>
  <c r="F1000" i="16"/>
  <c r="F1064" i="16"/>
  <c r="F1128" i="16"/>
  <c r="F1192" i="16"/>
  <c r="F201" i="16"/>
  <c r="F218" i="16"/>
  <c r="F441" i="16"/>
  <c r="F1193" i="16"/>
  <c r="F459" i="16"/>
  <c r="F396" i="16"/>
  <c r="F245" i="16"/>
  <c r="F518" i="16"/>
  <c r="F1014" i="16"/>
  <c r="F311" i="16"/>
  <c r="F503" i="16"/>
  <c r="F631" i="16"/>
  <c r="F648" i="16"/>
  <c r="F1066" i="16"/>
  <c r="F763" i="16"/>
  <c r="F1019" i="16"/>
  <c r="F588" i="16"/>
  <c r="F900" i="16"/>
  <c r="F813" i="16"/>
  <c r="F1069" i="16"/>
  <c r="F710" i="16"/>
  <c r="F871" i="16"/>
  <c r="F1063" i="16"/>
  <c r="F688" i="16"/>
  <c r="F856" i="16"/>
  <c r="F1016" i="16"/>
  <c r="F1200" i="16"/>
  <c r="F874" i="16"/>
  <c r="F1091" i="16"/>
  <c r="F972" i="16"/>
  <c r="F1141" i="16"/>
  <c r="F967" i="16"/>
  <c r="F752" i="16"/>
  <c r="F1080" i="16"/>
  <c r="F699" i="16"/>
  <c r="F749" i="16"/>
  <c r="F839" i="16"/>
  <c r="F1144" i="16"/>
  <c r="F1219" i="16"/>
  <c r="F1013" i="16"/>
  <c r="F824" i="16"/>
  <c r="F698" i="16"/>
  <c r="F1074" i="16"/>
  <c r="F771" i="16"/>
  <c r="F1027" i="16"/>
  <c r="F596" i="16"/>
  <c r="F908" i="16"/>
  <c r="F821" i="16"/>
  <c r="F1077" i="16"/>
  <c r="F718" i="16"/>
  <c r="F927" i="16"/>
  <c r="F1095" i="16"/>
  <c r="F696" i="16"/>
  <c r="F880" i="16"/>
  <c r="F1048" i="16"/>
  <c r="F1208" i="16"/>
  <c r="F1211" i="16"/>
  <c r="F646" i="16"/>
  <c r="F816" i="16"/>
  <c r="F707" i="16"/>
  <c r="F844" i="16"/>
  <c r="F1055" i="16"/>
  <c r="F794" i="16"/>
  <c r="F1130" i="16"/>
  <c r="F827" i="16"/>
  <c r="F1083" i="16"/>
  <c r="F668" i="16"/>
  <c r="F964" i="16"/>
  <c r="F877" i="16"/>
  <c r="F1133" i="16"/>
  <c r="F774" i="16"/>
  <c r="F935" i="16"/>
  <c r="F1119" i="16"/>
  <c r="F728" i="16"/>
  <c r="F888" i="16"/>
  <c r="F1072" i="16"/>
  <c r="F1138" i="16"/>
  <c r="F835" i="16"/>
  <c r="F676" i="16"/>
  <c r="F885" i="16"/>
  <c r="F782" i="16"/>
  <c r="F1127" i="16"/>
  <c r="F920" i="16"/>
  <c r="F1002" i="16"/>
  <c r="F836" i="16"/>
  <c r="F1005" i="16"/>
  <c r="F1191" i="16"/>
  <c r="F1010" i="16"/>
  <c r="F654" i="16"/>
  <c r="F1008" i="16"/>
  <c r="F938" i="16"/>
  <c r="F1194" i="16"/>
  <c r="F891" i="16"/>
  <c r="F1147" i="16"/>
  <c r="F756" i="16"/>
  <c r="F685" i="16"/>
  <c r="F941" i="16"/>
  <c r="F1197" i="16"/>
  <c r="F799" i="16"/>
  <c r="F991" i="16"/>
  <c r="F1159" i="16"/>
  <c r="F760" i="16"/>
  <c r="F944" i="16"/>
  <c r="F1112" i="16"/>
  <c r="F955" i="16"/>
  <c r="F1031" i="16"/>
  <c r="F963" i="16"/>
  <c r="F757" i="16"/>
  <c r="F1223" i="16"/>
  <c r="F946" i="16"/>
  <c r="F1202" i="16"/>
  <c r="F899" i="16"/>
  <c r="F1155" i="16"/>
  <c r="F764" i="16"/>
  <c r="F693" i="16"/>
  <c r="F949" i="16"/>
  <c r="F1205" i="16"/>
  <c r="F807" i="16"/>
  <c r="F999" i="16"/>
  <c r="F1183" i="16"/>
  <c r="F792" i="16"/>
  <c r="F952" i="16"/>
  <c r="F1136" i="16"/>
  <c r="F984" i="16"/>
  <c r="F759" i="16"/>
  <c r="F863" i="16"/>
  <c r="F1176" i="16"/>
  <c r="F79" i="14"/>
  <c r="F87" i="14"/>
  <c r="F95" i="14"/>
  <c r="F103" i="14"/>
  <c r="F111" i="14"/>
  <c r="F119" i="14"/>
  <c r="F82" i="14"/>
  <c r="F90" i="14"/>
  <c r="F98" i="14"/>
  <c r="F106" i="14"/>
  <c r="F114" i="14"/>
  <c r="F80" i="14"/>
  <c r="F121" i="14"/>
  <c r="F107" i="14"/>
  <c r="F102" i="14"/>
  <c r="F85" i="14"/>
  <c r="F124" i="14"/>
  <c r="F131" i="14"/>
  <c r="F104" i="14"/>
  <c r="F129" i="14"/>
  <c r="F93" i="14"/>
  <c r="F118" i="14"/>
  <c r="F84" i="14"/>
  <c r="F91" i="14"/>
  <c r="F78" i="14"/>
  <c r="F120" i="14"/>
  <c r="F76" i="14"/>
  <c r="F96" i="14"/>
  <c r="F101" i="14"/>
  <c r="F110" i="14"/>
  <c r="F126" i="14"/>
  <c r="F97" i="14"/>
  <c r="F132" i="14"/>
  <c r="F112" i="14"/>
  <c r="F77" i="14"/>
  <c r="F81" i="14"/>
  <c r="F86" i="14"/>
  <c r="F92" i="14"/>
  <c r="F83" i="14"/>
  <c r="F109" i="14"/>
  <c r="F123" i="14"/>
  <c r="F128" i="14"/>
  <c r="F89" i="14"/>
  <c r="F100" i="14"/>
  <c r="F99" i="14"/>
  <c r="F117" i="14"/>
  <c r="F94" i="14"/>
  <c r="F88" i="14"/>
  <c r="F108" i="14"/>
  <c r="F115" i="14"/>
  <c r="F105" i="14"/>
  <c r="F116" i="14"/>
  <c r="F113" i="14"/>
  <c r="F127" i="14"/>
  <c r="F122" i="14"/>
  <c r="F30" i="14"/>
  <c r="F31" i="14"/>
  <c r="F39" i="14"/>
  <c r="F47" i="14"/>
  <c r="F55" i="14"/>
  <c r="F63" i="14"/>
  <c r="F71" i="14"/>
  <c r="F24" i="14"/>
  <c r="F32" i="14"/>
  <c r="F40" i="14"/>
  <c r="F48" i="14"/>
  <c r="F56" i="14"/>
  <c r="F64" i="14"/>
  <c r="F72" i="14"/>
  <c r="F25" i="14"/>
  <c r="F33" i="14"/>
  <c r="F41" i="14"/>
  <c r="F49" i="14"/>
  <c r="F57" i="14"/>
  <c r="F65" i="14"/>
  <c r="F73" i="14"/>
  <c r="F26" i="14"/>
  <c r="F34" i="14"/>
  <c r="F50" i="14"/>
  <c r="F58" i="14"/>
  <c r="F66" i="14"/>
  <c r="F74" i="14"/>
  <c r="F42" i="14"/>
  <c r="F27" i="14"/>
  <c r="F35" i="14"/>
  <c r="F43" i="14"/>
  <c r="F51" i="14"/>
  <c r="F59" i="14"/>
  <c r="F67" i="14"/>
  <c r="F75" i="14"/>
  <c r="F28" i="14"/>
  <c r="F36" i="14"/>
  <c r="F44" i="14"/>
  <c r="F52" i="14"/>
  <c r="F60" i="14"/>
  <c r="F68" i="14"/>
  <c r="F23" i="14"/>
  <c r="F29" i="14"/>
  <c r="F37" i="14"/>
  <c r="F45" i="14"/>
  <c r="F53" i="14"/>
  <c r="F61" i="14"/>
  <c r="F69" i="14"/>
  <c r="F38" i="14"/>
  <c r="F46" i="14"/>
  <c r="F54" i="14"/>
  <c r="F62" i="14"/>
  <c r="F70" i="14"/>
  <c r="F147" i="16"/>
  <c r="F130" i="16"/>
  <c r="F112" i="16"/>
  <c r="F96" i="16"/>
  <c r="F83" i="16"/>
  <c r="F69" i="16"/>
  <c r="F24" i="16"/>
  <c r="F32" i="16"/>
  <c r="F40" i="16"/>
  <c r="F48" i="16"/>
  <c r="F56" i="16"/>
  <c r="F73" i="16"/>
  <c r="F95" i="16"/>
  <c r="F111" i="16"/>
  <c r="F126" i="16"/>
  <c r="F141" i="16"/>
  <c r="F156" i="16"/>
  <c r="F146" i="16"/>
  <c r="F128" i="16"/>
  <c r="F108" i="16"/>
  <c r="F93" i="16"/>
  <c r="F82" i="16"/>
  <c r="F68" i="16"/>
  <c r="F25" i="16"/>
  <c r="F33" i="16"/>
  <c r="F41" i="16"/>
  <c r="F49" i="16"/>
  <c r="F57" i="16"/>
  <c r="F78" i="16"/>
  <c r="F97" i="16"/>
  <c r="F113" i="16"/>
  <c r="F127" i="16"/>
  <c r="F142" i="16"/>
  <c r="F157" i="16"/>
  <c r="F144" i="16"/>
  <c r="F124" i="16"/>
  <c r="F107" i="16"/>
  <c r="F92" i="16"/>
  <c r="F80" i="16"/>
  <c r="F67" i="16"/>
  <c r="F26" i="16"/>
  <c r="F34" i="16"/>
  <c r="F42" i="16"/>
  <c r="F50" i="16"/>
  <c r="F58" i="16"/>
  <c r="F79" i="16"/>
  <c r="F101" i="16"/>
  <c r="F116" i="16"/>
  <c r="F129" i="16"/>
  <c r="F143" i="16"/>
  <c r="F139" i="16"/>
  <c r="F123" i="16"/>
  <c r="F106" i="16"/>
  <c r="F91" i="16"/>
  <c r="F77" i="16"/>
  <c r="F66" i="16"/>
  <c r="F27" i="16"/>
  <c r="F35" i="16"/>
  <c r="F43" i="16"/>
  <c r="F51" i="16"/>
  <c r="F62" i="16"/>
  <c r="F81" i="16"/>
  <c r="F102" i="16"/>
  <c r="F117" i="16"/>
  <c r="F133" i="16"/>
  <c r="F145" i="16"/>
  <c r="F155" i="16"/>
  <c r="F138" i="16"/>
  <c r="F122" i="16"/>
  <c r="F104" i="16"/>
  <c r="F90" i="16"/>
  <c r="F76" i="16"/>
  <c r="F64" i="16"/>
  <c r="F28" i="16"/>
  <c r="F36" i="16"/>
  <c r="F44" i="16"/>
  <c r="F52" i="16"/>
  <c r="F63" i="16"/>
  <c r="F86" i="16"/>
  <c r="F103" i="16"/>
  <c r="F118" i="16"/>
  <c r="F134" i="16"/>
  <c r="F149" i="16"/>
  <c r="F154" i="16"/>
  <c r="F136" i="16"/>
  <c r="F120" i="16"/>
  <c r="F100" i="16"/>
  <c r="F88" i="16"/>
  <c r="F75" i="16"/>
  <c r="F61" i="16"/>
  <c r="F29" i="16"/>
  <c r="F37" i="16"/>
  <c r="F45" i="16"/>
  <c r="F53" i="16"/>
  <c r="F65" i="16"/>
  <c r="F87" i="16"/>
  <c r="F105" i="16"/>
  <c r="F119" i="16"/>
  <c r="F135" i="16"/>
  <c r="F150" i="16"/>
  <c r="F152" i="16"/>
  <c r="F132" i="16"/>
  <c r="F115" i="16"/>
  <c r="F99" i="16"/>
  <c r="F85" i="16"/>
  <c r="F74" i="16"/>
  <c r="F60" i="16"/>
  <c r="F30" i="16"/>
  <c r="F38" i="16"/>
  <c r="F46" i="16"/>
  <c r="F54" i="16"/>
  <c r="F70" i="16"/>
  <c r="F89" i="16"/>
  <c r="F109" i="16"/>
  <c r="F121" i="16"/>
  <c r="F137" i="16"/>
  <c r="F151" i="16"/>
  <c r="F148" i="16"/>
  <c r="F131" i="16"/>
  <c r="F114" i="16"/>
  <c r="F98" i="16"/>
  <c r="F84" i="16"/>
  <c r="F72" i="16"/>
  <c r="F59" i="16"/>
  <c r="F31" i="16"/>
  <c r="F39" i="16"/>
  <c r="F55" i="16"/>
  <c r="F71" i="16"/>
  <c r="F94" i="16"/>
  <c r="F110" i="16"/>
  <c r="F125" i="16"/>
  <c r="F140" i="16"/>
  <c r="F153" i="16"/>
  <c r="F47" i="16"/>
  <c r="F23" i="16"/>
  <c r="F22" i="14"/>
  <c r="F22" i="16"/>
  <c r="P58" i="19"/>
  <c r="V30" i="19"/>
  <c r="N129" i="20"/>
  <c r="O129" i="20"/>
  <c r="N121" i="20"/>
  <c r="O121" i="20"/>
  <c r="N113" i="20"/>
  <c r="O113" i="20"/>
  <c r="N105" i="20"/>
  <c r="O105" i="20"/>
  <c r="N97" i="20"/>
  <c r="O97" i="20"/>
  <c r="N81" i="20"/>
  <c r="O81" i="20"/>
  <c r="N73" i="20"/>
  <c r="O73" i="20"/>
  <c r="N128" i="20"/>
  <c r="O128" i="20"/>
  <c r="N120" i="20"/>
  <c r="O120" i="20"/>
  <c r="N112" i="20"/>
  <c r="O112" i="20"/>
  <c r="N104" i="20"/>
  <c r="O104" i="20"/>
  <c r="N96" i="20"/>
  <c r="O96" i="20"/>
  <c r="N88" i="20"/>
  <c r="O88" i="20"/>
  <c r="N80" i="20"/>
  <c r="O80" i="20"/>
  <c r="N72" i="20"/>
  <c r="O72" i="20"/>
  <c r="N127" i="20"/>
  <c r="O127" i="20"/>
  <c r="N119" i="20"/>
  <c r="O119" i="20"/>
  <c r="N111" i="20"/>
  <c r="O111" i="20"/>
  <c r="N103" i="20"/>
  <c r="O103" i="20"/>
  <c r="N95" i="20"/>
  <c r="O95" i="20"/>
  <c r="N87" i="20"/>
  <c r="O87" i="20"/>
  <c r="N71" i="20"/>
  <c r="O71" i="20"/>
  <c r="N106" i="20"/>
  <c r="O106" i="20"/>
  <c r="N126" i="20"/>
  <c r="O126" i="20"/>
  <c r="N118" i="20"/>
  <c r="O118" i="20"/>
  <c r="N110" i="20"/>
  <c r="O110" i="20"/>
  <c r="N102" i="20"/>
  <c r="O102" i="20"/>
  <c r="N94" i="20"/>
  <c r="O94" i="20"/>
  <c r="N86" i="20"/>
  <c r="O86" i="20"/>
  <c r="N78" i="20"/>
  <c r="O78" i="20"/>
  <c r="N70" i="20"/>
  <c r="O70" i="20"/>
  <c r="N114" i="20"/>
  <c r="O114" i="20"/>
  <c r="N74" i="20"/>
  <c r="O74" i="20"/>
  <c r="N125" i="20"/>
  <c r="O125" i="20"/>
  <c r="N117" i="20"/>
  <c r="O117" i="20"/>
  <c r="N109" i="20"/>
  <c r="O109" i="20"/>
  <c r="N101" i="20"/>
  <c r="O101" i="20"/>
  <c r="N93" i="20"/>
  <c r="O93" i="20"/>
  <c r="N85" i="20"/>
  <c r="O85" i="20"/>
  <c r="N77" i="20"/>
  <c r="O77" i="20"/>
  <c r="N68" i="20"/>
  <c r="O68" i="20"/>
  <c r="N98" i="20"/>
  <c r="O98" i="20"/>
  <c r="N124" i="20"/>
  <c r="O124" i="20"/>
  <c r="N116" i="20"/>
  <c r="O116" i="20"/>
  <c r="N108" i="20"/>
  <c r="O108" i="20"/>
  <c r="N100" i="20"/>
  <c r="O100" i="20"/>
  <c r="N92" i="20"/>
  <c r="O92" i="20"/>
  <c r="N84" i="20"/>
  <c r="O84" i="20"/>
  <c r="N76" i="20"/>
  <c r="O76" i="20"/>
  <c r="N67" i="20"/>
  <c r="O67" i="20"/>
  <c r="N90" i="20"/>
  <c r="O90" i="20"/>
  <c r="N123" i="20"/>
  <c r="O123" i="20"/>
  <c r="N115" i="20"/>
  <c r="O115" i="20"/>
  <c r="N107" i="20"/>
  <c r="O107" i="20"/>
  <c r="N99" i="20"/>
  <c r="O99" i="20"/>
  <c r="N91" i="20"/>
  <c r="O91" i="20"/>
  <c r="N83" i="20"/>
  <c r="O83" i="20"/>
  <c r="N75" i="20"/>
  <c r="O75" i="20"/>
  <c r="N66" i="20"/>
  <c r="O66" i="20"/>
  <c r="N122" i="20"/>
  <c r="O122" i="20"/>
  <c r="N82" i="20"/>
  <c r="O82" i="20"/>
  <c r="C12" i="19"/>
  <c r="D40" i="20"/>
  <c r="H40" i="20"/>
  <c r="C13" i="19"/>
  <c r="D41" i="20"/>
  <c r="H41" i="20"/>
  <c r="C14" i="19"/>
  <c r="D42" i="20"/>
  <c r="H42" i="20"/>
  <c r="C15" i="19"/>
  <c r="D43" i="20"/>
  <c r="H43" i="20"/>
  <c r="C16" i="19"/>
  <c r="D44" i="20"/>
  <c r="H44" i="20"/>
  <c r="C17" i="19"/>
  <c r="D45" i="20"/>
  <c r="H45" i="20"/>
  <c r="D46" i="20"/>
  <c r="C18" i="19"/>
  <c r="H46" i="20"/>
  <c r="D47" i="20"/>
  <c r="C19" i="19"/>
  <c r="H47" i="20"/>
  <c r="D48" i="20"/>
  <c r="C20" i="19"/>
  <c r="H48" i="20"/>
  <c r="D49" i="20"/>
  <c r="C21" i="19"/>
  <c r="H49" i="20"/>
  <c r="D50" i="20"/>
  <c r="C22" i="19"/>
  <c r="H50" i="20"/>
  <c r="C23" i="19"/>
  <c r="D51" i="20"/>
  <c r="H51" i="20"/>
  <c r="D52" i="20"/>
  <c r="C24" i="19"/>
  <c r="H52" i="20"/>
  <c r="D53" i="20"/>
  <c r="C25" i="19"/>
  <c r="H53" i="20"/>
  <c r="D54" i="20"/>
  <c r="C26" i="19"/>
  <c r="H54" i="20"/>
  <c r="C27" i="19"/>
  <c r="D55" i="20"/>
  <c r="H55" i="20"/>
  <c r="C28" i="19"/>
  <c r="D56" i="20"/>
  <c r="H56" i="20"/>
  <c r="D57" i="20"/>
  <c r="C29" i="19"/>
  <c r="H57" i="20"/>
  <c r="C30" i="19"/>
  <c r="D58" i="20"/>
  <c r="H58" i="20"/>
  <c r="D59" i="20"/>
  <c r="C31" i="19"/>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D69" i="19"/>
  <c r="E96" i="20"/>
  <c r="H97" i="20"/>
  <c r="D98" i="20"/>
  <c r="C70" i="19"/>
  <c r="D70" i="19"/>
  <c r="E97" i="20"/>
  <c r="H98" i="20"/>
  <c r="F98" i="20"/>
  <c r="E98" i="20"/>
  <c r="R98" i="20"/>
  <c r="U98" i="20"/>
  <c r="G98" i="20"/>
  <c r="D99" i="20"/>
  <c r="C71" i="19"/>
  <c r="D71" i="19"/>
  <c r="H99" i="20"/>
  <c r="R99" i="20"/>
  <c r="U99" i="20"/>
  <c r="G99" i="20"/>
  <c r="F99" i="20"/>
  <c r="E99" i="20"/>
  <c r="C72" i="19"/>
  <c r="D72" i="19"/>
  <c r="D100" i="20"/>
  <c r="H100" i="20"/>
  <c r="F100" i="20"/>
  <c r="R100" i="20"/>
  <c r="G100" i="20"/>
  <c r="E100" i="20"/>
  <c r="U100" i="20"/>
  <c r="C73" i="19"/>
  <c r="D73" i="19"/>
  <c r="D101" i="20"/>
  <c r="H101" i="20"/>
  <c r="R101" i="20"/>
  <c r="G101" i="20"/>
  <c r="U101" i="20"/>
  <c r="E101" i="20"/>
  <c r="F101" i="20"/>
  <c r="C74" i="19"/>
  <c r="D74" i="19"/>
  <c r="D102" i="20"/>
  <c r="H102" i="20"/>
  <c r="F102" i="20"/>
  <c r="R102" i="20"/>
  <c r="E102" i="20"/>
  <c r="U102" i="20"/>
  <c r="G102" i="20"/>
  <c r="C75" i="19"/>
  <c r="D75" i="19"/>
  <c r="D103" i="20"/>
  <c r="H103" i="20"/>
  <c r="U103" i="20"/>
  <c r="G103" i="20"/>
  <c r="R103" i="20"/>
  <c r="E103" i="20"/>
  <c r="F103" i="20"/>
  <c r="C76" i="19"/>
  <c r="D76" i="19"/>
  <c r="D104" i="20"/>
  <c r="H104" i="20"/>
  <c r="F104" i="20"/>
  <c r="U104" i="20"/>
  <c r="E104" i="20"/>
  <c r="R104" i="20"/>
  <c r="G104" i="20"/>
  <c r="C77" i="19"/>
  <c r="D77" i="19"/>
  <c r="D105" i="20"/>
  <c r="H105" i="20"/>
  <c r="U105" i="20"/>
  <c r="G105" i="20"/>
  <c r="R105" i="20"/>
  <c r="F105" i="20"/>
  <c r="E105" i="20"/>
  <c r="C78" i="19"/>
  <c r="D78" i="19"/>
  <c r="D106" i="20"/>
  <c r="H106" i="20"/>
  <c r="F106" i="20"/>
  <c r="G106" i="20"/>
  <c r="E106" i="20"/>
  <c r="R106" i="20"/>
  <c r="U106" i="20"/>
  <c r="C79" i="19"/>
  <c r="D79" i="19"/>
  <c r="D107" i="20"/>
  <c r="H107" i="20"/>
  <c r="R107" i="20"/>
  <c r="G107" i="20"/>
  <c r="E107" i="20"/>
  <c r="U107" i="20"/>
  <c r="F107" i="20"/>
  <c r="C80" i="19"/>
  <c r="D80" i="19"/>
  <c r="D108" i="20"/>
  <c r="H108" i="20"/>
  <c r="F108" i="20"/>
  <c r="R108" i="20"/>
  <c r="E108" i="20"/>
  <c r="G108" i="20"/>
  <c r="U108" i="20"/>
  <c r="C81" i="19"/>
  <c r="D81" i="19"/>
  <c r="D109" i="20"/>
  <c r="H109" i="20"/>
  <c r="E109" i="20"/>
  <c r="G109" i="20"/>
  <c r="U109" i="20"/>
  <c r="F109" i="20"/>
  <c r="R109" i="20"/>
  <c r="C82" i="19"/>
  <c r="D82" i="19"/>
  <c r="D110" i="20"/>
  <c r="H110" i="20"/>
  <c r="F110" i="20"/>
  <c r="E110" i="20"/>
  <c r="U110" i="20"/>
  <c r="G110" i="20"/>
  <c r="R110" i="20"/>
  <c r="C83" i="19"/>
  <c r="D83" i="19"/>
  <c r="D111" i="20"/>
  <c r="H111" i="20"/>
  <c r="U111" i="20"/>
  <c r="G111" i="20"/>
  <c r="E111" i="20"/>
  <c r="R111" i="20"/>
  <c r="F111" i="20"/>
  <c r="C84" i="19"/>
  <c r="D84" i="19"/>
  <c r="D112" i="20"/>
  <c r="H112" i="20"/>
  <c r="F112" i="20"/>
  <c r="U112" i="20"/>
  <c r="E112" i="20"/>
  <c r="R112" i="20"/>
  <c r="G112" i="20"/>
  <c r="C85" i="19"/>
  <c r="D85" i="19"/>
  <c r="D113" i="20"/>
  <c r="H113" i="20"/>
  <c r="R113" i="20"/>
  <c r="E113" i="20"/>
  <c r="G113" i="20"/>
  <c r="U113" i="20"/>
  <c r="F113" i="20"/>
  <c r="C86" i="19"/>
  <c r="D86" i="19"/>
  <c r="D114" i="20"/>
  <c r="H114" i="20"/>
  <c r="F114" i="20"/>
  <c r="U114" i="20"/>
  <c r="G114" i="20"/>
  <c r="E114" i="20"/>
  <c r="R114" i="20"/>
  <c r="C87" i="19"/>
  <c r="D87" i="19"/>
  <c r="D115" i="20"/>
  <c r="H115" i="20"/>
  <c r="R115" i="20"/>
  <c r="G115" i="20"/>
  <c r="E115" i="20"/>
  <c r="F115" i="20"/>
  <c r="U115" i="20"/>
  <c r="C88" i="19"/>
  <c r="D88" i="19"/>
  <c r="D116" i="20"/>
  <c r="H116" i="20"/>
  <c r="F116" i="20"/>
  <c r="R116" i="20"/>
  <c r="E116" i="20"/>
  <c r="G116" i="20"/>
  <c r="U116" i="20"/>
  <c r="C89" i="19"/>
  <c r="D89" i="19"/>
  <c r="D117" i="20"/>
  <c r="H117" i="20"/>
  <c r="G117" i="20"/>
  <c r="U117" i="20"/>
  <c r="R117" i="20"/>
  <c r="F117" i="20"/>
  <c r="E117" i="20"/>
  <c r="C90" i="19"/>
  <c r="D90" i="19"/>
  <c r="D118" i="20"/>
  <c r="H118" i="20"/>
  <c r="F118" i="20"/>
  <c r="E118" i="20"/>
  <c r="U118" i="20"/>
  <c r="R118" i="20"/>
  <c r="G118" i="20"/>
  <c r="C91" i="19"/>
  <c r="D91" i="19"/>
  <c r="D119" i="20"/>
  <c r="H119" i="20"/>
  <c r="U119" i="20"/>
  <c r="R119" i="20"/>
  <c r="G119" i="20"/>
  <c r="E119" i="20"/>
  <c r="F119" i="20"/>
  <c r="C92" i="19"/>
  <c r="D92" i="19"/>
  <c r="D120" i="20"/>
  <c r="H120" i="20"/>
  <c r="F120" i="20"/>
  <c r="U120" i="20"/>
  <c r="E120" i="20"/>
  <c r="G120" i="20"/>
  <c r="R120" i="20"/>
  <c r="C93" i="19"/>
  <c r="D93" i="19"/>
  <c r="D121" i="20"/>
  <c r="H121" i="20"/>
  <c r="U121" i="20"/>
  <c r="G121" i="20"/>
  <c r="R121" i="20"/>
  <c r="E121" i="20"/>
  <c r="F121" i="20"/>
  <c r="C94" i="19"/>
  <c r="D94" i="19"/>
  <c r="D122" i="20"/>
  <c r="H122" i="20"/>
  <c r="F122" i="20"/>
  <c r="E122" i="20"/>
  <c r="R122" i="20"/>
  <c r="U122" i="20"/>
  <c r="G122" i="20"/>
  <c r="C95" i="19"/>
  <c r="D95" i="19"/>
  <c r="D123" i="20"/>
  <c r="H123" i="20"/>
  <c r="R123" i="20"/>
  <c r="U123" i="20"/>
  <c r="G123" i="20"/>
  <c r="E123" i="20"/>
  <c r="F123" i="20"/>
  <c r="C96" i="19"/>
  <c r="D96" i="19"/>
  <c r="D124" i="20"/>
  <c r="H124" i="20"/>
  <c r="F124" i="20"/>
  <c r="R124" i="20"/>
  <c r="G124" i="20"/>
  <c r="E124" i="20"/>
  <c r="U124" i="20"/>
  <c r="C97" i="19"/>
  <c r="D97" i="19"/>
  <c r="D125" i="20"/>
  <c r="H125" i="20"/>
  <c r="U125" i="20"/>
  <c r="G125" i="20"/>
  <c r="E125" i="20"/>
  <c r="R125" i="20"/>
  <c r="F125" i="20"/>
  <c r="C98" i="19"/>
  <c r="D98" i="19"/>
  <c r="D126" i="20"/>
  <c r="H126" i="20"/>
  <c r="F126" i="20"/>
  <c r="R126" i="20"/>
  <c r="E126" i="20"/>
  <c r="U126" i="20"/>
  <c r="G126" i="20"/>
  <c r="C99" i="19"/>
  <c r="D99" i="19"/>
  <c r="D127" i="20"/>
  <c r="H127" i="20"/>
  <c r="U127" i="20"/>
  <c r="G127" i="20"/>
  <c r="E127" i="20"/>
  <c r="F127" i="20"/>
  <c r="R127" i="20"/>
  <c r="C100" i="19"/>
  <c r="D100" i="19"/>
  <c r="D128" i="20"/>
  <c r="H128" i="20"/>
  <c r="F128" i="20"/>
  <c r="U128" i="20"/>
  <c r="E128" i="20"/>
  <c r="R128" i="20"/>
  <c r="G128" i="20"/>
  <c r="C101" i="19"/>
  <c r="D101" i="19"/>
  <c r="D129" i="20"/>
  <c r="H129" i="20"/>
  <c r="D18" i="22"/>
  <c r="R129" i="20"/>
  <c r="G129" i="20"/>
  <c r="E129" i="20"/>
  <c r="F129" i="20"/>
  <c r="U129" i="20"/>
  <c r="C102" i="19"/>
  <c r="D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H64" i="20"/>
  <c r="R64" i="20"/>
  <c r="U64" i="20"/>
  <c r="H65" i="20"/>
  <c r="R65" i="20"/>
  <c r="U65" i="20"/>
  <c r="C65" i="20"/>
  <c r="C64" i="20"/>
  <c r="C63" i="20"/>
  <c r="C67" i="20"/>
  <c r="C62" i="20"/>
  <c r="C68"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C129" i="20"/>
  <c r="I17" i="17"/>
  <c r="N79" i="20"/>
  <c r="O79" i="20"/>
  <c r="J30" i="17"/>
  <c r="P30" i="17"/>
  <c r="I16" i="17"/>
  <c r="P22" i="17"/>
  <c r="N89" i="20"/>
  <c r="O89" i="20"/>
  <c r="N69" i="20"/>
  <c r="O69" i="20"/>
  <c r="I15" i="17"/>
  <c r="L15" i="17"/>
  <c r="N65" i="20"/>
  <c r="O65" i="20"/>
  <c r="G37" i="23"/>
  <c r="E37" i="23"/>
  <c r="E23" i="23"/>
  <c r="D23" i="23"/>
  <c r="F23" i="23"/>
  <c r="G23" i="23"/>
  <c r="M68" i="20"/>
  <c r="M76" i="20"/>
  <c r="M84" i="20"/>
  <c r="M92" i="20"/>
  <c r="M69" i="20"/>
  <c r="M77" i="20"/>
  <c r="M85" i="20"/>
  <c r="M93" i="20"/>
  <c r="M70" i="20"/>
  <c r="M78" i="20"/>
  <c r="M86" i="20"/>
  <c r="M94" i="20"/>
  <c r="M71" i="20"/>
  <c r="M79" i="20"/>
  <c r="M87" i="20"/>
  <c r="M95" i="20"/>
  <c r="M40" i="20"/>
  <c r="M72" i="20"/>
  <c r="M80" i="20"/>
  <c r="M88" i="20"/>
  <c r="M65" i="20"/>
  <c r="M73" i="20"/>
  <c r="M81" i="20"/>
  <c r="M89" i="20"/>
  <c r="M66" i="20"/>
  <c r="M74" i="20"/>
  <c r="M82" i="20"/>
  <c r="M90" i="20"/>
  <c r="M67" i="20"/>
  <c r="M75" i="20"/>
  <c r="M83" i="20"/>
  <c r="M91" i="20"/>
  <c r="AH78" i="19"/>
  <c r="P89" i="19"/>
  <c r="V26" i="19"/>
  <c r="V35" i="19"/>
  <c r="S49" i="19"/>
  <c r="P101" i="19"/>
  <c r="AH41" i="19"/>
  <c r="AB58" i="19"/>
  <c r="S89" i="19"/>
  <c r="V22" i="19"/>
  <c r="AH92" i="19"/>
  <c r="V20" i="19"/>
  <c r="V29" i="19"/>
  <c r="AE96" i="19"/>
  <c r="V92" i="19"/>
  <c r="S50" i="19"/>
  <c r="S46" i="19"/>
  <c r="AB44" i="19"/>
  <c r="P40" i="22"/>
  <c r="Q67" i="20"/>
  <c r="R67" i="20"/>
  <c r="P102" i="19"/>
  <c r="Y83" i="19"/>
  <c r="AH101" i="19"/>
  <c r="S39" i="19"/>
  <c r="AB101" i="19"/>
  <c r="P50" i="19"/>
  <c r="Y36" i="19"/>
  <c r="AE24" i="19"/>
  <c r="AE56" i="19"/>
  <c r="Y96" i="19"/>
  <c r="Y101" i="19"/>
  <c r="S14" i="19"/>
  <c r="Y97" i="19"/>
  <c r="AH64" i="19"/>
  <c r="Y82" i="19"/>
  <c r="AH27" i="19"/>
  <c r="AE28" i="19"/>
  <c r="AE17" i="19"/>
  <c r="AB71" i="19"/>
  <c r="Y54" i="19"/>
  <c r="S66" i="19"/>
  <c r="AE16" i="19"/>
  <c r="P12" i="19"/>
  <c r="P59" i="19"/>
  <c r="AE84" i="19"/>
  <c r="AH81" i="19"/>
  <c r="P72" i="19"/>
  <c r="Y65" i="19"/>
  <c r="AB92" i="19"/>
  <c r="AE86" i="19"/>
  <c r="AH86" i="19"/>
  <c r="V21" i="19"/>
  <c r="Y46" i="19"/>
  <c r="AB18" i="19"/>
  <c r="P68" i="19"/>
  <c r="Y14" i="19"/>
  <c r="AE101" i="19"/>
  <c r="AH47" i="19"/>
  <c r="Y50" i="19"/>
  <c r="Y85" i="19"/>
  <c r="S85" i="19"/>
  <c r="AB81" i="19"/>
  <c r="Y92" i="19"/>
  <c r="S34" i="19"/>
  <c r="AB91" i="19"/>
  <c r="P61" i="19"/>
  <c r="P53" i="19"/>
  <c r="AE62" i="19"/>
  <c r="Y40" i="19"/>
  <c r="V97" i="19"/>
  <c r="P92" i="19"/>
  <c r="V73" i="19"/>
  <c r="AH76" i="19"/>
  <c r="V71" i="19"/>
  <c r="V56" i="19"/>
  <c r="AB38" i="19"/>
  <c r="AB60" i="19"/>
  <c r="AB53" i="19"/>
  <c r="Y37" i="19"/>
  <c r="V70" i="19"/>
  <c r="P52" i="22"/>
  <c r="Q79" i="20"/>
  <c r="R79" i="20"/>
  <c r="F61" i="22"/>
  <c r="Y94" i="19"/>
  <c r="AB76" i="19"/>
  <c r="Y67" i="19"/>
  <c r="AH66" i="19"/>
  <c r="P46" i="19"/>
  <c r="V57" i="19"/>
  <c r="AE64" i="19"/>
  <c r="P97" i="19"/>
  <c r="S45" i="19"/>
  <c r="Y95" i="19"/>
  <c r="AB84" i="19"/>
  <c r="Y93" i="19"/>
  <c r="AH95" i="19"/>
  <c r="P28" i="19"/>
  <c r="S40" i="19"/>
  <c r="Y70" i="19"/>
  <c r="Y15" i="19"/>
  <c r="V12" i="19"/>
  <c r="P40" i="19"/>
  <c r="AH63" i="19"/>
  <c r="P63" i="19"/>
  <c r="V78" i="19"/>
  <c r="AH32" i="19"/>
  <c r="Y48" i="19"/>
  <c r="AH45" i="19"/>
  <c r="AH54" i="19"/>
  <c r="P24" i="19"/>
  <c r="Y32" i="19"/>
  <c r="AH31" i="19"/>
  <c r="Y35" i="19"/>
  <c r="AH39" i="19"/>
  <c r="Y57" i="19"/>
  <c r="AE38" i="19"/>
  <c r="AE66" i="19"/>
  <c r="AB25" i="19"/>
  <c r="S86" i="19"/>
  <c r="V84" i="19"/>
  <c r="P13" i="19"/>
  <c r="AB61" i="19"/>
  <c r="P38" i="19"/>
  <c r="AE93" i="19"/>
  <c r="AH73" i="19"/>
  <c r="S98" i="19"/>
  <c r="S52" i="19"/>
  <c r="V99" i="19"/>
  <c r="V27" i="19"/>
  <c r="AB63" i="19"/>
  <c r="P44" i="19"/>
  <c r="AE27" i="19"/>
  <c r="AE76" i="19"/>
  <c r="AH56" i="19"/>
  <c r="S48" i="19"/>
  <c r="P17" i="19"/>
  <c r="S72" i="19"/>
  <c r="V48" i="19"/>
  <c r="AB83" i="19"/>
  <c r="P64" i="19"/>
  <c r="P32" i="19"/>
  <c r="AE97" i="19"/>
  <c r="AH93" i="19"/>
  <c r="Y58" i="19"/>
  <c r="S24" i="19"/>
  <c r="V63" i="19"/>
  <c r="AB98" i="19"/>
  <c r="S13" i="19"/>
  <c r="P55" i="19"/>
  <c r="Y99" i="19"/>
  <c r="AH84" i="19"/>
  <c r="Y78" i="19"/>
  <c r="AE87" i="19"/>
  <c r="P73" i="19"/>
  <c r="V53" i="19"/>
  <c r="AB97" i="19"/>
  <c r="S36" i="19"/>
  <c r="P19" i="19"/>
  <c r="P96" i="19"/>
  <c r="AB75" i="19"/>
  <c r="AE89" i="19"/>
  <c r="S87" i="19"/>
  <c r="AB90" i="19"/>
  <c r="AH16" i="19"/>
  <c r="AE55" i="19"/>
  <c r="P84" i="19"/>
  <c r="AE98" i="19"/>
  <c r="P86" i="19"/>
  <c r="V86" i="19"/>
  <c r="AE83" i="19"/>
  <c r="AB34" i="19"/>
  <c r="Y86" i="19"/>
  <c r="Y60" i="19"/>
  <c r="S43" i="19"/>
  <c r="P37" i="19"/>
  <c r="AE49" i="19"/>
  <c r="S17" i="19"/>
  <c r="S88" i="19"/>
  <c r="Y30" i="19"/>
  <c r="P39" i="19"/>
  <c r="V46" i="19"/>
  <c r="AE69" i="19"/>
  <c r="AH82" i="19"/>
  <c r="S60" i="19"/>
  <c r="AE31" i="19"/>
  <c r="AH43" i="19"/>
  <c r="AE44" i="19"/>
  <c r="AE45" i="19"/>
  <c r="V17" i="19"/>
  <c r="AE22" i="19"/>
  <c r="AH21" i="19"/>
  <c r="AE26" i="19"/>
  <c r="Y26" i="19"/>
  <c r="Y43" i="19"/>
  <c r="AH30" i="19"/>
  <c r="Y61" i="19"/>
  <c r="AB16" i="19"/>
  <c r="S62" i="19"/>
  <c r="V76" i="19"/>
  <c r="S73" i="19"/>
  <c r="S26" i="19"/>
  <c r="P31" i="19"/>
  <c r="AE85" i="19"/>
  <c r="AH57" i="19"/>
  <c r="S93" i="19"/>
  <c r="S100" i="19"/>
  <c r="V91" i="19"/>
  <c r="V19" i="19"/>
  <c r="AB56" i="19"/>
  <c r="AE43" i="19"/>
  <c r="Y55" i="19"/>
  <c r="AE67" i="19"/>
  <c r="S77" i="19"/>
  <c r="S28" i="19"/>
  <c r="S25" i="19"/>
  <c r="V40" i="19"/>
  <c r="S35" i="19"/>
  <c r="P77" i="19"/>
  <c r="AH85" i="19"/>
  <c r="AE74" i="19"/>
  <c r="V55" i="19"/>
  <c r="P81" i="19"/>
  <c r="AE79" i="19"/>
  <c r="AH87" i="19"/>
  <c r="V54" i="19"/>
  <c r="AB51" i="19"/>
  <c r="P51" i="19"/>
  <c r="S21" i="19"/>
  <c r="AE102" i="19"/>
  <c r="AB59" i="19"/>
  <c r="AE40" i="19"/>
  <c r="S16" i="19"/>
  <c r="V37" i="19"/>
  <c r="S31" i="19"/>
  <c r="AE91" i="19"/>
  <c r="AB72" i="19"/>
  <c r="Y38" i="19"/>
  <c r="AH62" i="19"/>
  <c r="P76" i="19"/>
  <c r="V77" i="19"/>
  <c r="AB64" i="19"/>
  <c r="Y39" i="19"/>
  <c r="P83" i="19"/>
  <c r="S38" i="19"/>
  <c r="Y29" i="19"/>
  <c r="AH35" i="19"/>
  <c r="Y42" i="19"/>
  <c r="AB36" i="19"/>
  <c r="AE20" i="19"/>
  <c r="Y20" i="19"/>
  <c r="V15" i="19"/>
  <c r="Y24" i="19"/>
  <c r="AB19" i="19"/>
  <c r="AH38" i="19"/>
  <c r="Y28" i="19"/>
  <c r="Y51" i="19"/>
  <c r="AB14" i="19"/>
  <c r="S63" i="19"/>
  <c r="V68" i="19"/>
  <c r="AB95" i="19"/>
  <c r="S61" i="19"/>
  <c r="P25" i="19"/>
  <c r="AH18" i="19"/>
  <c r="AH17" i="19"/>
  <c r="V98" i="19"/>
  <c r="S84" i="19"/>
  <c r="V83" i="19"/>
  <c r="P15" i="19"/>
  <c r="AB50" i="19"/>
  <c r="P80" i="19"/>
  <c r="AE57" i="19"/>
  <c r="Y71" i="19"/>
  <c r="Y84" i="19"/>
  <c r="S41" i="19"/>
  <c r="S94" i="19"/>
  <c r="V96" i="19"/>
  <c r="V32" i="19"/>
  <c r="AB49" i="19"/>
  <c r="P43" i="19"/>
  <c r="Y17" i="19"/>
  <c r="AE81" i="19"/>
  <c r="AH77" i="19"/>
  <c r="Y90" i="19"/>
  <c r="S68" i="19"/>
  <c r="V47" i="19"/>
  <c r="AB82" i="19"/>
  <c r="P75" i="19"/>
  <c r="P85" i="19"/>
  <c r="AE88" i="19"/>
  <c r="AH68" i="19"/>
  <c r="AH15" i="19"/>
  <c r="Y68" i="19"/>
  <c r="AB69" i="19"/>
  <c r="V94" i="19"/>
  <c r="V41" i="19"/>
  <c r="P49" i="19"/>
  <c r="P60" i="19"/>
  <c r="Y22" i="19"/>
  <c r="S71" i="19"/>
  <c r="AB65" i="19"/>
  <c r="Y88" i="19"/>
  <c r="AE61" i="19"/>
  <c r="AB80" i="19"/>
  <c r="AH55" i="19"/>
  <c r="P29" i="19"/>
  <c r="V65" i="19"/>
  <c r="S99" i="19"/>
  <c r="Y87" i="19"/>
  <c r="AB22" i="19"/>
  <c r="AH94" i="19"/>
  <c r="AH79" i="19"/>
  <c r="P36" i="19"/>
  <c r="V102" i="19"/>
  <c r="V38" i="19"/>
  <c r="AE78" i="19"/>
  <c r="AB43" i="19"/>
  <c r="AH48" i="19"/>
  <c r="AH24" i="19"/>
  <c r="AE50" i="19"/>
  <c r="AH37" i="19"/>
  <c r="Y27" i="19"/>
  <c r="V14" i="19"/>
  <c r="P18" i="19"/>
  <c r="P42" i="19"/>
  <c r="P22" i="19"/>
  <c r="V13" i="19"/>
  <c r="AE34" i="19"/>
  <c r="AB21" i="19"/>
  <c r="AH46" i="19"/>
  <c r="AB66" i="19"/>
  <c r="S22" i="19"/>
  <c r="V60" i="19"/>
  <c r="AB87" i="19"/>
  <c r="P99" i="19"/>
  <c r="Y25" i="19"/>
  <c r="AH34" i="19"/>
  <c r="AH33" i="19"/>
  <c r="V82" i="19"/>
  <c r="S58" i="19"/>
  <c r="V75" i="19"/>
  <c r="AB102" i="19"/>
  <c r="AB57" i="19"/>
  <c r="P45" i="19"/>
  <c r="Y75" i="19"/>
  <c r="AH96" i="19"/>
  <c r="Y100" i="19"/>
  <c r="V90" i="19"/>
  <c r="S78" i="19"/>
  <c r="V88" i="19"/>
  <c r="V24" i="19"/>
  <c r="AB47" i="19"/>
  <c r="P20" i="19"/>
  <c r="Y33" i="19"/>
  <c r="AE14" i="19"/>
  <c r="AH69" i="19"/>
  <c r="S20" i="19"/>
  <c r="S51" i="19"/>
  <c r="V39" i="19"/>
  <c r="AB74" i="19"/>
  <c r="P35" i="19"/>
  <c r="AE19" i="19"/>
  <c r="AE80" i="19"/>
  <c r="AH60" i="19"/>
  <c r="AH67" i="19"/>
  <c r="AH36" i="19"/>
  <c r="AB31" i="19"/>
  <c r="S83" i="19"/>
  <c r="V62" i="19"/>
  <c r="AH70" i="19"/>
  <c r="AB96" i="19"/>
  <c r="AE33" i="19"/>
  <c r="AE82" i="19"/>
  <c r="AB55" i="19"/>
  <c r="Y53" i="19"/>
  <c r="AH28" i="19"/>
  <c r="S57" i="19"/>
  <c r="AH74" i="19"/>
  <c r="P94" i="19"/>
  <c r="S91" i="19"/>
  <c r="AE71" i="19"/>
  <c r="AH52" i="19"/>
  <c r="AB88" i="19"/>
  <c r="AE90" i="19"/>
  <c r="AH98" i="19"/>
  <c r="P91" i="19"/>
  <c r="S96" i="19"/>
  <c r="V69" i="19"/>
  <c r="AE95" i="19"/>
  <c r="AB48" i="19"/>
  <c r="AE47" i="19"/>
  <c r="AE23" i="19"/>
  <c r="AE42" i="19"/>
  <c r="Y34" i="19"/>
  <c r="AH22" i="19"/>
  <c r="AB70" i="19"/>
  <c r="P16" i="19"/>
  <c r="Y12" i="19"/>
  <c r="AH19" i="19"/>
  <c r="AB37" i="19"/>
  <c r="Y19" i="19"/>
  <c r="P95" i="19"/>
  <c r="AE37" i="19"/>
  <c r="AE46" i="19"/>
  <c r="S97" i="19"/>
  <c r="V52" i="19"/>
  <c r="AB79" i="19"/>
  <c r="P52" i="19"/>
  <c r="Y41" i="19"/>
  <c r="AE68" i="19"/>
  <c r="AH49" i="19"/>
  <c r="V66" i="19"/>
  <c r="S59" i="19"/>
  <c r="V67" i="19"/>
  <c r="AB94" i="19"/>
  <c r="AB28" i="19"/>
  <c r="P71" i="19"/>
  <c r="Y91" i="19"/>
  <c r="AH88" i="19"/>
  <c r="S44" i="19"/>
  <c r="V74" i="19"/>
  <c r="S37" i="19"/>
  <c r="V80" i="19"/>
  <c r="S12" i="19"/>
  <c r="AB32" i="19"/>
  <c r="P90" i="19"/>
  <c r="Y49" i="19"/>
  <c r="AH26" i="19"/>
  <c r="AH61" i="19"/>
  <c r="S92" i="19"/>
  <c r="V95" i="19"/>
  <c r="V31" i="19"/>
  <c r="AB41" i="19"/>
  <c r="P74" i="19"/>
  <c r="AE35" i="19"/>
  <c r="AE15" i="19"/>
  <c r="AH14" i="19"/>
  <c r="AH83" i="19"/>
  <c r="P93" i="19"/>
  <c r="AB73" i="19"/>
  <c r="S74" i="19"/>
  <c r="V85" i="19"/>
  <c r="Y77" i="19"/>
  <c r="AE72" i="19"/>
  <c r="V81" i="19"/>
  <c r="AE99" i="19"/>
  <c r="AB77" i="19"/>
  <c r="AE48" i="19"/>
  <c r="S18" i="19"/>
  <c r="V33" i="19"/>
  <c r="AH91" i="19"/>
  <c r="AB52" i="19"/>
  <c r="S70" i="19"/>
  <c r="AE32" i="19"/>
  <c r="Y16" i="19"/>
  <c r="S42" i="19"/>
  <c r="AH20" i="19"/>
  <c r="AE41" i="19"/>
  <c r="AB40" i="19"/>
  <c r="Y80" i="19"/>
  <c r="S80" i="19"/>
  <c r="Y79" i="19"/>
  <c r="AB54" i="19"/>
  <c r="Y45" i="19"/>
  <c r="Y21" i="19"/>
  <c r="AH53" i="19"/>
  <c r="AH29" i="19"/>
  <c r="AB20" i="19"/>
  <c r="AE54" i="19"/>
  <c r="P14" i="19"/>
  <c r="Y69" i="19"/>
  <c r="AB17" i="19"/>
  <c r="V16" i="19"/>
  <c r="AB62" i="19"/>
  <c r="P87" i="19"/>
  <c r="P34" i="19"/>
  <c r="P33" i="19"/>
  <c r="S81" i="19"/>
  <c r="V44" i="19"/>
  <c r="AB67" i="19"/>
  <c r="P98" i="19"/>
  <c r="Y56" i="19"/>
  <c r="AH97" i="19"/>
  <c r="Y74" i="19"/>
  <c r="V50" i="19"/>
  <c r="S67" i="19"/>
  <c r="V51" i="19"/>
  <c r="AB86" i="19"/>
  <c r="S69" i="19"/>
  <c r="P23" i="19"/>
  <c r="AE100" i="19"/>
  <c r="AH80" i="19"/>
  <c r="S82" i="19"/>
  <c r="V58" i="19"/>
  <c r="S54" i="19"/>
  <c r="V72" i="19"/>
  <c r="P26" i="19"/>
  <c r="AB26" i="19"/>
  <c r="P70" i="19"/>
  <c r="Y64" i="19"/>
  <c r="AH42" i="19"/>
  <c r="AH13" i="19"/>
  <c r="S76" i="19"/>
  <c r="V87" i="19"/>
  <c r="V23" i="19"/>
  <c r="AB39" i="19"/>
  <c r="P88" i="19"/>
  <c r="AE51" i="19"/>
  <c r="Y63" i="19"/>
  <c r="AE59" i="19"/>
  <c r="AH99" i="19"/>
  <c r="P47" i="19"/>
  <c r="AB89" i="19"/>
  <c r="S90" i="19"/>
  <c r="S33" i="19"/>
  <c r="AB23" i="19"/>
  <c r="V25" i="19"/>
  <c r="S64" i="19"/>
  <c r="Y72" i="19"/>
  <c r="AB100" i="19"/>
  <c r="AH71" i="19"/>
  <c r="P54" i="19"/>
  <c r="V61" i="19"/>
  <c r="Y23" i="19"/>
  <c r="AB42" i="19"/>
  <c r="AH58" i="19"/>
  <c r="AH59" i="19"/>
  <c r="P48" i="19"/>
  <c r="V45" i="19"/>
  <c r="P100" i="19"/>
  <c r="AE94" i="19"/>
  <c r="AB30" i="19"/>
  <c r="AH75" i="19"/>
  <c r="AE63" i="19"/>
  <c r="AH44" i="19"/>
  <c r="AB93" i="19"/>
  <c r="AH40" i="19"/>
  <c r="AH51" i="19"/>
  <c r="AE52" i="19"/>
  <c r="AE70" i="19"/>
  <c r="AB12" i="19"/>
  <c r="AB45" i="19"/>
  <c r="AE12" i="19"/>
  <c r="AE58" i="19"/>
  <c r="AB13" i="19"/>
  <c r="Y73" i="19"/>
  <c r="Y52" i="19"/>
  <c r="P79" i="19"/>
  <c r="AE30" i="19"/>
  <c r="Y18" i="19"/>
  <c r="S56" i="19"/>
  <c r="V28" i="19"/>
  <c r="AB68" i="19"/>
  <c r="P82" i="19"/>
  <c r="Y89" i="19"/>
  <c r="AH89" i="19"/>
  <c r="Y66" i="19"/>
  <c r="V34" i="19"/>
  <c r="S79" i="19"/>
  <c r="V43" i="19"/>
  <c r="AB78" i="19"/>
  <c r="S27" i="19"/>
  <c r="P41" i="19"/>
  <c r="AE92" i="19"/>
  <c r="AH72" i="19"/>
  <c r="S53" i="19"/>
  <c r="V42" i="19"/>
  <c r="S32" i="19"/>
  <c r="V64" i="19"/>
  <c r="AB99" i="19"/>
  <c r="AB35" i="19"/>
  <c r="P21" i="19"/>
  <c r="Y81" i="19"/>
  <c r="AE60" i="19"/>
  <c r="AH25" i="19"/>
  <c r="S29" i="19"/>
  <c r="V79" i="19"/>
  <c r="S23" i="19"/>
  <c r="AB24" i="19"/>
  <c r="P66" i="19"/>
  <c r="AE65" i="19"/>
  <c r="AH100" i="19"/>
  <c r="Y76" i="19"/>
  <c r="Y47" i="19"/>
  <c r="P62" i="19"/>
  <c r="S19" i="19"/>
  <c r="S55" i="19"/>
  <c r="S101" i="19"/>
  <c r="H23" i="23"/>
  <c r="X50" i="22"/>
  <c r="G41" i="22"/>
  <c r="V49" i="22"/>
  <c r="I41" i="22"/>
  <c r="F39" i="22"/>
  <c r="Y50" i="22"/>
  <c r="Y51" i="22"/>
  <c r="Y52" i="22"/>
  <c r="Y53" i="22"/>
  <c r="Y54" i="22"/>
  <c r="Y55" i="22"/>
  <c r="Y56" i="22"/>
  <c r="Y57" i="22"/>
  <c r="Y58" i="22"/>
  <c r="Y59" i="22"/>
  <c r="Y60" i="22"/>
  <c r="Y61" i="22"/>
  <c r="Y62" i="22"/>
  <c r="Y63" i="22"/>
  <c r="Y64" i="22"/>
  <c r="Y65" i="22"/>
  <c r="Y66" i="22"/>
  <c r="Y67" i="22"/>
  <c r="Y68" i="22"/>
  <c r="H49" i="22"/>
  <c r="D40" i="22"/>
  <c r="G9" i="19"/>
  <c r="S47" i="19"/>
  <c r="Y62" i="19"/>
  <c r="P67" i="19"/>
  <c r="P27" i="19"/>
  <c r="Y31" i="19"/>
  <c r="AH50" i="19"/>
  <c r="S75" i="19"/>
  <c r="AE25" i="19"/>
  <c r="P57" i="19"/>
  <c r="V89" i="19"/>
  <c r="Y59" i="19"/>
  <c r="P69" i="19"/>
  <c r="V93" i="19"/>
  <c r="AB85" i="19"/>
  <c r="AE13" i="19"/>
  <c r="S65" i="19"/>
  <c r="V101" i="19"/>
  <c r="AB33" i="19"/>
  <c r="AE75" i="19"/>
  <c r="S15" i="19"/>
  <c r="S30" i="19"/>
  <c r="Y102" i="19"/>
  <c r="AH102" i="19"/>
  <c r="P78" i="19"/>
  <c r="V49" i="19"/>
  <c r="AE39" i="19"/>
  <c r="AH12" i="19"/>
  <c r="AE73" i="19"/>
  <c r="AE36" i="19"/>
  <c r="AE29" i="19"/>
  <c r="P30" i="19"/>
  <c r="AB29" i="19"/>
  <c r="Y44" i="19"/>
  <c r="AE53" i="19"/>
  <c r="AB15" i="19"/>
  <c r="AB27" i="19"/>
  <c r="AE21" i="19"/>
  <c r="AH23" i="19"/>
  <c r="P56" i="19"/>
  <c r="AE18" i="19"/>
  <c r="S102" i="19"/>
  <c r="V100" i="19"/>
  <c r="V36" i="19"/>
  <c r="AB46" i="19"/>
  <c r="P65" i="19"/>
  <c r="Y13" i="19"/>
  <c r="AE77" i="19"/>
  <c r="AH65" i="19"/>
  <c r="Y98" i="19"/>
  <c r="V18" i="19"/>
  <c r="S95" i="19"/>
  <c r="V59" i="19"/>
  <c r="P43" i="22"/>
  <c r="Q70" i="20"/>
  <c r="R70" i="20"/>
  <c r="P65" i="22"/>
  <c r="Q92" i="20"/>
  <c r="R92" i="20"/>
  <c r="P41" i="22"/>
  <c r="Q68" i="20"/>
  <c r="R68" i="20"/>
  <c r="F51" i="22"/>
  <c r="D53" i="22"/>
  <c r="F66" i="22"/>
  <c r="F49" i="22"/>
  <c r="E41" i="22"/>
  <c r="F64" i="22"/>
  <c r="F55" i="22"/>
  <c r="G42" i="22"/>
  <c r="D49" i="22"/>
  <c r="O29" i="20"/>
  <c r="K20" i="20"/>
  <c r="D40" i="23"/>
  <c r="H37" i="23"/>
  <c r="F37" i="23"/>
  <c r="D43" i="22"/>
  <c r="G43" i="22"/>
  <c r="D59" i="22"/>
  <c r="P60" i="22"/>
  <c r="Q87" i="20"/>
  <c r="R87" i="20"/>
  <c r="E47" i="22"/>
  <c r="F40" i="22"/>
  <c r="E44" i="22"/>
  <c r="P49" i="22"/>
  <c r="Q76" i="20"/>
  <c r="R76" i="20"/>
  <c r="P51" i="22"/>
  <c r="Q78" i="20"/>
  <c r="R78" i="20"/>
  <c r="P63" i="22"/>
  <c r="Q90" i="20"/>
  <c r="R90" i="20"/>
  <c r="P66" i="22"/>
  <c r="Q93" i="20"/>
  <c r="R93" i="20"/>
  <c r="P64" i="22"/>
  <c r="Q91" i="20"/>
  <c r="R91" i="20"/>
  <c r="P46" i="22"/>
  <c r="Q73" i="20"/>
  <c r="R73" i="20"/>
  <c r="G45" i="22"/>
  <c r="D61" i="22"/>
  <c r="P67" i="22"/>
  <c r="Q94" i="20"/>
  <c r="R94" i="20"/>
  <c r="P45" i="22"/>
  <c r="Q72" i="20"/>
  <c r="R72" i="20"/>
  <c r="P61" i="22"/>
  <c r="Q88" i="20"/>
  <c r="R88" i="20"/>
  <c r="P56" i="22"/>
  <c r="Q83" i="20"/>
  <c r="R83" i="20"/>
  <c r="P47" i="22"/>
  <c r="Q74" i="20"/>
  <c r="R74" i="20"/>
  <c r="P48" i="22"/>
  <c r="Q75" i="20"/>
  <c r="R75" i="20"/>
  <c r="D60" i="22"/>
  <c r="D51" i="22"/>
  <c r="F59" i="22"/>
  <c r="D65" i="22"/>
  <c r="P50" i="22"/>
  <c r="Q77" i="20"/>
  <c r="R77" i="20"/>
  <c r="P42" i="22"/>
  <c r="Q69" i="20"/>
  <c r="R69" i="20"/>
  <c r="D54" i="22"/>
  <c r="P55" i="22"/>
  <c r="Q82" i="20"/>
  <c r="R82" i="20"/>
  <c r="D58" i="22"/>
  <c r="P57" i="22"/>
  <c r="Q84" i="20"/>
  <c r="R84" i="20"/>
  <c r="P59" i="22"/>
  <c r="Q86" i="20"/>
  <c r="R86" i="20"/>
  <c r="D50" i="22"/>
  <c r="F42" i="22"/>
  <c r="F46" i="22"/>
  <c r="D62" i="22"/>
  <c r="I44" i="22"/>
  <c r="F50" i="22"/>
  <c r="D46" i="22"/>
  <c r="F45" i="22"/>
  <c r="F68" i="22"/>
  <c r="P39" i="22"/>
  <c r="Q66" i="20"/>
  <c r="R66" i="20"/>
  <c r="F60" i="22"/>
  <c r="F62" i="22"/>
  <c r="P58" i="22"/>
  <c r="Q85" i="20"/>
  <c r="R85" i="20"/>
  <c r="P68" i="22"/>
  <c r="Q95" i="20"/>
  <c r="R95" i="20"/>
  <c r="P44" i="22"/>
  <c r="Q71" i="20"/>
  <c r="R71" i="20"/>
  <c r="F65" i="22"/>
  <c r="G44" i="22"/>
  <c r="D41" i="22"/>
  <c r="F41" i="22"/>
  <c r="D57" i="22"/>
  <c r="H41" i="22"/>
  <c r="F57" i="22"/>
  <c r="F43" i="22"/>
  <c r="P54" i="22"/>
  <c r="Q81" i="20"/>
  <c r="R81" i="20"/>
  <c r="P53" i="22"/>
  <c r="Q80" i="20"/>
  <c r="R80" i="20"/>
  <c r="P62" i="22"/>
  <c r="Q89" i="20"/>
  <c r="R89" i="20"/>
  <c r="D48" i="22"/>
  <c r="D56" i="22"/>
  <c r="D66" i="22"/>
  <c r="D55" i="22"/>
  <c r="D64" i="22"/>
  <c r="F58" i="22"/>
  <c r="F63" i="22"/>
  <c r="D67" i="22"/>
  <c r="F67" i="22"/>
  <c r="D63" i="22"/>
  <c r="F48" i="22"/>
  <c r="F44" i="22"/>
  <c r="H48" i="22"/>
  <c r="E45" i="22"/>
  <c r="F53" i="22"/>
  <c r="H44" i="22"/>
  <c r="I42" i="22"/>
  <c r="D45" i="22"/>
  <c r="D47" i="22"/>
  <c r="F47" i="22"/>
  <c r="E40" i="22"/>
  <c r="D68" i="22"/>
  <c r="E46" i="22"/>
  <c r="I45" i="22"/>
  <c r="I65" i="22"/>
  <c r="I51" i="22"/>
  <c r="I64" i="22"/>
  <c r="I61" i="22"/>
  <c r="I56" i="22"/>
  <c r="I53" i="22"/>
  <c r="I60" i="22"/>
  <c r="I62" i="22"/>
  <c r="I49" i="22"/>
  <c r="H42" i="22"/>
  <c r="H43" i="22"/>
  <c r="I43" i="22"/>
  <c r="G39" i="22"/>
  <c r="I39" i="22"/>
  <c r="D44" i="22"/>
  <c r="D39" i="22"/>
  <c r="H46" i="22"/>
  <c r="I48" i="22"/>
  <c r="I59" i="22"/>
  <c r="D52" i="22"/>
  <c r="E43" i="22"/>
  <c r="I40" i="22"/>
  <c r="G40" i="22"/>
  <c r="I54" i="22"/>
  <c r="G48" i="22"/>
  <c r="F56" i="22"/>
  <c r="F54" i="22"/>
  <c r="E39" i="22"/>
  <c r="I66" i="22"/>
  <c r="I63" i="22"/>
  <c r="H40" i="22"/>
  <c r="I57" i="22"/>
  <c r="D42" i="22"/>
  <c r="F52" i="22"/>
  <c r="I46" i="22"/>
  <c r="G46" i="22"/>
  <c r="I67" i="22"/>
  <c r="I52" i="22"/>
  <c r="I58" i="22"/>
  <c r="I55" i="22"/>
  <c r="H45" i="22"/>
  <c r="X51" i="22"/>
  <c r="H50" i="22"/>
  <c r="E42" i="22"/>
  <c r="I68" i="22"/>
  <c r="I50" i="22"/>
  <c r="I47" i="22"/>
  <c r="G47" i="22"/>
  <c r="H47" i="22"/>
  <c r="H39" i="22"/>
  <c r="G49" i="22"/>
  <c r="V50" i="22"/>
  <c r="E48" i="22"/>
  <c r="T49" i="22"/>
  <c r="J41" i="22"/>
  <c r="T68" i="20"/>
  <c r="U68" i="20"/>
  <c r="R29" i="20"/>
  <c r="G25" i="25"/>
  <c r="J44" i="22"/>
  <c r="T71" i="20"/>
  <c r="U71" i="20"/>
  <c r="J45" i="22"/>
  <c r="T72" i="20"/>
  <c r="U72" i="20"/>
  <c r="J48" i="22"/>
  <c r="T75" i="20"/>
  <c r="U75" i="20"/>
  <c r="J47" i="22"/>
  <c r="T74" i="20"/>
  <c r="U74" i="20"/>
  <c r="J42" i="22"/>
  <c r="T69" i="20"/>
  <c r="U69" i="20"/>
  <c r="J46" i="22"/>
  <c r="T73" i="20"/>
  <c r="U73" i="20"/>
  <c r="J43" i="22"/>
  <c r="T70" i="20"/>
  <c r="U70" i="20"/>
  <c r="J40" i="22"/>
  <c r="T67" i="20"/>
  <c r="U67" i="20"/>
  <c r="J39" i="22"/>
  <c r="T66" i="20"/>
  <c r="U66" i="20"/>
  <c r="H51" i="22"/>
  <c r="X52" i="22"/>
  <c r="V51" i="22"/>
  <c r="G50" i="22"/>
  <c r="T50" i="22"/>
  <c r="E49" i="22"/>
  <c r="J49" i="22"/>
  <c r="T76" i="20"/>
  <c r="U76" i="20"/>
  <c r="X53" i="22"/>
  <c r="H52" i="22"/>
  <c r="T51" i="22"/>
  <c r="E50" i="22"/>
  <c r="J50" i="22"/>
  <c r="T77" i="20"/>
  <c r="U77" i="20"/>
  <c r="V52" i="22"/>
  <c r="G51" i="22"/>
  <c r="X54" i="22"/>
  <c r="H53" i="22"/>
  <c r="T52" i="22"/>
  <c r="E51" i="22"/>
  <c r="J51" i="22"/>
  <c r="T78" i="20"/>
  <c r="U78" i="20"/>
  <c r="G52" i="22"/>
  <c r="V53" i="22"/>
  <c r="X55" i="22"/>
  <c r="H54" i="22"/>
  <c r="E52" i="22"/>
  <c r="J52" i="22"/>
  <c r="T79" i="20"/>
  <c r="U79" i="20"/>
  <c r="T53" i="22"/>
  <c r="G53" i="22"/>
  <c r="V54" i="22"/>
  <c r="H55" i="22"/>
  <c r="X56" i="22"/>
  <c r="G54" i="22"/>
  <c r="V55" i="22"/>
  <c r="E53" i="22"/>
  <c r="J53" i="22"/>
  <c r="T80" i="20"/>
  <c r="U80" i="20"/>
  <c r="T54" i="22"/>
  <c r="H56" i="22"/>
  <c r="X57" i="22"/>
  <c r="V56" i="22"/>
  <c r="G55" i="22"/>
  <c r="T55" i="22"/>
  <c r="E54" i="22"/>
  <c r="J54" i="22"/>
  <c r="T81" i="20"/>
  <c r="U81" i="20"/>
  <c r="X58" i="22"/>
  <c r="H57" i="22"/>
  <c r="V57" i="22"/>
  <c r="G56" i="22"/>
  <c r="T56" i="22"/>
  <c r="E55" i="22"/>
  <c r="J55" i="22"/>
  <c r="T82" i="20"/>
  <c r="U82" i="20"/>
  <c r="X59" i="22"/>
  <c r="H58" i="22"/>
  <c r="V58" i="22"/>
  <c r="G57" i="22"/>
  <c r="E56" i="22"/>
  <c r="J56" i="22"/>
  <c r="T83" i="20"/>
  <c r="U83" i="20"/>
  <c r="T57" i="22"/>
  <c r="X60" i="22"/>
  <c r="H59" i="22"/>
  <c r="V59" i="22"/>
  <c r="G58" i="22"/>
  <c r="E57" i="22"/>
  <c r="J57" i="22"/>
  <c r="T84" i="20"/>
  <c r="U84" i="20"/>
  <c r="T58" i="22"/>
  <c r="X61" i="22"/>
  <c r="H60" i="22"/>
  <c r="E58" i="22"/>
  <c r="J58" i="22"/>
  <c r="T85" i="20"/>
  <c r="U85" i="20"/>
  <c r="T59" i="22"/>
  <c r="G59" i="22"/>
  <c r="V60" i="22"/>
  <c r="X62" i="22"/>
  <c r="H61" i="22"/>
  <c r="V61" i="22"/>
  <c r="G60" i="22"/>
  <c r="T60" i="22"/>
  <c r="E59" i="22"/>
  <c r="J59" i="22"/>
  <c r="T86" i="20"/>
  <c r="U86" i="20"/>
  <c r="H62" i="22"/>
  <c r="X63" i="22"/>
  <c r="G61" i="22"/>
  <c r="V62" i="22"/>
  <c r="E60" i="22"/>
  <c r="J60" i="22"/>
  <c r="T87" i="20"/>
  <c r="U87" i="20"/>
  <c r="T61" i="22"/>
  <c r="H63" i="22"/>
  <c r="X64" i="22"/>
  <c r="G62" i="22"/>
  <c r="V63" i="22"/>
  <c r="T62" i="22"/>
  <c r="E61" i="22"/>
  <c r="J61" i="22"/>
  <c r="T88" i="20"/>
  <c r="U88" i="20"/>
  <c r="X65" i="22"/>
  <c r="H64" i="22"/>
  <c r="G63" i="22"/>
  <c r="V64" i="22"/>
  <c r="E62" i="22"/>
  <c r="J62" i="22"/>
  <c r="T89" i="20"/>
  <c r="U89" i="20"/>
  <c r="T63" i="22"/>
  <c r="X66" i="22"/>
  <c r="H65" i="22"/>
  <c r="E63" i="22"/>
  <c r="J63" i="22"/>
  <c r="T90" i="20"/>
  <c r="U90" i="20"/>
  <c r="T64" i="22"/>
  <c r="V65" i="22"/>
  <c r="G64" i="22"/>
  <c r="X67" i="22"/>
  <c r="H66" i="22"/>
  <c r="V66" i="22"/>
  <c r="G65" i="22"/>
  <c r="E64" i="22"/>
  <c r="J64" i="22"/>
  <c r="T91" i="20"/>
  <c r="U91" i="20"/>
  <c r="T65" i="22"/>
  <c r="H67" i="22"/>
  <c r="X68" i="22"/>
  <c r="H68" i="22"/>
  <c r="T66" i="22"/>
  <c r="E65" i="22"/>
  <c r="J65" i="22"/>
  <c r="T92" i="20"/>
  <c r="U92" i="20"/>
  <c r="V67" i="22"/>
  <c r="G66" i="22"/>
  <c r="V68" i="22"/>
  <c r="G68" i="22"/>
  <c r="G67" i="22"/>
  <c r="E66" i="22"/>
  <c r="J66" i="22"/>
  <c r="T93" i="20"/>
  <c r="U93" i="20"/>
  <c r="T67" i="22"/>
  <c r="T68" i="22"/>
  <c r="E68" i="22"/>
  <c r="J68" i="22"/>
  <c r="T95" i="20"/>
  <c r="U95" i="20"/>
  <c r="E67" i="22"/>
  <c r="J67" i="22"/>
  <c r="T94" i="20"/>
  <c r="U94" i="20"/>
  <c r="U29" i="20"/>
  <c r="G26" i="25"/>
  <c r="L20" i="20"/>
  <c r="D15" i="19"/>
  <c r="E42" i="20"/>
  <c r="D31" i="19"/>
  <c r="E58" i="20"/>
  <c r="D30" i="19"/>
  <c r="E57" i="20"/>
  <c r="D29" i="19"/>
  <c r="D24" i="19"/>
  <c r="E51" i="20"/>
  <c r="F51" i="20"/>
  <c r="D26" i="19"/>
  <c r="E53" i="20"/>
  <c r="D22" i="19"/>
  <c r="E49" i="20"/>
  <c r="F49" i="20"/>
  <c r="D25" i="19"/>
  <c r="E52" i="20"/>
  <c r="D12" i="19"/>
  <c r="E39" i="20"/>
  <c r="D33" i="19"/>
  <c r="E60" i="20"/>
  <c r="D20" i="19"/>
  <c r="E47" i="20"/>
  <c r="F47" i="20"/>
  <c r="D18" i="19"/>
  <c r="E45" i="20"/>
  <c r="F45" i="20"/>
  <c r="D13" i="19"/>
  <c r="E40" i="20"/>
  <c r="D34" i="19"/>
  <c r="E61" i="20"/>
  <c r="F61" i="20"/>
  <c r="D27" i="19"/>
  <c r="E54" i="20"/>
  <c r="D21" i="19"/>
  <c r="E48" i="20"/>
  <c r="D17" i="19"/>
  <c r="E44" i="20"/>
  <c r="F44" i="20"/>
  <c r="D16" i="19"/>
  <c r="E43" i="20"/>
  <c r="D28" i="19"/>
  <c r="E55" i="20"/>
  <c r="G55" i="20"/>
  <c r="D23" i="19"/>
  <c r="E50" i="20"/>
  <c r="F50" i="20"/>
  <c r="D35" i="19"/>
  <c r="E62" i="20"/>
  <c r="D32" i="19"/>
  <c r="E59" i="20"/>
  <c r="F59" i="20"/>
  <c r="D19" i="19"/>
  <c r="E46" i="20"/>
  <c r="F57" i="20"/>
  <c r="G57" i="20"/>
  <c r="G44" i="20"/>
  <c r="G42" i="20"/>
  <c r="F42" i="20"/>
  <c r="E56" i="20"/>
  <c r="G58" i="20"/>
  <c r="F58" i="20"/>
  <c r="D14" i="19"/>
  <c r="F52" i="20"/>
  <c r="G52" i="20"/>
  <c r="G49" i="20"/>
  <c r="D37" i="19"/>
  <c r="D36" i="19"/>
  <c r="E63" i="20"/>
  <c r="D38" i="19"/>
  <c r="E65" i="20"/>
  <c r="G51" i="20"/>
  <c r="G45" i="20"/>
  <c r="G47" i="20"/>
  <c r="F55" i="20"/>
  <c r="G61" i="20"/>
  <c r="G59" i="20"/>
  <c r="G50" i="20"/>
  <c r="F65" i="20"/>
  <c r="G65" i="20"/>
  <c r="E41" i="20"/>
  <c r="F40" i="20"/>
  <c r="G40" i="20"/>
  <c r="G53" i="20"/>
  <c r="F53" i="20"/>
  <c r="G46" i="20"/>
  <c r="F46" i="20"/>
  <c r="G63" i="20"/>
  <c r="F63" i="20"/>
  <c r="E64" i="20"/>
  <c r="F60" i="20"/>
  <c r="G60" i="20"/>
  <c r="G39" i="20"/>
  <c r="F39" i="20"/>
  <c r="G43" i="20"/>
  <c r="F43" i="20"/>
  <c r="F56" i="20"/>
  <c r="G56" i="20"/>
  <c r="G48" i="20"/>
  <c r="F48" i="20"/>
  <c r="G54" i="20"/>
  <c r="F54" i="20"/>
  <c r="G62" i="20"/>
  <c r="F62" i="20"/>
  <c r="AP19" i="19"/>
  <c r="G64" i="20"/>
  <c r="F64" i="20"/>
  <c r="G41" i="20"/>
  <c r="F41" i="20"/>
  <c r="D56" i="19"/>
  <c r="E83" i="20"/>
  <c r="F83" i="20"/>
  <c r="D59" i="19"/>
  <c r="D60" i="19"/>
  <c r="E87" i="20"/>
  <c r="F87" i="20"/>
  <c r="D57" i="19"/>
  <c r="E84" i="20"/>
  <c r="D42" i="19"/>
  <c r="E69" i="20"/>
  <c r="D49" i="19"/>
  <c r="E76" i="20"/>
  <c r="D63" i="19"/>
  <c r="E90" i="20"/>
  <c r="F90" i="20"/>
  <c r="D47" i="19"/>
  <c r="E74" i="20"/>
  <c r="G74" i="20"/>
  <c r="D66" i="19"/>
  <c r="E93" i="20"/>
  <c r="D40" i="19"/>
  <c r="E67" i="20"/>
  <c r="H67" i="20"/>
  <c r="D43" i="19"/>
  <c r="E70" i="20"/>
  <c r="H70" i="20"/>
  <c r="D62" i="19"/>
  <c r="E89" i="20"/>
  <c r="D44" i="19"/>
  <c r="D51" i="19"/>
  <c r="E78" i="20"/>
  <c r="D52" i="19"/>
  <c r="E79" i="20"/>
  <c r="D41" i="19"/>
  <c r="D53" i="19"/>
  <c r="E80" i="20"/>
  <c r="D58" i="19"/>
  <c r="E85" i="20"/>
  <c r="H85" i="20"/>
  <c r="D50" i="19"/>
  <c r="E77" i="20"/>
  <c r="F77" i="20"/>
  <c r="D39" i="19"/>
  <c r="E66" i="20"/>
  <c r="D46" i="19"/>
  <c r="E73" i="20"/>
  <c r="D54" i="19"/>
  <c r="E81" i="20"/>
  <c r="G81" i="20"/>
  <c r="D64" i="19"/>
  <c r="E91" i="20"/>
  <c r="H91" i="20"/>
  <c r="D48" i="19"/>
  <c r="E75" i="20"/>
  <c r="F75" i="20"/>
  <c r="D67" i="19"/>
  <c r="E94" i="20"/>
  <c r="D45" i="19"/>
  <c r="E72" i="20"/>
  <c r="D61" i="19"/>
  <c r="E88" i="20"/>
  <c r="D55" i="19"/>
  <c r="E82" i="20"/>
  <c r="H82" i="20"/>
  <c r="D65" i="19"/>
  <c r="E92" i="20"/>
  <c r="G92" i="20"/>
  <c r="F67" i="20"/>
  <c r="G67" i="20"/>
  <c r="G70" i="20"/>
  <c r="E86" i="20"/>
  <c r="G82" i="20"/>
  <c r="F70" i="20"/>
  <c r="H90" i="20"/>
  <c r="H92" i="20"/>
  <c r="F91" i="20"/>
  <c r="F81" i="20"/>
  <c r="H83" i="20"/>
  <c r="G83" i="20"/>
  <c r="H87" i="20"/>
  <c r="G87" i="20"/>
  <c r="H81" i="20"/>
  <c r="F85" i="20"/>
  <c r="F74" i="20"/>
  <c r="F82" i="20"/>
  <c r="F78" i="20"/>
  <c r="H78" i="20"/>
  <c r="G78" i="20"/>
  <c r="G77" i="20"/>
  <c r="H77" i="20"/>
  <c r="F92" i="20"/>
  <c r="G75" i="20"/>
  <c r="H75" i="20"/>
  <c r="G85" i="20"/>
  <c r="G90" i="20"/>
  <c r="G91" i="20"/>
  <c r="E71" i="20"/>
  <c r="F71" i="20"/>
  <c r="E68" i="20"/>
  <c r="H68" i="20"/>
  <c r="F79" i="20"/>
  <c r="G79" i="20"/>
  <c r="H79" i="20"/>
  <c r="H74" i="20"/>
  <c r="D68" i="19"/>
  <c r="E95" i="20"/>
  <c r="G95" i="20"/>
  <c r="F84" i="20"/>
  <c r="H84" i="20"/>
  <c r="G84" i="20"/>
  <c r="G76" i="20"/>
  <c r="H76" i="20"/>
  <c r="F76" i="20"/>
  <c r="F93" i="20"/>
  <c r="H93" i="20"/>
  <c r="G93" i="20"/>
  <c r="H69" i="20"/>
  <c r="F69" i="20"/>
  <c r="G69" i="20"/>
  <c r="H72" i="20"/>
  <c r="F72" i="20"/>
  <c r="G72" i="20"/>
  <c r="H86" i="20"/>
  <c r="F86" i="20"/>
  <c r="G86" i="20"/>
  <c r="H95" i="20"/>
  <c r="G94" i="20"/>
  <c r="F94" i="20"/>
  <c r="H94" i="20"/>
  <c r="H80" i="20"/>
  <c r="F80" i="20"/>
  <c r="G80" i="20"/>
  <c r="G73" i="20"/>
  <c r="F73" i="20"/>
  <c r="H73" i="20"/>
  <c r="G89" i="20"/>
  <c r="H89" i="20"/>
  <c r="F89" i="20"/>
  <c r="G71" i="20"/>
  <c r="H88" i="20"/>
  <c r="F88" i="20"/>
  <c r="G88" i="20"/>
  <c r="H66" i="20"/>
  <c r="G66" i="20"/>
  <c r="F66" i="20"/>
  <c r="H71" i="20"/>
  <c r="H29" i="20"/>
  <c r="L21" i="20"/>
  <c r="F68" i="20"/>
  <c r="G68" i="20"/>
  <c r="G29" i="20"/>
  <c r="E29" i="20"/>
  <c r="J254" i="17"/>
  <c r="F95" i="20"/>
  <c r="F29" i="20"/>
  <c r="H21" i="20"/>
  <c r="G22" i="25"/>
  <c r="G24" i="25"/>
  <c r="L22" i="20"/>
  <c r="J21" i="20"/>
  <c r="K21" i="20"/>
  <c r="G23" i="25"/>
  <c r="K22" i="20"/>
  <c r="AP14" i="19"/>
  <c r="AP18" i="19"/>
  <c r="AP21" i="19"/>
  <c r="AP20" i="19"/>
  <c r="J22" i="14"/>
  <c r="J22" i="16"/>
  <c r="I16" i="14"/>
  <c r="I18" i="16"/>
  <c r="J23" i="16"/>
  <c r="I16" i="16"/>
  <c r="L16" i="16"/>
  <c r="I19" i="16"/>
  <c r="P22" i="16"/>
  <c r="J23" i="14"/>
  <c r="P22" i="14"/>
  <c r="P23" i="14"/>
  <c r="J24" i="14"/>
  <c r="P23" i="16"/>
  <c r="J24" i="16"/>
  <c r="J25" i="16"/>
  <c r="P24" i="16"/>
  <c r="J25" i="14"/>
  <c r="P24" i="14"/>
  <c r="P25" i="14"/>
  <c r="J26" i="14"/>
  <c r="J26" i="16"/>
  <c r="P25" i="16"/>
  <c r="J27" i="16"/>
  <c r="P26" i="16"/>
  <c r="P26" i="14"/>
  <c r="J27" i="14"/>
  <c r="J28" i="14"/>
  <c r="P27" i="14"/>
  <c r="J28" i="16"/>
  <c r="P27" i="16"/>
  <c r="P28" i="16"/>
  <c r="J29" i="16"/>
  <c r="J29" i="14"/>
  <c r="P28" i="14"/>
  <c r="P29" i="14"/>
  <c r="J30" i="14"/>
  <c r="J30" i="16"/>
  <c r="P29" i="16"/>
  <c r="P30" i="16"/>
  <c r="J31" i="16"/>
  <c r="J31" i="14"/>
  <c r="P30" i="14"/>
  <c r="P31" i="14"/>
  <c r="J32" i="14"/>
  <c r="J32" i="16"/>
  <c r="P31" i="16"/>
  <c r="J33" i="16"/>
  <c r="P32" i="16"/>
  <c r="P32" i="14"/>
  <c r="J33" i="14"/>
  <c r="J34" i="14"/>
  <c r="P33" i="14"/>
  <c r="P33" i="16"/>
  <c r="J34" i="16"/>
  <c r="P34" i="16"/>
  <c r="J35" i="16"/>
  <c r="P34" i="14"/>
  <c r="J35" i="14"/>
  <c r="P35" i="14"/>
  <c r="J36" i="14"/>
  <c r="J36" i="16"/>
  <c r="P35" i="16"/>
  <c r="J37" i="16"/>
  <c r="P36" i="16"/>
  <c r="J37" i="14"/>
  <c r="P36" i="14"/>
  <c r="P37" i="14"/>
  <c r="J38" i="14"/>
  <c r="J38" i="16"/>
  <c r="P37" i="16"/>
  <c r="J39" i="16"/>
  <c r="P38" i="16"/>
  <c r="J39" i="14"/>
  <c r="P38" i="14"/>
  <c r="P39" i="14"/>
  <c r="J40" i="14"/>
  <c r="P39" i="16"/>
  <c r="J40" i="16"/>
  <c r="J41" i="16"/>
  <c r="P40" i="16"/>
  <c r="P40" i="14"/>
  <c r="J41" i="14"/>
  <c r="P41" i="14"/>
  <c r="J42" i="14"/>
  <c r="J42" i="16"/>
  <c r="P41" i="16"/>
  <c r="J43" i="16"/>
  <c r="P42" i="16"/>
  <c r="J43" i="14"/>
  <c r="P42" i="14"/>
  <c r="J44" i="14"/>
  <c r="P43" i="14"/>
  <c r="J44" i="16"/>
  <c r="P43" i="16"/>
  <c r="J45" i="16"/>
  <c r="P44" i="16"/>
  <c r="J45" i="14"/>
  <c r="P44" i="14"/>
  <c r="P45" i="14"/>
  <c r="J46" i="14"/>
  <c r="J46" i="16"/>
  <c r="P45" i="16"/>
  <c r="J47" i="16"/>
  <c r="P46" i="16"/>
  <c r="P46" i="14"/>
  <c r="J47" i="14"/>
  <c r="J48" i="14"/>
  <c r="P47" i="14"/>
  <c r="P47" i="16"/>
  <c r="J48" i="16"/>
  <c r="P48" i="16"/>
  <c r="J49" i="16"/>
  <c r="J49" i="14"/>
  <c r="P48" i="14"/>
  <c r="J50" i="14"/>
  <c r="P49" i="14"/>
  <c r="J50" i="16"/>
  <c r="P49" i="16"/>
  <c r="P50" i="14"/>
  <c r="J51" i="14"/>
  <c r="J51" i="16"/>
  <c r="P50" i="16"/>
  <c r="J52" i="16"/>
  <c r="P51" i="16"/>
  <c r="J52" i="14"/>
  <c r="P51" i="14"/>
  <c r="P52" i="14"/>
  <c r="J53" i="14"/>
  <c r="P52" i="16"/>
  <c r="J53" i="16"/>
  <c r="J54" i="16"/>
  <c r="P53" i="16"/>
  <c r="P53" i="14"/>
  <c r="J54" i="14"/>
  <c r="J55" i="14"/>
  <c r="P54" i="14"/>
  <c r="P54" i="16"/>
  <c r="J55" i="16"/>
  <c r="J56" i="16"/>
  <c r="P55" i="16"/>
  <c r="J56" i="14"/>
  <c r="P55" i="14"/>
  <c r="J57" i="14"/>
  <c r="P56" i="14"/>
  <c r="P56" i="16"/>
  <c r="J57" i="16"/>
  <c r="J58" i="16"/>
  <c r="P57" i="16"/>
  <c r="J58" i="14"/>
  <c r="P57" i="14"/>
  <c r="P58" i="14"/>
  <c r="J59" i="14"/>
  <c r="J59" i="16"/>
  <c r="P58" i="16"/>
  <c r="P59" i="16"/>
  <c r="J60" i="16"/>
  <c r="P59" i="14"/>
  <c r="J60" i="14"/>
  <c r="J61" i="14"/>
  <c r="P60" i="14"/>
  <c r="P60" i="16"/>
  <c r="J61" i="16"/>
  <c r="J62" i="16"/>
  <c r="P61" i="16"/>
  <c r="J62" i="14"/>
  <c r="P61" i="14"/>
  <c r="P62" i="14"/>
  <c r="J63" i="14"/>
  <c r="J63" i="16"/>
  <c r="P62" i="16"/>
  <c r="P63" i="16"/>
  <c r="J64" i="16"/>
  <c r="P63" i="14"/>
  <c r="J64" i="14"/>
  <c r="P64" i="14"/>
  <c r="J65" i="14"/>
  <c r="J65" i="16"/>
  <c r="P64" i="16"/>
  <c r="J66" i="16"/>
  <c r="P65" i="16"/>
  <c r="J66" i="14"/>
  <c r="P65" i="14"/>
  <c r="P66" i="14"/>
  <c r="J67" i="14"/>
  <c r="J67" i="16"/>
  <c r="P66" i="16"/>
  <c r="J68" i="16"/>
  <c r="P67" i="16"/>
  <c r="P67" i="14"/>
  <c r="J68" i="14"/>
  <c r="J69" i="14"/>
  <c r="P68" i="14"/>
  <c r="P68" i="16"/>
  <c r="J69" i="16"/>
  <c r="P69" i="16"/>
  <c r="J70" i="16"/>
  <c r="J70" i="14"/>
  <c r="P69" i="14"/>
  <c r="J71" i="14"/>
  <c r="P70" i="14"/>
  <c r="J71" i="16"/>
  <c r="P70" i="16"/>
  <c r="P71" i="16"/>
  <c r="J72" i="16"/>
  <c r="P71" i="14"/>
  <c r="J72" i="14"/>
  <c r="P72" i="14"/>
  <c r="J73" i="14"/>
  <c r="P72" i="16"/>
  <c r="J73" i="16"/>
  <c r="J74" i="14"/>
  <c r="P73" i="14"/>
  <c r="P73" i="16"/>
  <c r="J74" i="16"/>
  <c r="P74" i="16"/>
  <c r="J75" i="16"/>
  <c r="J75" i="14"/>
  <c r="P74" i="14"/>
  <c r="P75" i="14"/>
  <c r="J76" i="14"/>
  <c r="P75" i="16"/>
  <c r="J76" i="16"/>
  <c r="P76" i="16"/>
  <c r="J77" i="16"/>
  <c r="P76" i="14"/>
  <c r="J77" i="14"/>
  <c r="P77" i="14"/>
  <c r="J78" i="14"/>
  <c r="P77" i="16"/>
  <c r="J78" i="16"/>
  <c r="J79" i="16"/>
  <c r="P78" i="16"/>
  <c r="P78" i="14"/>
  <c r="J79" i="14"/>
  <c r="J80" i="14"/>
  <c r="P79" i="14"/>
  <c r="J80" i="16"/>
  <c r="P79" i="16"/>
  <c r="P80" i="16"/>
  <c r="J81" i="16"/>
  <c r="J81" i="14"/>
  <c r="P80" i="14"/>
  <c r="J82" i="14"/>
  <c r="P81" i="14"/>
  <c r="J82" i="16"/>
  <c r="P81" i="16"/>
  <c r="P82" i="16"/>
  <c r="J83" i="16"/>
  <c r="J83" i="14"/>
  <c r="P82" i="14"/>
  <c r="P83" i="14"/>
  <c r="J84" i="14"/>
  <c r="P83" i="16"/>
  <c r="J84" i="16"/>
  <c r="J85" i="16"/>
  <c r="P84" i="16"/>
  <c r="J85" i="14"/>
  <c r="P84" i="14"/>
  <c r="P85" i="14"/>
  <c r="J86" i="14"/>
  <c r="J86" i="16"/>
  <c r="P85" i="16"/>
  <c r="J87" i="16"/>
  <c r="P86" i="16"/>
  <c r="P86" i="14"/>
  <c r="J87" i="14"/>
  <c r="P87" i="14"/>
  <c r="J88" i="14"/>
  <c r="J88" i="16"/>
  <c r="P87" i="16"/>
  <c r="J89" i="16"/>
  <c r="P88" i="16"/>
  <c r="J89" i="14"/>
  <c r="P88" i="14"/>
  <c r="J90" i="14"/>
  <c r="P89" i="14"/>
  <c r="J90" i="16"/>
  <c r="P89" i="16"/>
  <c r="J91" i="16"/>
  <c r="P90" i="16"/>
  <c r="P90" i="14"/>
  <c r="J91" i="14"/>
  <c r="J92" i="14"/>
  <c r="P91" i="14"/>
  <c r="J92" i="16"/>
  <c r="P91" i="16"/>
  <c r="P92" i="16"/>
  <c r="J93" i="16"/>
  <c r="P92" i="14"/>
  <c r="J93" i="14"/>
  <c r="J94" i="14"/>
  <c r="P93" i="14"/>
  <c r="P93" i="16"/>
  <c r="J94" i="16"/>
  <c r="J95" i="16"/>
  <c r="P94" i="16"/>
  <c r="J95" i="14"/>
  <c r="P94" i="14"/>
  <c r="P95" i="14"/>
  <c r="J96" i="14"/>
  <c r="J96" i="16"/>
  <c r="P95" i="16"/>
  <c r="J97" i="16"/>
  <c r="P96" i="16"/>
  <c r="P96" i="14"/>
  <c r="J97" i="14"/>
  <c r="J98" i="14"/>
  <c r="P97" i="14"/>
  <c r="P97" i="16"/>
  <c r="J98" i="16"/>
  <c r="J99" i="16"/>
  <c r="P98" i="16"/>
  <c r="J99" i="14"/>
  <c r="P98" i="14"/>
  <c r="J100" i="14"/>
  <c r="P99" i="14"/>
  <c r="J100" i="16"/>
  <c r="P99" i="16"/>
  <c r="J101" i="16"/>
  <c r="P100" i="16"/>
  <c r="P100" i="14"/>
  <c r="J101" i="14"/>
  <c r="P101" i="14"/>
  <c r="J102" i="14"/>
  <c r="P101" i="16"/>
  <c r="J102" i="16"/>
  <c r="J103" i="14"/>
  <c r="P102" i="14"/>
  <c r="J103" i="16"/>
  <c r="P102" i="16"/>
  <c r="P103" i="16"/>
  <c r="J104" i="16"/>
  <c r="P103" i="14"/>
  <c r="J104" i="14"/>
  <c r="J105" i="16"/>
  <c r="P104" i="16"/>
  <c r="J105" i="14"/>
  <c r="P104" i="14"/>
  <c r="J106" i="14"/>
  <c r="P105" i="14"/>
  <c r="P105" i="16"/>
  <c r="J106" i="16"/>
  <c r="J107" i="16"/>
  <c r="P106" i="16"/>
  <c r="P106" i="14"/>
  <c r="J107" i="14"/>
  <c r="J108" i="14"/>
  <c r="P107" i="14"/>
  <c r="J108" i="16"/>
  <c r="P107" i="16"/>
  <c r="P108" i="16"/>
  <c r="J109" i="16"/>
  <c r="J109" i="14"/>
  <c r="P108" i="14"/>
  <c r="J110" i="14"/>
  <c r="P109" i="14"/>
  <c r="J110" i="16"/>
  <c r="P109" i="16"/>
  <c r="J111" i="16"/>
  <c r="P110" i="16"/>
  <c r="J111" i="14"/>
  <c r="P110" i="14"/>
  <c r="J112" i="14"/>
  <c r="P111" i="14"/>
  <c r="P111" i="16"/>
  <c r="J112" i="16"/>
  <c r="P112" i="16"/>
  <c r="J113" i="16"/>
  <c r="J113" i="14"/>
  <c r="P112" i="14"/>
  <c r="J114" i="14"/>
  <c r="P113" i="14"/>
  <c r="J114" i="16"/>
  <c r="P113" i="16"/>
  <c r="J115" i="16"/>
  <c r="P114" i="16"/>
  <c r="P114" i="14"/>
  <c r="J115" i="14"/>
  <c r="P115" i="14"/>
  <c r="J116" i="14"/>
  <c r="J116" i="16"/>
  <c r="P115" i="16"/>
  <c r="J117" i="16"/>
  <c r="P116" i="16"/>
  <c r="P116" i="14"/>
  <c r="J117" i="14"/>
  <c r="J118" i="14"/>
  <c r="P117" i="14"/>
  <c r="P117" i="16"/>
  <c r="J118" i="16"/>
  <c r="P118" i="16"/>
  <c r="J119" i="16"/>
  <c r="J119" i="14"/>
  <c r="P118" i="14"/>
  <c r="P119" i="14"/>
  <c r="J120" i="14"/>
  <c r="P119" i="16"/>
  <c r="J120" i="16"/>
  <c r="J121" i="16"/>
  <c r="P120" i="16"/>
  <c r="P120" i="14"/>
  <c r="J121" i="14"/>
  <c r="J122" i="14"/>
  <c r="P121" i="14"/>
  <c r="P121" i="16"/>
  <c r="J122" i="16"/>
  <c r="J123" i="16"/>
  <c r="P122" i="16"/>
  <c r="J123" i="14"/>
  <c r="P122" i="14"/>
  <c r="P123" i="14"/>
  <c r="J124" i="14"/>
  <c r="J124" i="16"/>
  <c r="P123" i="16"/>
  <c r="J125" i="16"/>
  <c r="P124" i="16"/>
  <c r="J126" i="14"/>
  <c r="P124" i="14"/>
  <c r="P126" i="14"/>
  <c r="J127" i="14"/>
  <c r="P125" i="16"/>
  <c r="J126" i="16"/>
  <c r="P126" i="16"/>
  <c r="J127" i="16"/>
  <c r="P127" i="14"/>
  <c r="J128" i="14"/>
  <c r="J129" i="14"/>
  <c r="P128" i="14"/>
  <c r="J128" i="16"/>
  <c r="P127" i="16"/>
  <c r="J129" i="16"/>
  <c r="P128" i="16"/>
  <c r="P129" i="14"/>
  <c r="I17" i="14"/>
  <c r="J131" i="14"/>
  <c r="J132" i="14"/>
  <c r="P131" i="14"/>
  <c r="J130" i="16"/>
  <c r="P129" i="16"/>
  <c r="I15" i="14"/>
  <c r="P130" i="16"/>
  <c r="J131" i="16"/>
  <c r="P132" i="14"/>
  <c r="I18" i="14"/>
  <c r="L18" i="16"/>
  <c r="J134" i="14"/>
  <c r="P134" i="14"/>
  <c r="I19" i="14"/>
  <c r="L19" i="16"/>
  <c r="P794" i="14"/>
  <c r="J39" i="20"/>
  <c r="K39" i="20"/>
  <c r="K29" i="20"/>
  <c r="H20" i="20"/>
  <c r="P131" i="16"/>
  <c r="J132" i="16"/>
  <c r="P132" i="16"/>
  <c r="J133" i="16"/>
  <c r="G20" i="25"/>
  <c r="H22" i="20"/>
  <c r="P133" i="16"/>
  <c r="J134" i="16"/>
  <c r="J135" i="16"/>
  <c r="P134" i="16"/>
  <c r="J136" i="16"/>
  <c r="P135" i="16"/>
  <c r="J137" i="16"/>
  <c r="P136" i="16"/>
  <c r="J138" i="16"/>
  <c r="P137" i="16"/>
  <c r="J139" i="16"/>
  <c r="P138" i="16"/>
  <c r="P139" i="16"/>
  <c r="J140" i="16"/>
  <c r="J141" i="16"/>
  <c r="P140" i="16"/>
  <c r="J142" i="16"/>
  <c r="P141" i="16"/>
  <c r="P142" i="16"/>
  <c r="J143" i="16"/>
  <c r="P143" i="16"/>
  <c r="J144" i="16"/>
  <c r="J145" i="16"/>
  <c r="P144" i="16"/>
  <c r="J146" i="16"/>
  <c r="P145" i="16"/>
  <c r="J147" i="16"/>
  <c r="P146" i="16"/>
  <c r="J148" i="16"/>
  <c r="P147" i="16"/>
  <c r="J149" i="16"/>
  <c r="P148" i="16"/>
  <c r="J150" i="16"/>
  <c r="P149" i="16"/>
  <c r="J151" i="16"/>
  <c r="P150" i="16"/>
  <c r="P151" i="16"/>
  <c r="J152" i="16"/>
  <c r="P152" i="16"/>
  <c r="J153" i="16"/>
  <c r="P153" i="16"/>
  <c r="J154" i="16"/>
  <c r="P154" i="16"/>
  <c r="J155" i="16"/>
  <c r="P155" i="16"/>
  <c r="J156" i="16"/>
  <c r="J157" i="16"/>
  <c r="P156" i="16"/>
  <c r="P157" i="16"/>
  <c r="J158" i="16"/>
  <c r="J159" i="16"/>
  <c r="P158" i="16"/>
  <c r="J160" i="16"/>
  <c r="P159" i="16"/>
  <c r="P160" i="16"/>
  <c r="J161" i="16"/>
  <c r="P161" i="16"/>
  <c r="J162" i="16"/>
  <c r="J163" i="16"/>
  <c r="P162" i="16"/>
  <c r="P163" i="16"/>
  <c r="J164" i="16"/>
  <c r="J165" i="16"/>
  <c r="P164" i="16"/>
  <c r="J166" i="16"/>
  <c r="P165" i="16"/>
  <c r="J167" i="16"/>
  <c r="P166" i="16"/>
  <c r="J168" i="16"/>
  <c r="P167" i="16"/>
  <c r="J169" i="16"/>
  <c r="P168" i="16"/>
  <c r="P169" i="16"/>
  <c r="J170" i="16"/>
  <c r="J171" i="16"/>
  <c r="P170" i="16"/>
  <c r="J172" i="16"/>
  <c r="P171" i="16"/>
  <c r="P172" i="16"/>
  <c r="J173" i="16"/>
  <c r="P173" i="16"/>
  <c r="J174" i="16"/>
  <c r="P174" i="16"/>
  <c r="J175" i="16"/>
  <c r="J176" i="16"/>
  <c r="P175" i="16"/>
  <c r="J177" i="16"/>
  <c r="P176" i="16"/>
  <c r="J178" i="16"/>
  <c r="P177" i="16"/>
  <c r="J179" i="16"/>
  <c r="P178" i="16"/>
  <c r="P179" i="16"/>
  <c r="J180" i="16"/>
  <c r="P180" i="16"/>
  <c r="J181" i="16"/>
  <c r="P181" i="16"/>
  <c r="J182" i="16"/>
  <c r="P182" i="16"/>
  <c r="J183" i="16"/>
  <c r="J184" i="16"/>
  <c r="P183" i="16"/>
  <c r="J185" i="16"/>
  <c r="P184" i="16"/>
  <c r="J186" i="16"/>
  <c r="P185" i="16"/>
  <c r="J187" i="16"/>
  <c r="P186" i="16"/>
  <c r="P187" i="16"/>
  <c r="J188" i="16"/>
  <c r="J189" i="16"/>
  <c r="P188" i="16"/>
  <c r="P189" i="16"/>
  <c r="J190" i="16"/>
  <c r="J191" i="16"/>
  <c r="P190" i="16"/>
  <c r="P191" i="16"/>
  <c r="J192" i="16"/>
  <c r="J193" i="16"/>
  <c r="P192" i="16"/>
  <c r="P193" i="16"/>
  <c r="J194" i="16"/>
  <c r="P194" i="16"/>
  <c r="J195" i="16"/>
  <c r="J196" i="16"/>
  <c r="P195" i="16"/>
  <c r="P196" i="16"/>
  <c r="J197" i="16"/>
  <c r="J198" i="16"/>
  <c r="P197" i="16"/>
  <c r="P198" i="16"/>
  <c r="J199" i="16"/>
  <c r="J200" i="16"/>
  <c r="P199" i="16"/>
  <c r="J201" i="16"/>
  <c r="P200" i="16"/>
  <c r="P201" i="16"/>
  <c r="J202" i="16"/>
  <c r="J203" i="16"/>
  <c r="P202" i="16"/>
  <c r="J204" i="16"/>
  <c r="P203" i="16"/>
  <c r="P204" i="16"/>
  <c r="J205" i="16"/>
  <c r="P205" i="16"/>
  <c r="J206" i="16"/>
  <c r="P206" i="16"/>
  <c r="J207" i="16"/>
  <c r="P207" i="16"/>
  <c r="J208" i="16"/>
  <c r="P208" i="16"/>
  <c r="J209" i="16"/>
  <c r="J210" i="16"/>
  <c r="P209" i="16"/>
  <c r="J211" i="16"/>
  <c r="P210" i="16"/>
  <c r="J212" i="16"/>
  <c r="P211" i="16"/>
  <c r="J213" i="16"/>
  <c r="P212" i="16"/>
  <c r="P213" i="16"/>
  <c r="J214" i="16"/>
  <c r="P214" i="16"/>
  <c r="J215" i="16"/>
  <c r="J216" i="16"/>
  <c r="P215" i="16"/>
  <c r="J217" i="16"/>
  <c r="P216" i="16"/>
  <c r="P217" i="16"/>
  <c r="J218" i="16"/>
  <c r="P218" i="16"/>
  <c r="J219" i="16"/>
  <c r="J220" i="16"/>
  <c r="P219" i="16"/>
  <c r="P220" i="16"/>
  <c r="J221" i="16"/>
  <c r="J222" i="16"/>
  <c r="P221" i="16"/>
  <c r="J223" i="16"/>
  <c r="P222" i="16"/>
  <c r="P223" i="16"/>
  <c r="J224" i="16"/>
  <c r="J225" i="16"/>
  <c r="P224" i="16"/>
  <c r="J226" i="16"/>
  <c r="P225" i="16"/>
  <c r="J227" i="16"/>
  <c r="P226" i="16"/>
  <c r="P227" i="16"/>
  <c r="J228" i="16"/>
  <c r="P228" i="16"/>
  <c r="J229" i="16"/>
  <c r="J230" i="16"/>
  <c r="P229" i="16"/>
  <c r="P230" i="16"/>
  <c r="J231" i="16"/>
  <c r="J232" i="16"/>
  <c r="P231" i="16"/>
  <c r="P232" i="16"/>
  <c r="J233" i="16"/>
  <c r="J234" i="16"/>
  <c r="P233" i="16"/>
  <c r="J235" i="16"/>
  <c r="P234" i="16"/>
  <c r="J236" i="16"/>
  <c r="P235" i="16"/>
  <c r="J237" i="16"/>
  <c r="P236" i="16"/>
  <c r="J238" i="16"/>
  <c r="P237" i="16"/>
  <c r="P238" i="16"/>
  <c r="J239" i="16"/>
  <c r="J240" i="16"/>
  <c r="P239" i="16"/>
  <c r="J241" i="16"/>
  <c r="P240" i="16"/>
  <c r="P241" i="16"/>
  <c r="J242" i="16"/>
  <c r="P242" i="16"/>
  <c r="J243" i="16"/>
  <c r="J244" i="16"/>
  <c r="P243" i="16"/>
  <c r="J245" i="16"/>
  <c r="P244" i="16"/>
  <c r="P245" i="16"/>
  <c r="J246" i="16"/>
  <c r="J247" i="16"/>
  <c r="P246" i="16"/>
  <c r="J248" i="16"/>
  <c r="P247" i="16"/>
  <c r="J249" i="16"/>
  <c r="P248" i="16"/>
  <c r="P249" i="16"/>
  <c r="J250" i="16"/>
  <c r="P250" i="16"/>
  <c r="J251" i="16"/>
  <c r="P251" i="16"/>
  <c r="J252" i="16"/>
  <c r="J253" i="16"/>
  <c r="P252" i="16"/>
  <c r="P253" i="16"/>
  <c r="J254" i="16"/>
  <c r="J255" i="16"/>
  <c r="P254" i="16"/>
  <c r="J256" i="16"/>
  <c r="P255" i="16"/>
  <c r="P256" i="16"/>
  <c r="J257" i="16"/>
  <c r="P257" i="16"/>
  <c r="J258" i="16"/>
  <c r="J259" i="16"/>
  <c r="P258" i="16"/>
  <c r="J260" i="16"/>
  <c r="P259" i="16"/>
  <c r="P260" i="16"/>
  <c r="J261" i="16"/>
  <c r="J262" i="16"/>
  <c r="P261" i="16"/>
  <c r="J263" i="16"/>
  <c r="P262" i="16"/>
  <c r="P263" i="16"/>
  <c r="J264" i="16"/>
  <c r="J265" i="16"/>
  <c r="P264" i="16"/>
  <c r="J266" i="16"/>
  <c r="P265" i="16"/>
  <c r="J267" i="16"/>
  <c r="P266" i="16"/>
  <c r="P267" i="16"/>
  <c r="J268" i="16"/>
  <c r="J269" i="16"/>
  <c r="P268" i="16"/>
  <c r="P269" i="16"/>
  <c r="J270" i="16"/>
  <c r="J271" i="16"/>
  <c r="P270" i="16"/>
  <c r="J272" i="16"/>
  <c r="P271" i="16"/>
  <c r="J273" i="16"/>
  <c r="P272" i="16"/>
  <c r="P273" i="16"/>
  <c r="J274" i="16"/>
  <c r="J275" i="16"/>
  <c r="P274" i="16"/>
  <c r="J276" i="16"/>
  <c r="P275" i="16"/>
  <c r="P276" i="16"/>
  <c r="J277" i="16"/>
  <c r="J278" i="16"/>
  <c r="P277" i="16"/>
  <c r="P278" i="16"/>
  <c r="J279" i="16"/>
  <c r="P279" i="16"/>
  <c r="J280" i="16"/>
  <c r="J281" i="16"/>
  <c r="P280" i="16"/>
  <c r="P281" i="16"/>
  <c r="J282" i="16"/>
  <c r="P282" i="16"/>
  <c r="J283" i="16"/>
  <c r="P283" i="16"/>
  <c r="J284" i="16"/>
  <c r="J285" i="16"/>
  <c r="P284" i="16"/>
  <c r="P285" i="16"/>
  <c r="J286" i="16"/>
  <c r="J287" i="16"/>
  <c r="P286" i="16"/>
  <c r="J288" i="16"/>
  <c r="P287" i="16"/>
  <c r="P288" i="16"/>
  <c r="J289" i="16"/>
  <c r="J290" i="16"/>
  <c r="P289" i="16"/>
  <c r="P290" i="16"/>
  <c r="J291" i="16"/>
  <c r="J292" i="16"/>
  <c r="P291" i="16"/>
  <c r="P292" i="16"/>
  <c r="J293" i="16"/>
  <c r="J294" i="16"/>
  <c r="P293" i="16"/>
  <c r="P294" i="16"/>
  <c r="J295" i="16"/>
  <c r="J296" i="16"/>
  <c r="P295" i="16"/>
  <c r="J297" i="16"/>
  <c r="P296" i="16"/>
  <c r="J298" i="16"/>
  <c r="P297" i="16"/>
  <c r="J299" i="16"/>
  <c r="P298" i="16"/>
  <c r="J300" i="16"/>
  <c r="P299" i="16"/>
  <c r="P300" i="16"/>
  <c r="J301" i="16"/>
  <c r="P301" i="16"/>
  <c r="J302" i="16"/>
  <c r="J303" i="16"/>
  <c r="P302" i="16"/>
  <c r="P303" i="16"/>
  <c r="J304" i="16"/>
  <c r="J305" i="16"/>
  <c r="P304" i="16"/>
  <c r="J306" i="16"/>
  <c r="P305" i="16"/>
  <c r="J307" i="16"/>
  <c r="P306" i="16"/>
  <c r="P307" i="16"/>
  <c r="J308" i="16"/>
  <c r="P308" i="16"/>
  <c r="J309" i="16"/>
  <c r="P309" i="16"/>
  <c r="J310" i="16"/>
  <c r="J311" i="16"/>
  <c r="P310" i="16"/>
  <c r="P311" i="16"/>
  <c r="J312" i="16"/>
  <c r="J313" i="16"/>
  <c r="P312" i="16"/>
  <c r="P313" i="16"/>
  <c r="J314" i="16"/>
  <c r="J315" i="16"/>
  <c r="P314" i="16"/>
  <c r="J316" i="16"/>
  <c r="P315" i="16"/>
  <c r="P316" i="16"/>
  <c r="J317" i="16"/>
  <c r="P317" i="16"/>
  <c r="J318" i="16"/>
  <c r="J319" i="16"/>
  <c r="P318" i="16"/>
  <c r="J320" i="16"/>
  <c r="P319" i="16"/>
  <c r="P320" i="16"/>
  <c r="J321" i="16"/>
  <c r="P321" i="16"/>
  <c r="J322" i="16"/>
  <c r="P322" i="16"/>
  <c r="J323" i="16"/>
  <c r="J324" i="16"/>
  <c r="P323" i="16"/>
  <c r="J325" i="16"/>
  <c r="P324" i="16"/>
  <c r="J326" i="16"/>
  <c r="P325" i="16"/>
  <c r="J327" i="16"/>
  <c r="P326" i="16"/>
  <c r="J328" i="16"/>
  <c r="P327" i="16"/>
  <c r="J329" i="16"/>
  <c r="P328" i="16"/>
  <c r="P329" i="16"/>
  <c r="J330" i="16"/>
  <c r="P330" i="16"/>
  <c r="J331" i="16"/>
  <c r="J332" i="16"/>
  <c r="P331" i="16"/>
  <c r="J333" i="16"/>
  <c r="P332" i="16"/>
  <c r="J334" i="16"/>
  <c r="P333" i="16"/>
  <c r="P334" i="16"/>
  <c r="J335" i="16"/>
  <c r="J336" i="16"/>
  <c r="P335" i="16"/>
  <c r="J337" i="16"/>
  <c r="P336" i="16"/>
  <c r="P337" i="16"/>
  <c r="J338" i="16"/>
  <c r="P338" i="16"/>
  <c r="J339" i="16"/>
  <c r="P339" i="16"/>
  <c r="J340" i="16"/>
  <c r="J341" i="16"/>
  <c r="P340" i="16"/>
  <c r="P341" i="16"/>
  <c r="J342" i="16"/>
  <c r="J343" i="16"/>
  <c r="P342" i="16"/>
  <c r="J344" i="16"/>
  <c r="P343" i="16"/>
  <c r="J345" i="16"/>
  <c r="P344" i="16"/>
  <c r="J346" i="16"/>
  <c r="P345" i="16"/>
  <c r="P346" i="16"/>
  <c r="J347" i="16"/>
  <c r="J348" i="16"/>
  <c r="P347" i="16"/>
  <c r="P348" i="16"/>
  <c r="J349" i="16"/>
  <c r="J350" i="16"/>
  <c r="P349" i="16"/>
  <c r="J351" i="16"/>
  <c r="P350" i="16"/>
  <c r="J352" i="16"/>
  <c r="P351" i="16"/>
  <c r="J353" i="16"/>
  <c r="P352" i="16"/>
  <c r="J354" i="16"/>
  <c r="P353" i="16"/>
  <c r="J355" i="16"/>
  <c r="P354" i="16"/>
  <c r="P355" i="16"/>
  <c r="J356" i="16"/>
  <c r="J357" i="16"/>
  <c r="P356" i="16"/>
  <c r="P357" i="16"/>
  <c r="J358" i="16"/>
  <c r="J359" i="16"/>
  <c r="P358" i="16"/>
  <c r="P359" i="16"/>
  <c r="J360" i="16"/>
  <c r="J361" i="16"/>
  <c r="P360" i="16"/>
  <c r="J362" i="16"/>
  <c r="P361" i="16"/>
  <c r="J363" i="16"/>
  <c r="P362" i="16"/>
  <c r="P363" i="16"/>
  <c r="J364" i="16"/>
  <c r="J365" i="16"/>
  <c r="P364" i="16"/>
  <c r="J366" i="16"/>
  <c r="P365" i="16"/>
  <c r="J367" i="16"/>
  <c r="P366" i="16"/>
  <c r="P367" i="16"/>
  <c r="J368" i="16"/>
  <c r="J369" i="16"/>
  <c r="P368" i="16"/>
  <c r="P369" i="16"/>
  <c r="J370" i="16"/>
  <c r="J371" i="16"/>
  <c r="P370" i="16"/>
  <c r="P371" i="16"/>
  <c r="J372" i="16"/>
  <c r="J373" i="16"/>
  <c r="P372" i="16"/>
  <c r="J374" i="16"/>
  <c r="P373" i="16"/>
  <c r="J375" i="16"/>
  <c r="P374" i="16"/>
  <c r="J376" i="16"/>
  <c r="P375" i="16"/>
  <c r="J377" i="16"/>
  <c r="P376" i="16"/>
  <c r="P377" i="16"/>
  <c r="J378" i="16"/>
  <c r="J379" i="16"/>
  <c r="P378" i="16"/>
  <c r="P379" i="16"/>
  <c r="J380" i="16"/>
  <c r="P380" i="16"/>
  <c r="J381" i="16"/>
  <c r="J382" i="16"/>
  <c r="P381" i="16"/>
  <c r="J383" i="16"/>
  <c r="P382" i="16"/>
  <c r="J384" i="16"/>
  <c r="P383" i="16"/>
  <c r="P384" i="16"/>
  <c r="J385" i="16"/>
  <c r="J386" i="16"/>
  <c r="P385" i="16"/>
  <c r="P386" i="16"/>
  <c r="J387" i="16"/>
  <c r="J388" i="16"/>
  <c r="P387" i="16"/>
  <c r="P388" i="16"/>
  <c r="J389" i="16"/>
  <c r="J390" i="16"/>
  <c r="P389" i="16"/>
  <c r="J391" i="16"/>
  <c r="P390" i="16"/>
  <c r="J392" i="16"/>
  <c r="P391" i="16"/>
  <c r="P392" i="16"/>
  <c r="J393" i="16"/>
  <c r="P393" i="16"/>
  <c r="J394" i="16"/>
  <c r="J395" i="16"/>
  <c r="P394" i="16"/>
  <c r="J396" i="16"/>
  <c r="P395" i="16"/>
  <c r="J397" i="16"/>
  <c r="P396" i="16"/>
  <c r="J398" i="16"/>
  <c r="P397" i="16"/>
  <c r="J399" i="16"/>
  <c r="P398" i="16"/>
  <c r="J400" i="16"/>
  <c r="P399" i="16"/>
  <c r="P400" i="16"/>
  <c r="J401" i="16"/>
  <c r="P401" i="16"/>
  <c r="J402" i="16"/>
  <c r="P402" i="16"/>
  <c r="J403" i="16"/>
  <c r="P403" i="16"/>
  <c r="J404" i="16"/>
  <c r="J405" i="16"/>
  <c r="P404" i="16"/>
  <c r="P405" i="16"/>
  <c r="J406" i="16"/>
  <c r="P406" i="16"/>
  <c r="J407" i="16"/>
  <c r="P407" i="16"/>
  <c r="J408" i="16"/>
  <c r="J409" i="16"/>
  <c r="P408" i="16"/>
  <c r="J410" i="16"/>
  <c r="P409" i="16"/>
  <c r="J411" i="16"/>
  <c r="P410" i="16"/>
  <c r="P411" i="16"/>
  <c r="J412" i="16"/>
  <c r="P412" i="16"/>
  <c r="J413" i="16"/>
  <c r="P413" i="16"/>
  <c r="J414" i="16"/>
  <c r="J415" i="16"/>
  <c r="P414" i="16"/>
  <c r="J416" i="16"/>
  <c r="P415" i="16"/>
  <c r="P416" i="16"/>
  <c r="J417" i="16"/>
  <c r="J418" i="16"/>
  <c r="P417" i="16"/>
  <c r="P418" i="16"/>
  <c r="J419" i="16"/>
  <c r="P419" i="16"/>
  <c r="J420" i="16"/>
  <c r="J421" i="16"/>
  <c r="P420" i="16"/>
  <c r="J422" i="16"/>
  <c r="P421" i="16"/>
  <c r="J423" i="16"/>
  <c r="P422" i="16"/>
  <c r="J424" i="16"/>
  <c r="P423" i="16"/>
  <c r="P424" i="16"/>
  <c r="J425" i="16"/>
  <c r="J426" i="16"/>
  <c r="P425" i="16"/>
  <c r="J427" i="16"/>
  <c r="P426" i="16"/>
  <c r="J428" i="16"/>
  <c r="P427" i="16"/>
  <c r="J429" i="16"/>
  <c r="P428" i="16"/>
  <c r="J430" i="16"/>
  <c r="P429" i="16"/>
  <c r="J431" i="16"/>
  <c r="P430" i="16"/>
  <c r="J432" i="16"/>
  <c r="P431" i="16"/>
  <c r="P432" i="16"/>
  <c r="J433" i="16"/>
  <c r="J434" i="16"/>
  <c r="P433" i="16"/>
  <c r="P434" i="16"/>
  <c r="J435" i="16"/>
  <c r="P435" i="16"/>
  <c r="J436" i="16"/>
  <c r="J437" i="16"/>
  <c r="P436" i="16"/>
  <c r="J438" i="16"/>
  <c r="P437" i="16"/>
  <c r="J439" i="16"/>
  <c r="P438" i="16"/>
  <c r="P439" i="16"/>
  <c r="J440" i="16"/>
  <c r="J441" i="16"/>
  <c r="P440" i="16"/>
  <c r="J442" i="16"/>
  <c r="P441" i="16"/>
  <c r="P442" i="16"/>
  <c r="J443" i="16"/>
  <c r="J444" i="16"/>
  <c r="P443" i="16"/>
  <c r="J445" i="16"/>
  <c r="P444" i="16"/>
  <c r="J446" i="16"/>
  <c r="P445" i="16"/>
  <c r="P446" i="16"/>
  <c r="J447" i="16"/>
  <c r="P447" i="16"/>
  <c r="J448" i="16"/>
  <c r="P448" i="16"/>
  <c r="J449" i="16"/>
  <c r="P449" i="16"/>
  <c r="J450" i="16"/>
  <c r="P450" i="16"/>
  <c r="J451" i="16"/>
  <c r="J452" i="16"/>
  <c r="P451" i="16"/>
  <c r="P452" i="16"/>
  <c r="J453" i="16"/>
  <c r="P453" i="16"/>
  <c r="J454" i="16"/>
  <c r="J455" i="16"/>
  <c r="P454" i="16"/>
  <c r="J456" i="16"/>
  <c r="P455" i="16"/>
  <c r="J457" i="16"/>
  <c r="P456" i="16"/>
  <c r="J458" i="16"/>
  <c r="P457" i="16"/>
  <c r="P458" i="16"/>
  <c r="J459" i="16"/>
  <c r="P459" i="16"/>
  <c r="J460" i="16"/>
  <c r="P460" i="16"/>
  <c r="J461" i="16"/>
  <c r="P461" i="16"/>
  <c r="J462" i="16"/>
  <c r="J463" i="16"/>
  <c r="P462" i="16"/>
  <c r="P463" i="16"/>
  <c r="J464" i="16"/>
  <c r="J465" i="16"/>
  <c r="P464" i="16"/>
  <c r="J466" i="16"/>
  <c r="P465" i="16"/>
  <c r="P466" i="16"/>
  <c r="J467" i="16"/>
  <c r="J468" i="16"/>
  <c r="P467" i="16"/>
  <c r="P468" i="16"/>
  <c r="J469" i="16"/>
  <c r="J470" i="16"/>
  <c r="P469" i="16"/>
  <c r="J471" i="16"/>
  <c r="P470" i="16"/>
  <c r="P471" i="16"/>
  <c r="J472" i="16"/>
  <c r="P472" i="16"/>
  <c r="J473" i="16"/>
  <c r="J474" i="16"/>
  <c r="P473" i="16"/>
  <c r="P474" i="16"/>
  <c r="J475" i="16"/>
  <c r="J476" i="16"/>
  <c r="P475" i="16"/>
  <c r="P476" i="16"/>
  <c r="J477" i="16"/>
  <c r="J478" i="16"/>
  <c r="P477" i="16"/>
  <c r="P478" i="16"/>
  <c r="J479" i="16"/>
  <c r="J480" i="16"/>
  <c r="P479" i="16"/>
  <c r="P480" i="16"/>
  <c r="J481" i="16"/>
  <c r="P481" i="16"/>
  <c r="J482" i="16"/>
  <c r="P482" i="16"/>
  <c r="J483" i="16"/>
  <c r="P483" i="16"/>
  <c r="J484" i="16"/>
  <c r="J485" i="16"/>
  <c r="P484" i="16"/>
  <c r="J486" i="16"/>
  <c r="P485" i="16"/>
  <c r="P486" i="16"/>
  <c r="J487" i="16"/>
  <c r="P487" i="16"/>
  <c r="J488" i="16"/>
  <c r="J489" i="16"/>
  <c r="P488" i="16"/>
  <c r="P489" i="16"/>
  <c r="J490" i="16"/>
  <c r="J491" i="16"/>
  <c r="P490" i="16"/>
  <c r="J492" i="16"/>
  <c r="P491" i="16"/>
  <c r="J493" i="16"/>
  <c r="P492" i="16"/>
  <c r="J494" i="16"/>
  <c r="P493" i="16"/>
  <c r="P494" i="16"/>
  <c r="J495" i="16"/>
  <c r="P495" i="16"/>
  <c r="J496" i="16"/>
  <c r="J497" i="16"/>
  <c r="P496" i="16"/>
  <c r="J498" i="16"/>
  <c r="P497" i="16"/>
  <c r="J499" i="16"/>
  <c r="P498" i="16"/>
  <c r="P499" i="16"/>
  <c r="J500" i="16"/>
  <c r="J501" i="16"/>
  <c r="P500" i="16"/>
  <c r="J502" i="16"/>
  <c r="P501" i="16"/>
  <c r="J503" i="16"/>
  <c r="P502" i="16"/>
  <c r="J504" i="16"/>
  <c r="P503" i="16"/>
  <c r="J505" i="16"/>
  <c r="P504" i="16"/>
  <c r="J506" i="16"/>
  <c r="P505" i="16"/>
  <c r="J507" i="16"/>
  <c r="P506" i="16"/>
  <c r="P507" i="16"/>
  <c r="J508" i="16"/>
  <c r="J509" i="16"/>
  <c r="P508" i="16"/>
  <c r="J510" i="16"/>
  <c r="P509" i="16"/>
  <c r="J511" i="16"/>
  <c r="P510" i="16"/>
  <c r="J512" i="16"/>
  <c r="P511" i="16"/>
  <c r="J513" i="16"/>
  <c r="P512" i="16"/>
  <c r="J514" i="16"/>
  <c r="P513" i="16"/>
  <c r="J515" i="16"/>
  <c r="P514" i="16"/>
  <c r="J516" i="16"/>
  <c r="P515" i="16"/>
  <c r="J517" i="16"/>
  <c r="P516" i="16"/>
  <c r="P517" i="16"/>
  <c r="J518" i="16"/>
  <c r="J519" i="16"/>
  <c r="P518" i="16"/>
  <c r="J520" i="16"/>
  <c r="P519" i="16"/>
  <c r="P520" i="16"/>
  <c r="J521" i="16"/>
  <c r="P521" i="16"/>
  <c r="J522" i="16"/>
  <c r="J523" i="16"/>
  <c r="P522" i="16"/>
  <c r="P523" i="16"/>
  <c r="J524" i="16"/>
  <c r="J525" i="16"/>
  <c r="P524" i="16"/>
  <c r="J526" i="16"/>
  <c r="P525" i="16"/>
  <c r="P526" i="16"/>
  <c r="J527" i="16"/>
  <c r="P527" i="16"/>
  <c r="J528" i="16"/>
  <c r="P528" i="16"/>
  <c r="J529" i="16"/>
  <c r="P529" i="16"/>
  <c r="J530" i="16"/>
  <c r="J531" i="16"/>
  <c r="P530" i="16"/>
  <c r="J532" i="16"/>
  <c r="P531" i="16"/>
  <c r="J533" i="16"/>
  <c r="P532" i="16"/>
  <c r="J534" i="16"/>
  <c r="P533" i="16"/>
  <c r="J535" i="16"/>
  <c r="P534" i="16"/>
  <c r="J536" i="16"/>
  <c r="P535" i="16"/>
  <c r="P536" i="16"/>
  <c r="J537" i="16"/>
  <c r="P537" i="16"/>
  <c r="J538" i="16"/>
  <c r="J539" i="16"/>
  <c r="P538" i="16"/>
  <c r="J540" i="16"/>
  <c r="P539" i="16"/>
  <c r="P540" i="16"/>
  <c r="J541" i="16"/>
  <c r="J542" i="16"/>
  <c r="P541" i="16"/>
  <c r="J543" i="16"/>
  <c r="P542" i="16"/>
  <c r="P543" i="16"/>
  <c r="J544" i="16"/>
  <c r="P544" i="16"/>
  <c r="J545" i="16"/>
  <c r="J546" i="16"/>
  <c r="P545" i="16"/>
  <c r="P546" i="16"/>
  <c r="J547" i="16"/>
  <c r="P547" i="16"/>
  <c r="J548" i="16"/>
  <c r="J549" i="16"/>
  <c r="P548" i="16"/>
  <c r="J550" i="16"/>
  <c r="P549" i="16"/>
  <c r="J551" i="16"/>
  <c r="P550" i="16"/>
  <c r="J552" i="16"/>
  <c r="P551" i="16"/>
  <c r="J553" i="16"/>
  <c r="P552" i="16"/>
  <c r="P553" i="16"/>
  <c r="J554" i="16"/>
  <c r="P554" i="16"/>
  <c r="J555" i="16"/>
  <c r="P555" i="16"/>
  <c r="J556" i="16"/>
  <c r="P556" i="16"/>
  <c r="J557" i="16"/>
  <c r="P557" i="16"/>
  <c r="J558" i="16"/>
  <c r="J559" i="16"/>
  <c r="P558" i="16"/>
  <c r="P559" i="16"/>
  <c r="J560" i="16"/>
  <c r="J561" i="16"/>
  <c r="P560" i="16"/>
  <c r="P561" i="16"/>
  <c r="J562" i="16"/>
  <c r="J563" i="16"/>
  <c r="P562" i="16"/>
  <c r="P563" i="16"/>
  <c r="J564" i="16"/>
  <c r="J565" i="16"/>
  <c r="P564" i="16"/>
  <c r="J566" i="16"/>
  <c r="P565" i="16"/>
  <c r="J567" i="16"/>
  <c r="P566" i="16"/>
  <c r="P567" i="16"/>
  <c r="J568" i="16"/>
  <c r="P568" i="16"/>
  <c r="J569" i="16"/>
  <c r="J570" i="16"/>
  <c r="P569" i="16"/>
  <c r="J571" i="16"/>
  <c r="P570" i="16"/>
  <c r="P571" i="16"/>
  <c r="J572" i="16"/>
  <c r="J573" i="16"/>
  <c r="P572" i="16"/>
  <c r="J574" i="16"/>
  <c r="P573" i="16"/>
  <c r="P574" i="16"/>
  <c r="J575" i="16"/>
  <c r="J576" i="16"/>
  <c r="P575" i="16"/>
  <c r="P576" i="16"/>
  <c r="J577" i="16"/>
  <c r="P577" i="16"/>
  <c r="J578" i="16"/>
  <c r="P578" i="16"/>
  <c r="J579" i="16"/>
  <c r="P579" i="16"/>
  <c r="J580" i="16"/>
  <c r="P580" i="16"/>
  <c r="J581" i="16"/>
  <c r="J582" i="16"/>
  <c r="P581" i="16"/>
  <c r="J583" i="16"/>
  <c r="P582" i="16"/>
  <c r="J584" i="16"/>
  <c r="P583" i="16"/>
  <c r="P584" i="16"/>
  <c r="J585" i="16"/>
  <c r="P585" i="16"/>
  <c r="J586" i="16"/>
  <c r="P586" i="16"/>
  <c r="J587" i="16"/>
  <c r="P587" i="16"/>
  <c r="J588" i="16"/>
  <c r="P588" i="16"/>
  <c r="J589" i="16"/>
  <c r="J590" i="16"/>
  <c r="P589" i="16"/>
  <c r="J591" i="16"/>
  <c r="P590" i="16"/>
  <c r="J592" i="16"/>
  <c r="P591" i="16"/>
  <c r="J593" i="16"/>
  <c r="P592" i="16"/>
  <c r="J594" i="16"/>
  <c r="P593" i="16"/>
  <c r="J595" i="16"/>
  <c r="P594" i="16"/>
  <c r="J596" i="16"/>
  <c r="P595" i="16"/>
  <c r="J597" i="16"/>
  <c r="P596" i="16"/>
  <c r="P597" i="16"/>
  <c r="J598" i="16"/>
  <c r="J599" i="16"/>
  <c r="P598" i="16"/>
  <c r="P599" i="16"/>
  <c r="J600" i="16"/>
  <c r="P600" i="16"/>
  <c r="J601" i="16"/>
  <c r="J602" i="16"/>
  <c r="P601" i="16"/>
  <c r="P602" i="16"/>
  <c r="J603" i="16"/>
  <c r="J604" i="16"/>
  <c r="P603" i="16"/>
  <c r="P604" i="16"/>
  <c r="J605" i="16"/>
  <c r="P605" i="16"/>
  <c r="J606" i="16"/>
  <c r="J607" i="16"/>
  <c r="P606" i="16"/>
  <c r="J608" i="16"/>
  <c r="P607" i="16"/>
  <c r="P608" i="16"/>
  <c r="J609" i="16"/>
  <c r="J610" i="16"/>
  <c r="P609" i="16"/>
  <c r="P610" i="16"/>
  <c r="J611" i="16"/>
  <c r="J612" i="16"/>
  <c r="P611" i="16"/>
  <c r="P612" i="16"/>
  <c r="J613" i="16"/>
  <c r="P613" i="16"/>
  <c r="J614" i="16"/>
  <c r="J615" i="16"/>
  <c r="P614" i="16"/>
  <c r="J616" i="16"/>
  <c r="P615" i="16"/>
  <c r="P616" i="16"/>
  <c r="J617" i="16"/>
  <c r="J618" i="16"/>
  <c r="P617" i="16"/>
  <c r="J619" i="16"/>
  <c r="P618" i="16"/>
  <c r="J620" i="16"/>
  <c r="P619" i="16"/>
  <c r="P620" i="16"/>
  <c r="J621" i="16"/>
  <c r="J622" i="16"/>
  <c r="P621" i="16"/>
  <c r="J623" i="16"/>
  <c r="P622" i="16"/>
  <c r="J624" i="16"/>
  <c r="P623" i="16"/>
  <c r="J625" i="16"/>
  <c r="P624" i="16"/>
  <c r="P625" i="16"/>
  <c r="J626" i="16"/>
  <c r="J627" i="16"/>
  <c r="P626" i="16"/>
  <c r="J628" i="16"/>
  <c r="P627" i="16"/>
  <c r="J629" i="16"/>
  <c r="P628" i="16"/>
  <c r="J630" i="16"/>
  <c r="P629" i="16"/>
  <c r="J631" i="16"/>
  <c r="P630" i="16"/>
  <c r="J632" i="16"/>
  <c r="P631" i="16"/>
  <c r="J633" i="16"/>
  <c r="P632" i="16"/>
  <c r="P633" i="16"/>
  <c r="J634" i="16"/>
  <c r="J635" i="16"/>
  <c r="P634" i="16"/>
  <c r="P635" i="16"/>
  <c r="J636" i="16"/>
  <c r="J637" i="16"/>
  <c r="P636" i="16"/>
  <c r="P637" i="16"/>
  <c r="J638" i="16"/>
  <c r="J639" i="16"/>
  <c r="P638" i="16"/>
  <c r="J640" i="16"/>
  <c r="P639" i="16"/>
  <c r="J641" i="16"/>
  <c r="P640" i="16"/>
  <c r="J642" i="16"/>
  <c r="P641" i="16"/>
  <c r="P642" i="16"/>
  <c r="J643" i="16"/>
  <c r="J644" i="16"/>
  <c r="P643" i="16"/>
  <c r="P644" i="16"/>
  <c r="J645" i="16"/>
  <c r="J646" i="16"/>
  <c r="P645" i="16"/>
  <c r="P646" i="16"/>
  <c r="J647" i="16"/>
  <c r="J648" i="16"/>
  <c r="P647" i="16"/>
  <c r="P648" i="16"/>
  <c r="J649" i="16"/>
  <c r="J650" i="16"/>
  <c r="P649" i="16"/>
  <c r="J651" i="16"/>
  <c r="P650" i="16"/>
  <c r="J652" i="16"/>
  <c r="P651" i="16"/>
  <c r="J653" i="16"/>
  <c r="P652" i="16"/>
  <c r="J654" i="16"/>
  <c r="P653" i="16"/>
  <c r="J655" i="16"/>
  <c r="P654" i="16"/>
  <c r="P655" i="16"/>
  <c r="J656" i="16"/>
  <c r="J657" i="16"/>
  <c r="P656" i="16"/>
  <c r="P657" i="16"/>
  <c r="J658" i="16"/>
  <c r="P658" i="16"/>
  <c r="J659" i="16"/>
  <c r="J660" i="16"/>
  <c r="P659" i="16"/>
  <c r="J661" i="16"/>
  <c r="P660" i="16"/>
  <c r="J662" i="16"/>
  <c r="P661" i="16"/>
  <c r="J663" i="16"/>
  <c r="P662" i="16"/>
  <c r="J664" i="16"/>
  <c r="P663" i="16"/>
  <c r="J665" i="16"/>
  <c r="P664" i="16"/>
  <c r="J666" i="16"/>
  <c r="P665" i="16"/>
  <c r="P666" i="16"/>
  <c r="J667" i="16"/>
  <c r="J668" i="16"/>
  <c r="P667" i="16"/>
  <c r="J669" i="16"/>
  <c r="P668" i="16"/>
  <c r="P669" i="16"/>
  <c r="J670" i="16"/>
  <c r="J671" i="16"/>
  <c r="P670" i="16"/>
  <c r="J672" i="16"/>
  <c r="P671" i="16"/>
  <c r="P672" i="16"/>
  <c r="J673" i="16"/>
  <c r="J674" i="16"/>
  <c r="P673" i="16"/>
  <c r="J675" i="16"/>
  <c r="P674" i="16"/>
  <c r="P675" i="16"/>
  <c r="J676" i="16"/>
  <c r="J677" i="16"/>
  <c r="P676" i="16"/>
  <c r="J678" i="16"/>
  <c r="P677" i="16"/>
  <c r="P678" i="16"/>
  <c r="J679" i="16"/>
  <c r="P679" i="16"/>
  <c r="J680" i="16"/>
  <c r="P680" i="16"/>
  <c r="J681" i="16"/>
  <c r="J682" i="16"/>
  <c r="P681" i="16"/>
  <c r="J683" i="16"/>
  <c r="P682" i="16"/>
  <c r="J684" i="16"/>
  <c r="P683" i="16"/>
  <c r="P684" i="16"/>
  <c r="J685" i="16"/>
  <c r="J686" i="16"/>
  <c r="P685" i="16"/>
  <c r="P686" i="16"/>
  <c r="J687" i="16"/>
  <c r="J688" i="16"/>
  <c r="P687" i="16"/>
  <c r="J689" i="16"/>
  <c r="P688" i="16"/>
  <c r="P689" i="16"/>
  <c r="J690" i="16"/>
  <c r="J691" i="16"/>
  <c r="P690" i="16"/>
  <c r="P691" i="16"/>
  <c r="J692" i="16"/>
  <c r="J693" i="16"/>
  <c r="P692" i="16"/>
  <c r="J694" i="16"/>
  <c r="P693" i="16"/>
  <c r="J695" i="16"/>
  <c r="P694" i="16"/>
  <c r="P695" i="16"/>
  <c r="J696" i="16"/>
  <c r="P696" i="16"/>
  <c r="J697" i="16"/>
  <c r="P697" i="16"/>
  <c r="J698" i="16"/>
  <c r="P698" i="16"/>
  <c r="J699" i="16"/>
  <c r="J700" i="16"/>
  <c r="P699" i="16"/>
  <c r="J701" i="16"/>
  <c r="P700" i="16"/>
  <c r="J702" i="16"/>
  <c r="P701" i="16"/>
  <c r="J703" i="16"/>
  <c r="P702" i="16"/>
  <c r="P703" i="16"/>
  <c r="J704" i="16"/>
  <c r="P704" i="16"/>
  <c r="J705" i="16"/>
  <c r="P705" i="16"/>
  <c r="J706" i="16"/>
  <c r="J707" i="16"/>
  <c r="P706" i="16"/>
  <c r="J708" i="16"/>
  <c r="P707" i="16"/>
  <c r="J709" i="16"/>
  <c r="P708" i="16"/>
  <c r="J710" i="16"/>
  <c r="P709" i="16"/>
  <c r="J711" i="16"/>
  <c r="P710" i="16"/>
  <c r="J712" i="16"/>
  <c r="P711" i="16"/>
  <c r="P712" i="16"/>
  <c r="J713" i="16"/>
  <c r="J714" i="16"/>
  <c r="P713" i="16"/>
  <c r="J715" i="16"/>
  <c r="P714" i="16"/>
  <c r="J716" i="16"/>
  <c r="P715" i="16"/>
  <c r="J717" i="16"/>
  <c r="P716" i="16"/>
  <c r="J718" i="16"/>
  <c r="P717" i="16"/>
  <c r="P718" i="16"/>
  <c r="J719" i="16"/>
  <c r="J720" i="16"/>
  <c r="P719" i="16"/>
  <c r="J721" i="16"/>
  <c r="P720" i="16"/>
  <c r="J722" i="16"/>
  <c r="P721" i="16"/>
  <c r="J723" i="16"/>
  <c r="P722" i="16"/>
  <c r="J724" i="16"/>
  <c r="P723" i="16"/>
  <c r="P724" i="16"/>
  <c r="J725" i="16"/>
  <c r="J726" i="16"/>
  <c r="P725" i="16"/>
  <c r="P726" i="16"/>
  <c r="J727" i="16"/>
  <c r="J728" i="16"/>
  <c r="P727" i="16"/>
  <c r="P728" i="16"/>
  <c r="J729" i="16"/>
  <c r="P729" i="16"/>
  <c r="J730" i="16"/>
  <c r="J731" i="16"/>
  <c r="P730" i="16"/>
  <c r="J732" i="16"/>
  <c r="P731" i="16"/>
  <c r="J733" i="16"/>
  <c r="P732" i="16"/>
  <c r="J734" i="16"/>
  <c r="P733" i="16"/>
  <c r="P734" i="16"/>
  <c r="J735" i="16"/>
  <c r="J736" i="16"/>
  <c r="P735" i="16"/>
  <c r="P736" i="16"/>
  <c r="J737" i="16"/>
  <c r="P737" i="16"/>
  <c r="J738" i="16"/>
  <c r="P738" i="16"/>
  <c r="J739" i="16"/>
  <c r="J740" i="16"/>
  <c r="P739" i="16"/>
  <c r="J741" i="16"/>
  <c r="P740" i="16"/>
  <c r="J742" i="16"/>
  <c r="P741" i="16"/>
  <c r="J743" i="16"/>
  <c r="P742" i="16"/>
  <c r="P743" i="16"/>
  <c r="J744" i="16"/>
  <c r="P744" i="16"/>
  <c r="J745" i="16"/>
  <c r="P745" i="16"/>
  <c r="J746" i="16"/>
  <c r="J747" i="16"/>
  <c r="P746" i="16"/>
  <c r="P747" i="16"/>
  <c r="J748" i="16"/>
  <c r="J749" i="16"/>
  <c r="P748" i="16"/>
  <c r="J750" i="16"/>
  <c r="P749" i="16"/>
  <c r="P750" i="16"/>
  <c r="J751" i="16"/>
  <c r="J752" i="16"/>
  <c r="P751" i="16"/>
  <c r="P752" i="16"/>
  <c r="J753" i="16"/>
  <c r="J754" i="16"/>
  <c r="P753" i="16"/>
  <c r="J755" i="16"/>
  <c r="P754" i="16"/>
  <c r="J756" i="16"/>
  <c r="P755" i="16"/>
  <c r="P756" i="16"/>
  <c r="J757" i="16"/>
  <c r="J758" i="16"/>
  <c r="P757" i="16"/>
  <c r="P758" i="16"/>
  <c r="J759" i="16"/>
  <c r="P759" i="16"/>
  <c r="J760" i="16"/>
  <c r="J761" i="16"/>
  <c r="P760" i="16"/>
  <c r="P761" i="16"/>
  <c r="J762" i="16"/>
  <c r="P762" i="16"/>
  <c r="J763" i="16"/>
  <c r="J764" i="16"/>
  <c r="P763" i="16"/>
  <c r="J765" i="16"/>
  <c r="P764" i="16"/>
  <c r="P765" i="16"/>
  <c r="J766" i="16"/>
  <c r="J767" i="16"/>
  <c r="P766" i="16"/>
  <c r="J768" i="16"/>
  <c r="P767" i="16"/>
  <c r="J769" i="16"/>
  <c r="P768" i="16"/>
  <c r="J770" i="16"/>
  <c r="P769" i="16"/>
  <c r="J771" i="16"/>
  <c r="P770" i="16"/>
  <c r="J772" i="16"/>
  <c r="P771" i="16"/>
  <c r="J773" i="16"/>
  <c r="P772" i="16"/>
  <c r="P773" i="16"/>
  <c r="J774" i="16"/>
  <c r="J775" i="16"/>
  <c r="P774" i="16"/>
  <c r="J776" i="16"/>
  <c r="P775" i="16"/>
  <c r="J777" i="16"/>
  <c r="P776" i="16"/>
  <c r="P777" i="16"/>
  <c r="J778" i="16"/>
  <c r="P778" i="16"/>
  <c r="J779" i="16"/>
  <c r="P779" i="16"/>
  <c r="J780" i="16"/>
  <c r="P780" i="16"/>
  <c r="J781" i="16"/>
  <c r="J782" i="16"/>
  <c r="P781" i="16"/>
  <c r="J783" i="16"/>
  <c r="P782" i="16"/>
  <c r="J784" i="16"/>
  <c r="P783" i="16"/>
  <c r="J785" i="16"/>
  <c r="P784" i="16"/>
  <c r="P785" i="16"/>
  <c r="J786" i="16"/>
  <c r="P786" i="16"/>
  <c r="J787" i="16"/>
  <c r="P787" i="16"/>
  <c r="J788" i="16"/>
  <c r="J789" i="16"/>
  <c r="P788" i="16"/>
  <c r="P789" i="16"/>
  <c r="J790" i="16"/>
  <c r="J791" i="16"/>
  <c r="P790" i="16"/>
  <c r="P791" i="16"/>
  <c r="J792" i="16"/>
  <c r="J793" i="16"/>
  <c r="P792" i="16"/>
  <c r="P793" i="16"/>
  <c r="J794" i="16"/>
  <c r="P794" i="16"/>
  <c r="J795" i="16"/>
  <c r="J796" i="16"/>
  <c r="P795" i="16"/>
  <c r="J797" i="16"/>
  <c r="P796" i="16"/>
  <c r="P797" i="16"/>
  <c r="J798" i="16"/>
  <c r="P798" i="16"/>
  <c r="J799" i="16"/>
  <c r="P799" i="16"/>
  <c r="J800" i="16"/>
  <c r="J801" i="16"/>
  <c r="P800" i="16"/>
  <c r="P801" i="16"/>
  <c r="J802" i="16"/>
  <c r="J803" i="16"/>
  <c r="P802" i="16"/>
  <c r="J804" i="16"/>
  <c r="P803" i="16"/>
  <c r="J805" i="16"/>
  <c r="P804" i="16"/>
  <c r="J806" i="16"/>
  <c r="P805" i="16"/>
  <c r="J807" i="16"/>
  <c r="P806" i="16"/>
  <c r="J808" i="16"/>
  <c r="P807" i="16"/>
  <c r="J809" i="16"/>
  <c r="P808" i="16"/>
  <c r="J810" i="16"/>
  <c r="P809" i="16"/>
  <c r="J811" i="16"/>
  <c r="P810" i="16"/>
  <c r="J812" i="16"/>
  <c r="P811" i="16"/>
  <c r="P812" i="16"/>
  <c r="J813" i="16"/>
  <c r="P813" i="16"/>
  <c r="J814" i="16"/>
  <c r="J815" i="16"/>
  <c r="P814" i="16"/>
  <c r="P815" i="16"/>
  <c r="J816" i="16"/>
  <c r="P816" i="16"/>
  <c r="J817" i="16"/>
  <c r="P817" i="16"/>
  <c r="J818" i="16"/>
  <c r="J819" i="16"/>
  <c r="P818" i="16"/>
  <c r="P819" i="16"/>
  <c r="J820" i="16"/>
  <c r="J821" i="16"/>
  <c r="P820" i="16"/>
  <c r="P821" i="16"/>
  <c r="J822" i="16"/>
  <c r="J823" i="16"/>
  <c r="P822" i="16"/>
  <c r="J824" i="16"/>
  <c r="P823" i="16"/>
  <c r="J825" i="16"/>
  <c r="P824" i="16"/>
  <c r="J826" i="16"/>
  <c r="P825" i="16"/>
  <c r="J827" i="16"/>
  <c r="P826" i="16"/>
  <c r="P827" i="16"/>
  <c r="J828" i="16"/>
  <c r="J829" i="16"/>
  <c r="P828" i="16"/>
  <c r="J830" i="16"/>
  <c r="P829" i="16"/>
  <c r="J831" i="16"/>
  <c r="P830" i="16"/>
  <c r="P831" i="16"/>
  <c r="J832" i="16"/>
  <c r="J833" i="16"/>
  <c r="P832" i="16"/>
  <c r="P833" i="16"/>
  <c r="J834" i="16"/>
  <c r="P834" i="16"/>
  <c r="J835" i="16"/>
  <c r="J836" i="16"/>
  <c r="P835" i="16"/>
  <c r="P836" i="16"/>
  <c r="J837" i="16"/>
  <c r="J838" i="16"/>
  <c r="P837" i="16"/>
  <c r="J839" i="16"/>
  <c r="P838" i="16"/>
  <c r="P839" i="16"/>
  <c r="J840" i="16"/>
  <c r="P840" i="16"/>
  <c r="J841" i="16"/>
  <c r="J842" i="16"/>
  <c r="P841" i="16"/>
  <c r="J843" i="16"/>
  <c r="P842" i="16"/>
  <c r="J844" i="16"/>
  <c r="P843" i="16"/>
  <c r="P844" i="16"/>
  <c r="J845" i="16"/>
  <c r="J846" i="16"/>
  <c r="P845" i="16"/>
  <c r="J847" i="16"/>
  <c r="P846" i="16"/>
  <c r="J848" i="16"/>
  <c r="P847" i="16"/>
  <c r="J849" i="16"/>
  <c r="P848" i="16"/>
  <c r="P849" i="16"/>
  <c r="J850" i="16"/>
  <c r="J851" i="16"/>
  <c r="P850" i="16"/>
  <c r="J852" i="16"/>
  <c r="P851" i="16"/>
  <c r="J853" i="16"/>
  <c r="P852" i="16"/>
  <c r="P853" i="16"/>
  <c r="J854" i="16"/>
  <c r="P854" i="16"/>
  <c r="J855" i="16"/>
  <c r="P855" i="16"/>
  <c r="J856" i="16"/>
  <c r="J857" i="16"/>
  <c r="P856" i="16"/>
  <c r="J858" i="16"/>
  <c r="P857" i="16"/>
  <c r="J859" i="16"/>
  <c r="P858" i="16"/>
  <c r="J860" i="16"/>
  <c r="P859" i="16"/>
  <c r="P860" i="16"/>
  <c r="J861" i="16"/>
  <c r="P861" i="16"/>
  <c r="J862" i="16"/>
  <c r="P862" i="16"/>
  <c r="J863" i="16"/>
  <c r="J864" i="16"/>
  <c r="P863" i="16"/>
  <c r="J865" i="16"/>
  <c r="P864" i="16"/>
  <c r="J866" i="16"/>
  <c r="P865" i="16"/>
  <c r="P866" i="16"/>
  <c r="J867" i="16"/>
  <c r="J868" i="16"/>
  <c r="P867" i="16"/>
  <c r="P868" i="16"/>
  <c r="J869" i="16"/>
  <c r="J870" i="16"/>
  <c r="P869" i="16"/>
  <c r="P870" i="16"/>
  <c r="J871" i="16"/>
  <c r="P871" i="16"/>
  <c r="J872" i="16"/>
  <c r="J873" i="16"/>
  <c r="P872" i="16"/>
  <c r="J874" i="16"/>
  <c r="P873" i="16"/>
  <c r="J875" i="16"/>
  <c r="P874" i="16"/>
  <c r="P875" i="16"/>
  <c r="J876" i="16"/>
  <c r="J877" i="16"/>
  <c r="P876" i="16"/>
  <c r="P877" i="16"/>
  <c r="J878" i="16"/>
  <c r="P878" i="16"/>
  <c r="J879" i="16"/>
  <c r="J880" i="16"/>
  <c r="P879" i="16"/>
  <c r="P880" i="16"/>
  <c r="J881" i="16"/>
  <c r="J882" i="16"/>
  <c r="P881" i="16"/>
  <c r="P882" i="16"/>
  <c r="J883" i="16"/>
  <c r="P883" i="16"/>
  <c r="J884" i="16"/>
  <c r="J885" i="16"/>
  <c r="P884" i="16"/>
  <c r="P885" i="16"/>
  <c r="J886" i="16"/>
  <c r="J887" i="16"/>
  <c r="P886" i="16"/>
  <c r="J888" i="16"/>
  <c r="P887" i="16"/>
  <c r="J889" i="16"/>
  <c r="P888" i="16"/>
  <c r="J890" i="16"/>
  <c r="P889" i="16"/>
  <c r="P890" i="16"/>
  <c r="J891" i="16"/>
  <c r="P891" i="16"/>
  <c r="J892" i="16"/>
  <c r="J893" i="16"/>
  <c r="P892" i="16"/>
  <c r="P893" i="16"/>
  <c r="J894" i="16"/>
  <c r="P894" i="16"/>
  <c r="J895" i="16"/>
  <c r="P895" i="16"/>
  <c r="J896" i="16"/>
  <c r="J897" i="16"/>
  <c r="P896" i="16"/>
  <c r="P897" i="16"/>
  <c r="J898" i="16"/>
  <c r="J899" i="16"/>
  <c r="P898" i="16"/>
  <c r="J900" i="16"/>
  <c r="P899" i="16"/>
  <c r="J901" i="16"/>
  <c r="P900" i="16"/>
  <c r="P901" i="16"/>
  <c r="J902" i="16"/>
  <c r="P902" i="16"/>
  <c r="J903" i="16"/>
  <c r="P903" i="16"/>
  <c r="J904" i="16"/>
  <c r="P904" i="16"/>
  <c r="J905" i="16"/>
  <c r="P905" i="16"/>
  <c r="J906" i="16"/>
  <c r="P906" i="16"/>
  <c r="J907" i="16"/>
  <c r="P907" i="16"/>
  <c r="J908" i="16"/>
  <c r="J909" i="16"/>
  <c r="P908" i="16"/>
  <c r="P909" i="16"/>
  <c r="J910" i="16"/>
  <c r="J911" i="16"/>
  <c r="P910" i="16"/>
  <c r="P911" i="16"/>
  <c r="J912" i="16"/>
  <c r="P912" i="16"/>
  <c r="J913" i="16"/>
  <c r="J914" i="16"/>
  <c r="P913" i="16"/>
  <c r="P914" i="16"/>
  <c r="J915" i="16"/>
  <c r="J916" i="16"/>
  <c r="P915" i="16"/>
  <c r="J917" i="16"/>
  <c r="P916" i="16"/>
  <c r="J918" i="16"/>
  <c r="P917" i="16"/>
  <c r="J919" i="16"/>
  <c r="P918" i="16"/>
  <c r="J920" i="16"/>
  <c r="P919" i="16"/>
  <c r="J921" i="16"/>
  <c r="P920" i="16"/>
  <c r="P921" i="16"/>
  <c r="J922" i="16"/>
  <c r="J923" i="16"/>
  <c r="P922" i="16"/>
  <c r="J924" i="16"/>
  <c r="P923" i="16"/>
  <c r="P924" i="16"/>
  <c r="J925" i="16"/>
  <c r="P925" i="16"/>
  <c r="J926" i="16"/>
  <c r="J927" i="16"/>
  <c r="P926" i="16"/>
  <c r="J928" i="16"/>
  <c r="P927" i="16"/>
  <c r="P928" i="16"/>
  <c r="J929" i="16"/>
  <c r="J930" i="16"/>
  <c r="P929" i="16"/>
  <c r="J931" i="16"/>
  <c r="P930" i="16"/>
  <c r="J932" i="16"/>
  <c r="P931" i="16"/>
  <c r="J933" i="16"/>
  <c r="P932" i="16"/>
  <c r="J934" i="16"/>
  <c r="P933" i="16"/>
  <c r="J935" i="16"/>
  <c r="P934" i="16"/>
  <c r="P935" i="16"/>
  <c r="J936" i="16"/>
  <c r="J937" i="16"/>
  <c r="P936" i="16"/>
  <c r="J938" i="16"/>
  <c r="P937" i="16"/>
  <c r="P938" i="16"/>
  <c r="J939" i="16"/>
  <c r="P939" i="16"/>
  <c r="J940" i="16"/>
  <c r="J941" i="16"/>
  <c r="P940" i="16"/>
  <c r="P941" i="16"/>
  <c r="J942" i="16"/>
  <c r="J943" i="16"/>
  <c r="P942" i="16"/>
  <c r="J944" i="16"/>
  <c r="P943" i="16"/>
  <c r="P944" i="16"/>
  <c r="J945" i="16"/>
  <c r="J946" i="16"/>
  <c r="P945" i="16"/>
  <c r="J947" i="16"/>
  <c r="P946" i="16"/>
  <c r="J948" i="16"/>
  <c r="P947" i="16"/>
  <c r="J949" i="16"/>
  <c r="P948" i="16"/>
  <c r="J950" i="16"/>
  <c r="P949" i="16"/>
  <c r="J951" i="16"/>
  <c r="P950" i="16"/>
  <c r="J952" i="16"/>
  <c r="P951" i="16"/>
  <c r="J953" i="16"/>
  <c r="P952" i="16"/>
  <c r="J954" i="16"/>
  <c r="P953" i="16"/>
  <c r="P954" i="16"/>
  <c r="J955" i="16"/>
  <c r="P955" i="16"/>
  <c r="J956" i="16"/>
  <c r="J957" i="16"/>
  <c r="P956" i="16"/>
  <c r="P957" i="16"/>
  <c r="J958" i="16"/>
  <c r="J959" i="16"/>
  <c r="P958" i="16"/>
  <c r="P959" i="16"/>
  <c r="J960" i="16"/>
  <c r="J961" i="16"/>
  <c r="P960" i="16"/>
  <c r="J962" i="16"/>
  <c r="P961" i="16"/>
  <c r="J963" i="16"/>
  <c r="P962" i="16"/>
  <c r="J964" i="16"/>
  <c r="P963" i="16"/>
  <c r="J965" i="16"/>
  <c r="P964" i="16"/>
  <c r="P965" i="16"/>
  <c r="J966" i="16"/>
  <c r="J967" i="16"/>
  <c r="P966" i="16"/>
  <c r="J968" i="16"/>
  <c r="P967" i="16"/>
  <c r="J969" i="16"/>
  <c r="P968" i="16"/>
  <c r="P969" i="16"/>
  <c r="J970" i="16"/>
  <c r="P970" i="16"/>
  <c r="J971" i="16"/>
  <c r="J972" i="16"/>
  <c r="P971" i="16"/>
  <c r="J973" i="16"/>
  <c r="P972" i="16"/>
  <c r="J974" i="16"/>
  <c r="P973" i="16"/>
  <c r="P974" i="16"/>
  <c r="J975" i="16"/>
  <c r="P975" i="16"/>
  <c r="J976" i="16"/>
  <c r="J977" i="16"/>
  <c r="P976" i="16"/>
  <c r="J978" i="16"/>
  <c r="P977" i="16"/>
  <c r="P978" i="16"/>
  <c r="J979" i="16"/>
  <c r="J980" i="16"/>
  <c r="P979" i="16"/>
  <c r="P980" i="16"/>
  <c r="J981" i="16"/>
  <c r="P981" i="16"/>
  <c r="J982" i="16"/>
  <c r="P982" i="16"/>
  <c r="J983" i="16"/>
  <c r="P983" i="16"/>
  <c r="J984" i="16"/>
  <c r="J985" i="16"/>
  <c r="P984" i="16"/>
  <c r="J986" i="16"/>
  <c r="P985" i="16"/>
  <c r="P986" i="16"/>
  <c r="J987" i="16"/>
  <c r="J988" i="16"/>
  <c r="P987" i="16"/>
  <c r="J989" i="16"/>
  <c r="P988" i="16"/>
  <c r="J990" i="16"/>
  <c r="P989" i="16"/>
  <c r="J991" i="16"/>
  <c r="P990" i="16"/>
  <c r="J992" i="16"/>
  <c r="P991" i="16"/>
  <c r="P992" i="16"/>
  <c r="J993" i="16"/>
  <c r="J994" i="16"/>
  <c r="P993" i="16"/>
  <c r="P994" i="16"/>
  <c r="J995" i="16"/>
  <c r="J996" i="16"/>
  <c r="P995" i="16"/>
  <c r="J997" i="16"/>
  <c r="P996" i="16"/>
  <c r="J998" i="16"/>
  <c r="P997" i="16"/>
  <c r="J999" i="16"/>
  <c r="P998" i="16"/>
  <c r="J1000" i="16"/>
  <c r="P999" i="16"/>
  <c r="P1000" i="16"/>
  <c r="J1001" i="16"/>
  <c r="J1002" i="16"/>
  <c r="P1001" i="16"/>
  <c r="J1003" i="16"/>
  <c r="P1002" i="16"/>
  <c r="J1004" i="16"/>
  <c r="P1003" i="16"/>
  <c r="J1005" i="16"/>
  <c r="P1004" i="16"/>
  <c r="J1006" i="16"/>
  <c r="P1005" i="16"/>
  <c r="P1006" i="16"/>
  <c r="J1007" i="16"/>
  <c r="J1008" i="16"/>
  <c r="P1007" i="16"/>
  <c r="P1008" i="16"/>
  <c r="J1009" i="16"/>
  <c r="J1010" i="16"/>
  <c r="P1009" i="16"/>
  <c r="P1010" i="16"/>
  <c r="J1011" i="16"/>
  <c r="P1011" i="16"/>
  <c r="J1012" i="16"/>
  <c r="J1013" i="16"/>
  <c r="P1012" i="16"/>
  <c r="J1014" i="16"/>
  <c r="P1013" i="16"/>
  <c r="P1014" i="16"/>
  <c r="J1015" i="16"/>
  <c r="J1016" i="16"/>
  <c r="P1015" i="16"/>
  <c r="P1016" i="16"/>
  <c r="J1017" i="16"/>
  <c r="J1018" i="16"/>
  <c r="P1017" i="16"/>
  <c r="P1018" i="16"/>
  <c r="J1019" i="16"/>
  <c r="J1020" i="16"/>
  <c r="P1019" i="16"/>
  <c r="J1021" i="16"/>
  <c r="P1020" i="16"/>
  <c r="P1021" i="16"/>
  <c r="J1022" i="16"/>
  <c r="J1023" i="16"/>
  <c r="P1022" i="16"/>
  <c r="J1024" i="16"/>
  <c r="P1023" i="16"/>
  <c r="P1024" i="16"/>
  <c r="J1025" i="16"/>
  <c r="J1026" i="16"/>
  <c r="P1025" i="16"/>
  <c r="J1027" i="16"/>
  <c r="P1026" i="16"/>
  <c r="J1028" i="16"/>
  <c r="P1027" i="16"/>
  <c r="J1029" i="16"/>
  <c r="P1028" i="16"/>
  <c r="P1029" i="16"/>
  <c r="J1030" i="16"/>
  <c r="J1031" i="16"/>
  <c r="P1030" i="16"/>
  <c r="J1032" i="16"/>
  <c r="P1031" i="16"/>
  <c r="P1032" i="16"/>
  <c r="J1033" i="16"/>
  <c r="P1033" i="16"/>
  <c r="J1034" i="16"/>
  <c r="P1034" i="16"/>
  <c r="J1035" i="16"/>
  <c r="P1035" i="16"/>
  <c r="J1036" i="16"/>
  <c r="P1036" i="16"/>
  <c r="J1037" i="16"/>
  <c r="P1037" i="16"/>
  <c r="J1038" i="16"/>
  <c r="J1039" i="16"/>
  <c r="P1038" i="16"/>
  <c r="J1040" i="16"/>
  <c r="P1039" i="16"/>
  <c r="J1041" i="16"/>
  <c r="P1040" i="16"/>
  <c r="J1042" i="16"/>
  <c r="P1041" i="16"/>
  <c r="J1043" i="16"/>
  <c r="P1042" i="16"/>
  <c r="J1044" i="16"/>
  <c r="P1043" i="16"/>
  <c r="J1045" i="16"/>
  <c r="P1044" i="16"/>
  <c r="J1046" i="16"/>
  <c r="P1045" i="16"/>
  <c r="P1046" i="16"/>
  <c r="J1047" i="16"/>
  <c r="P1047" i="16"/>
  <c r="J1048" i="16"/>
  <c r="P1048" i="16"/>
  <c r="J1049" i="16"/>
  <c r="P1049" i="16"/>
  <c r="J1050" i="16"/>
  <c r="J1051" i="16"/>
  <c r="P1050" i="16"/>
  <c r="P1051" i="16"/>
  <c r="J1052" i="16"/>
  <c r="P1052" i="16"/>
  <c r="J1053" i="16"/>
  <c r="P1053" i="16"/>
  <c r="J1054" i="16"/>
  <c r="J1055" i="16"/>
  <c r="P1054" i="16"/>
  <c r="J1056" i="16"/>
  <c r="P1055" i="16"/>
  <c r="J1057" i="16"/>
  <c r="P1056" i="16"/>
  <c r="P1057" i="16"/>
  <c r="J1058" i="16"/>
  <c r="J1059" i="16"/>
  <c r="P1058" i="16"/>
  <c r="J1060" i="16"/>
  <c r="P1059" i="16"/>
  <c r="J1061" i="16"/>
  <c r="P1060" i="16"/>
  <c r="J1062" i="16"/>
  <c r="P1061" i="16"/>
  <c r="J1063" i="16"/>
  <c r="P1062" i="16"/>
  <c r="J1064" i="16"/>
  <c r="P1063" i="16"/>
  <c r="J1065" i="16"/>
  <c r="P1064" i="16"/>
  <c r="J1066" i="16"/>
  <c r="P1065" i="16"/>
  <c r="J1067" i="16"/>
  <c r="P1066" i="16"/>
  <c r="P1067" i="16"/>
  <c r="J1068" i="16"/>
  <c r="J1069" i="16"/>
  <c r="P1068" i="16"/>
  <c r="J1070" i="16"/>
  <c r="P1069" i="16"/>
  <c r="J1071" i="16"/>
  <c r="P1070" i="16"/>
  <c r="P1071" i="16"/>
  <c r="J1072" i="16"/>
  <c r="P1072" i="16"/>
  <c r="J1073" i="16"/>
  <c r="J1074" i="16"/>
  <c r="P1073" i="16"/>
  <c r="J1075" i="16"/>
  <c r="P1074" i="16"/>
  <c r="J1076" i="16"/>
  <c r="P1075" i="16"/>
  <c r="J1077" i="16"/>
  <c r="P1076" i="16"/>
  <c r="J1078" i="16"/>
  <c r="P1077" i="16"/>
  <c r="J1079" i="16"/>
  <c r="P1078" i="16"/>
  <c r="J1080" i="16"/>
  <c r="P1079" i="16"/>
  <c r="J1081" i="16"/>
  <c r="P1080" i="16"/>
  <c r="P1081" i="16"/>
  <c r="J1082" i="16"/>
  <c r="P1082" i="16"/>
  <c r="J1083" i="16"/>
  <c r="P1083" i="16"/>
  <c r="J1084" i="16"/>
  <c r="J1085" i="16"/>
  <c r="P1084" i="16"/>
  <c r="J1086" i="16"/>
  <c r="P1085" i="16"/>
  <c r="J1087" i="16"/>
  <c r="P1086" i="16"/>
  <c r="J1088" i="16"/>
  <c r="P1087" i="16"/>
  <c r="J1089" i="16"/>
  <c r="P1088" i="16"/>
  <c r="P1089" i="16"/>
  <c r="J1090" i="16"/>
  <c r="J1091" i="16"/>
  <c r="P1090" i="16"/>
  <c r="P1091" i="16"/>
  <c r="J1092" i="16"/>
  <c r="J1093" i="16"/>
  <c r="P1092" i="16"/>
  <c r="P1093" i="16"/>
  <c r="J1094" i="16"/>
  <c r="P1094" i="16"/>
  <c r="J1095" i="16"/>
  <c r="P1095" i="16"/>
  <c r="J1096" i="16"/>
  <c r="P1096" i="16"/>
  <c r="J1097" i="16"/>
  <c r="P1097" i="16"/>
  <c r="J1098" i="16"/>
  <c r="J1099" i="16"/>
  <c r="P1098" i="16"/>
  <c r="J1100" i="16"/>
  <c r="P1099" i="16"/>
  <c r="J1101" i="16"/>
  <c r="P1100" i="16"/>
  <c r="P1101" i="16"/>
  <c r="J1102" i="16"/>
  <c r="P1102" i="16"/>
  <c r="J1103" i="16"/>
  <c r="P1103" i="16"/>
  <c r="J1104" i="16"/>
  <c r="J1105" i="16"/>
  <c r="P1104" i="16"/>
  <c r="P1105" i="16"/>
  <c r="J1106" i="16"/>
  <c r="J1107" i="16"/>
  <c r="P1106" i="16"/>
  <c r="P1107" i="16"/>
  <c r="J1108" i="16"/>
  <c r="J1109" i="16"/>
  <c r="P1108" i="16"/>
  <c r="J1110" i="16"/>
  <c r="P1109" i="16"/>
  <c r="J1111" i="16"/>
  <c r="P1110" i="16"/>
  <c r="P1111" i="16"/>
  <c r="J1112" i="16"/>
  <c r="J1113" i="16"/>
  <c r="P1112" i="16"/>
  <c r="P1113" i="16"/>
  <c r="J1114" i="16"/>
  <c r="P1114" i="16"/>
  <c r="J1115" i="16"/>
  <c r="P1115" i="16"/>
  <c r="J1116" i="16"/>
  <c r="P1116" i="16"/>
  <c r="J1117" i="16"/>
  <c r="P1117" i="16"/>
  <c r="J1118" i="16"/>
  <c r="J1119" i="16"/>
  <c r="P1118" i="16"/>
  <c r="P1119" i="16"/>
  <c r="J1120" i="16"/>
  <c r="P1120" i="16"/>
  <c r="J1121" i="16"/>
  <c r="J1122" i="16"/>
  <c r="P1121" i="16"/>
  <c r="P1122" i="16"/>
  <c r="J1123" i="16"/>
  <c r="J1124" i="16"/>
  <c r="P1123" i="16"/>
  <c r="J1125" i="16"/>
  <c r="P1124" i="16"/>
  <c r="P1125" i="16"/>
  <c r="J1126" i="16"/>
  <c r="P1126" i="16"/>
  <c r="J1127" i="16"/>
  <c r="J1128" i="16"/>
  <c r="P1127" i="16"/>
  <c r="P1128" i="16"/>
  <c r="J1129" i="16"/>
  <c r="J1130" i="16"/>
  <c r="P1129" i="16"/>
  <c r="P1130" i="16"/>
  <c r="J1131" i="16"/>
  <c r="P1131" i="16"/>
  <c r="J1132" i="16"/>
  <c r="P1132" i="16"/>
  <c r="J1133" i="16"/>
  <c r="P1133" i="16"/>
  <c r="J1134" i="16"/>
  <c r="P1134" i="16"/>
  <c r="J1135" i="16"/>
  <c r="P1135" i="16"/>
  <c r="J1136" i="16"/>
  <c r="P1136" i="16"/>
  <c r="J1137" i="16"/>
  <c r="P1137" i="16"/>
  <c r="J1138" i="16"/>
  <c r="P1138" i="16"/>
  <c r="J1139" i="16"/>
  <c r="P1139" i="16"/>
  <c r="J1140" i="16"/>
  <c r="P1140" i="16"/>
  <c r="J1141" i="16"/>
  <c r="J1142" i="16"/>
  <c r="P1141" i="16"/>
  <c r="P1142" i="16"/>
  <c r="J1143" i="16"/>
  <c r="J1144" i="16"/>
  <c r="P1143" i="16"/>
  <c r="J1145" i="16"/>
  <c r="P1144" i="16"/>
  <c r="J1146" i="16"/>
  <c r="P1145" i="16"/>
  <c r="J1147" i="16"/>
  <c r="P1146" i="16"/>
  <c r="J1148" i="16"/>
  <c r="P1147" i="16"/>
  <c r="P1148" i="16"/>
  <c r="J1149" i="16"/>
  <c r="J1150" i="16"/>
  <c r="P1149" i="16"/>
  <c r="P1150" i="16"/>
  <c r="J1151" i="16"/>
  <c r="J1152" i="16"/>
  <c r="P1151" i="16"/>
  <c r="J1153" i="16"/>
  <c r="P1152" i="16"/>
  <c r="J1154" i="16"/>
  <c r="P1153" i="16"/>
  <c r="P1154" i="16"/>
  <c r="J1155" i="16"/>
  <c r="J1156" i="16"/>
  <c r="P1155" i="16"/>
  <c r="J1157" i="16"/>
  <c r="P1156" i="16"/>
  <c r="J1158" i="16"/>
  <c r="P1157" i="16"/>
  <c r="J1159" i="16"/>
  <c r="P1158" i="16"/>
  <c r="P1159" i="16"/>
  <c r="J1160" i="16"/>
  <c r="J1161" i="16"/>
  <c r="P1160" i="16"/>
  <c r="J1162" i="16"/>
  <c r="P1161" i="16"/>
  <c r="J1163" i="16"/>
  <c r="P1162" i="16"/>
  <c r="J1164" i="16"/>
  <c r="P1163" i="16"/>
  <c r="J1165" i="16"/>
  <c r="P1164" i="16"/>
  <c r="J1166" i="16"/>
  <c r="P1165" i="16"/>
  <c r="J1167" i="16"/>
  <c r="P1166" i="16"/>
  <c r="J1168" i="16"/>
  <c r="P1167" i="16"/>
  <c r="J1169" i="16"/>
  <c r="P1168" i="16"/>
  <c r="J1170" i="16"/>
  <c r="P1169" i="16"/>
  <c r="P1170" i="16"/>
  <c r="J1171" i="16"/>
  <c r="P1171" i="16"/>
  <c r="J1172" i="16"/>
  <c r="J1173" i="16"/>
  <c r="P1172" i="16"/>
  <c r="J1174" i="16"/>
  <c r="P1173" i="16"/>
  <c r="J1175" i="16"/>
  <c r="P1174" i="16"/>
  <c r="J1176" i="16"/>
  <c r="P1175" i="16"/>
  <c r="P1176" i="16"/>
  <c r="J1177" i="16"/>
  <c r="P1177" i="16"/>
  <c r="J1178" i="16"/>
  <c r="P1178" i="16"/>
  <c r="J1179" i="16"/>
  <c r="J1180" i="16"/>
  <c r="P1179" i="16"/>
  <c r="J1181" i="16"/>
  <c r="P1180" i="16"/>
  <c r="J1182" i="16"/>
  <c r="P1181" i="16"/>
  <c r="P1182" i="16"/>
  <c r="J1183" i="16"/>
  <c r="J1184" i="16"/>
  <c r="P1183" i="16"/>
  <c r="J1185" i="16"/>
  <c r="P1184" i="16"/>
  <c r="P1185" i="16"/>
  <c r="J1186" i="16"/>
  <c r="J1187" i="16"/>
  <c r="P1186" i="16"/>
  <c r="J1188" i="16"/>
  <c r="P1187" i="16"/>
  <c r="J1189" i="16"/>
  <c r="P1188" i="16"/>
  <c r="J1190" i="16"/>
  <c r="P1189" i="16"/>
  <c r="J1191" i="16"/>
  <c r="P1190" i="16"/>
  <c r="J1192" i="16"/>
  <c r="P1191" i="16"/>
  <c r="P1192" i="16"/>
  <c r="J1193" i="16"/>
  <c r="J1194" i="16"/>
  <c r="P1193" i="16"/>
  <c r="P1194" i="16"/>
  <c r="J1195" i="16"/>
  <c r="J1196" i="16"/>
  <c r="P1195" i="16"/>
  <c r="J1197" i="16"/>
  <c r="P1196" i="16"/>
  <c r="J1198" i="16"/>
  <c r="P1197" i="16"/>
  <c r="P1198" i="16"/>
  <c r="J1199" i="16"/>
  <c r="J1200" i="16"/>
  <c r="P1199" i="16"/>
  <c r="J1201" i="16"/>
  <c r="P1200" i="16"/>
  <c r="J1202" i="16"/>
  <c r="P1201" i="16"/>
  <c r="J1203" i="16"/>
  <c r="P1202" i="16"/>
  <c r="P1203" i="16"/>
  <c r="J1204" i="16"/>
  <c r="J1205" i="16"/>
  <c r="P1204" i="16"/>
  <c r="P1205" i="16"/>
  <c r="J1206" i="16"/>
  <c r="J1207" i="16"/>
  <c r="P1206" i="16"/>
  <c r="P1207" i="16"/>
  <c r="J1208" i="16"/>
  <c r="J1209" i="16"/>
  <c r="P1208" i="16"/>
  <c r="J1210" i="16"/>
  <c r="P1209" i="16"/>
  <c r="J1211" i="16"/>
  <c r="P1210" i="16"/>
  <c r="P1211" i="16"/>
  <c r="J1212" i="16"/>
  <c r="P1212" i="16"/>
  <c r="J1213" i="16"/>
  <c r="P1213" i="16"/>
  <c r="J1214" i="16"/>
  <c r="J1215" i="16"/>
  <c r="P1214" i="16"/>
  <c r="J1216" i="16"/>
  <c r="P1215" i="16"/>
  <c r="J1217" i="16"/>
  <c r="P1216" i="16"/>
  <c r="P1217" i="16"/>
  <c r="J1218" i="16"/>
  <c r="J1219" i="16"/>
  <c r="P1218" i="16"/>
  <c r="J1220" i="16"/>
  <c r="P1219" i="16"/>
  <c r="J1221" i="16"/>
  <c r="P1220" i="16"/>
  <c r="J1222" i="16"/>
  <c r="P1221" i="16"/>
  <c r="J1223" i="16"/>
  <c r="P1222" i="16"/>
  <c r="P1223" i="16"/>
  <c r="J1224" i="16"/>
  <c r="P1224" i="16"/>
  <c r="J1225" i="16"/>
  <c r="J1226" i="16"/>
  <c r="P1225" i="16"/>
  <c r="J1227" i="16"/>
  <c r="P1226" i="16"/>
  <c r="P1227" i="16"/>
  <c r="J1228" i="16"/>
  <c r="J1229" i="16"/>
  <c r="P1228" i="16"/>
  <c r="J1230" i="16"/>
  <c r="P1229" i="16"/>
  <c r="J1231" i="16"/>
  <c r="P1230" i="16"/>
  <c r="P1231" i="16"/>
  <c r="J1232" i="16"/>
  <c r="P1232" i="16"/>
  <c r="J1233" i="16"/>
  <c r="J1234" i="16"/>
  <c r="P1233" i="16"/>
  <c r="J1235" i="16"/>
  <c r="P1234" i="16"/>
  <c r="J1236" i="16"/>
  <c r="P1235" i="16"/>
  <c r="J1237" i="16"/>
  <c r="P1236" i="16"/>
  <c r="J1238" i="16"/>
  <c r="P1237" i="16"/>
  <c r="P1238" i="16"/>
  <c r="J1239" i="16"/>
  <c r="J1240" i="16"/>
  <c r="P1239" i="16"/>
  <c r="P1240" i="16"/>
  <c r="J1241" i="16"/>
  <c r="J1242" i="16"/>
  <c r="P1241" i="16"/>
  <c r="J1243" i="16"/>
  <c r="P1242" i="16"/>
  <c r="P1243" i="16"/>
  <c r="J1244" i="16"/>
  <c r="J1245" i="16"/>
  <c r="P1244" i="16"/>
  <c r="J1246" i="16"/>
  <c r="P1245" i="16"/>
  <c r="J1247" i="16"/>
  <c r="P1246" i="16"/>
  <c r="P1247" i="16"/>
  <c r="J1248" i="16"/>
  <c r="J1249" i="16"/>
  <c r="P1248" i="16"/>
  <c r="J1250" i="16"/>
  <c r="P1249" i="16"/>
  <c r="J1251" i="16"/>
  <c r="P1250" i="16"/>
  <c r="P1251" i="16"/>
  <c r="J1252" i="16"/>
  <c r="J1253" i="16"/>
  <c r="P1252" i="16"/>
  <c r="J1254" i="16"/>
  <c r="P1253" i="16"/>
  <c r="P1254" i="16"/>
  <c r="J1255" i="16"/>
  <c r="J1256" i="16"/>
  <c r="P1255" i="16"/>
  <c r="P1256" i="16"/>
  <c r="J1257" i="16"/>
  <c r="J1258" i="16"/>
  <c r="P1257" i="16"/>
  <c r="J1259" i="16"/>
  <c r="P1258" i="16"/>
  <c r="J1260" i="16"/>
  <c r="P1259" i="16"/>
  <c r="P1260" i="16"/>
  <c r="J1261" i="16"/>
  <c r="P1261" i="16"/>
  <c r="J1262" i="16"/>
  <c r="P1262" i="16"/>
  <c r="J1263" i="16"/>
  <c r="P1263" i="16"/>
  <c r="J1264" i="16"/>
  <c r="P1264" i="16"/>
  <c r="J1265" i="16"/>
  <c r="J1266" i="16"/>
  <c r="P1265" i="16"/>
  <c r="J1267" i="16"/>
  <c r="P1266" i="16"/>
  <c r="J1268" i="16"/>
  <c r="P1267" i="16"/>
  <c r="P1268" i="16"/>
  <c r="J1269" i="16"/>
  <c r="P1269" i="16"/>
  <c r="J1270" i="16"/>
  <c r="J1271" i="16"/>
  <c r="P1270" i="16"/>
  <c r="J1272" i="16"/>
  <c r="P1271" i="16"/>
  <c r="J1273" i="16"/>
  <c r="P1272" i="16"/>
  <c r="J1274" i="16"/>
  <c r="P1273" i="16"/>
  <c r="J1275" i="16"/>
  <c r="P1274" i="16"/>
  <c r="J1276" i="16"/>
  <c r="P1275" i="16"/>
  <c r="J1277" i="16"/>
  <c r="P1276" i="16"/>
  <c r="J1278" i="16"/>
  <c r="P1277" i="16"/>
  <c r="J1279" i="16"/>
  <c r="P1278" i="16"/>
  <c r="P1279" i="16"/>
  <c r="J1280" i="16"/>
  <c r="J1281" i="16"/>
  <c r="P1280" i="16"/>
  <c r="P1281" i="16"/>
  <c r="J1282" i="16"/>
  <c r="J1283" i="16"/>
  <c r="P1282" i="16"/>
  <c r="J1284" i="16"/>
  <c r="P1283" i="16"/>
  <c r="J1285" i="16"/>
  <c r="P1284" i="16"/>
  <c r="J1286" i="16"/>
  <c r="P1285" i="16"/>
  <c r="J1287" i="16"/>
  <c r="P1286" i="16"/>
  <c r="J1288" i="16"/>
  <c r="P1287" i="16"/>
  <c r="J1289" i="16"/>
  <c r="P1288" i="16"/>
  <c r="J1290" i="16"/>
  <c r="P1289" i="16"/>
  <c r="J1291" i="16"/>
  <c r="P1290" i="16"/>
  <c r="J1292" i="16"/>
  <c r="P1291" i="16"/>
  <c r="J1293" i="16"/>
  <c r="P1292" i="16"/>
  <c r="P1293" i="16"/>
  <c r="J1294" i="16"/>
  <c r="J1295" i="16"/>
  <c r="P1294" i="16"/>
  <c r="J1296" i="16"/>
  <c r="P1295" i="16"/>
  <c r="J1297" i="16"/>
  <c r="P1296" i="16"/>
  <c r="J1298" i="16"/>
  <c r="P1297" i="16"/>
  <c r="J1299" i="16"/>
  <c r="P1298" i="16"/>
  <c r="J1300" i="16"/>
  <c r="P1299" i="16"/>
  <c r="J1301" i="16"/>
  <c r="P1300" i="16"/>
  <c r="J1302" i="16"/>
  <c r="P1301" i="16"/>
  <c r="J1303" i="16"/>
  <c r="P1302" i="16"/>
  <c r="J1304" i="16"/>
  <c r="P1303" i="16"/>
  <c r="J1305" i="16"/>
  <c r="P1304" i="16"/>
  <c r="J1306" i="16"/>
  <c r="P1305" i="16"/>
  <c r="J1307" i="16"/>
  <c r="P1306" i="16"/>
  <c r="J1308" i="16"/>
  <c r="P1307" i="16"/>
  <c r="J1309" i="16"/>
  <c r="P1308" i="16"/>
  <c r="J1310" i="16"/>
  <c r="P1309" i="16"/>
  <c r="J1311" i="16"/>
  <c r="P1310" i="16"/>
  <c r="J1312" i="16"/>
  <c r="P1311" i="16"/>
  <c r="J1313" i="16"/>
  <c r="P1312" i="16"/>
  <c r="J1314" i="16"/>
  <c r="P1313" i="16"/>
  <c r="J1315" i="16"/>
  <c r="P1314" i="16"/>
  <c r="J1316" i="16"/>
  <c r="P1315" i="16"/>
  <c r="J1317" i="16"/>
  <c r="P1316" i="16"/>
  <c r="J1318" i="16"/>
  <c r="P1317" i="16"/>
  <c r="J1319" i="16"/>
  <c r="P1318" i="16"/>
  <c r="J1320" i="16"/>
  <c r="P1319" i="16"/>
  <c r="J1321" i="16"/>
  <c r="P1320" i="16"/>
  <c r="J1322" i="16"/>
  <c r="P1321" i="16"/>
  <c r="J1323" i="16"/>
  <c r="P1322" i="16"/>
  <c r="J1324" i="16"/>
  <c r="P1323" i="16"/>
  <c r="J1325" i="16"/>
  <c r="P1324" i="16"/>
  <c r="J1326" i="16"/>
  <c r="P1325" i="16"/>
  <c r="P1326" i="16"/>
  <c r="J1327" i="16"/>
  <c r="J1328" i="16"/>
  <c r="P1327" i="16"/>
  <c r="J1329" i="16"/>
  <c r="P1328" i="16"/>
  <c r="P1329" i="16"/>
  <c r="J1330" i="16"/>
  <c r="P1330" i="16"/>
  <c r="J1331" i="16"/>
  <c r="J1332" i="16"/>
  <c r="P1331" i="16"/>
  <c r="J1333" i="16"/>
  <c r="P1332" i="16"/>
  <c r="J1334" i="16"/>
  <c r="P1333" i="16"/>
  <c r="J1335" i="16"/>
  <c r="P1334" i="16"/>
  <c r="J1336" i="16"/>
  <c r="P1335" i="16"/>
  <c r="J1337" i="16"/>
  <c r="P1336" i="16"/>
  <c r="J1338" i="16"/>
  <c r="P1337" i="16"/>
  <c r="J1339" i="16"/>
  <c r="P1338" i="16"/>
  <c r="P1339" i="16"/>
  <c r="J1340" i="16"/>
  <c r="J1341" i="16"/>
  <c r="P1340" i="16"/>
  <c r="P1341" i="16"/>
  <c r="J1342" i="16"/>
  <c r="P1342" i="16"/>
  <c r="J1343" i="16"/>
  <c r="J1344" i="16"/>
  <c r="P1343" i="16"/>
  <c r="P1344" i="16"/>
  <c r="J1345" i="16"/>
  <c r="P1345" i="16"/>
  <c r="J1346" i="16"/>
  <c r="J1347" i="16"/>
  <c r="P1346" i="16"/>
  <c r="J1348" i="16"/>
  <c r="P1347" i="16"/>
  <c r="J1349" i="16"/>
  <c r="P1348" i="16"/>
  <c r="J1350" i="16"/>
  <c r="P1349" i="16"/>
  <c r="J1351" i="16"/>
  <c r="P1350" i="16"/>
  <c r="J1352" i="16"/>
  <c r="P1351" i="16"/>
  <c r="P1352" i="16"/>
  <c r="J1353" i="16"/>
  <c r="P1353" i="16"/>
  <c r="J1354" i="16"/>
  <c r="P1354" i="16"/>
  <c r="J1355" i="16"/>
  <c r="P1355" i="16"/>
  <c r="J1356" i="16"/>
  <c r="J1357" i="16"/>
  <c r="P1356" i="16"/>
  <c r="P1357" i="16"/>
  <c r="J1358" i="16"/>
  <c r="J1359" i="16"/>
  <c r="P1358" i="16"/>
  <c r="J1360" i="16"/>
  <c r="P1359" i="16"/>
  <c r="J1361" i="16"/>
  <c r="P1360" i="16"/>
  <c r="J1362" i="16"/>
  <c r="P1361" i="16"/>
  <c r="P1362" i="16"/>
  <c r="J1363" i="16"/>
  <c r="J1364" i="16"/>
  <c r="P1363" i="16"/>
  <c r="J1365" i="16"/>
  <c r="P1364" i="16"/>
  <c r="J1366" i="16"/>
  <c r="P1365" i="16"/>
  <c r="J1367" i="16"/>
  <c r="P1366" i="16"/>
  <c r="J1368" i="16"/>
  <c r="P1367" i="16"/>
  <c r="J1369" i="16"/>
  <c r="P1368" i="16"/>
  <c r="J1370" i="16"/>
  <c r="P1369" i="16"/>
  <c r="P1370" i="16"/>
  <c r="J1371" i="16"/>
  <c r="J1372" i="16"/>
  <c r="P1371" i="16"/>
  <c r="P1372" i="16"/>
  <c r="J1373" i="16"/>
  <c r="J1374" i="16"/>
  <c r="P1373" i="16"/>
  <c r="J1375" i="16"/>
  <c r="P1374" i="16"/>
  <c r="J1376" i="16"/>
  <c r="P1375" i="16"/>
  <c r="P1376" i="16"/>
  <c r="J1377" i="16"/>
  <c r="P1377" i="16"/>
  <c r="J1378" i="16"/>
  <c r="P1378" i="16"/>
  <c r="J1379" i="16"/>
  <c r="P1379" i="16"/>
  <c r="J1380" i="16"/>
  <c r="J1381" i="16"/>
  <c r="P1380" i="16"/>
  <c r="J1382" i="16"/>
  <c r="P1381" i="16"/>
  <c r="J1383" i="16"/>
  <c r="P1382" i="16"/>
  <c r="J1384" i="16"/>
  <c r="P1383" i="16"/>
  <c r="P1384" i="16"/>
  <c r="J1385" i="16"/>
  <c r="J1386" i="16"/>
  <c r="P1385" i="16"/>
  <c r="P1386" i="16"/>
  <c r="J1387" i="16"/>
  <c r="J1388" i="16"/>
  <c r="P1387" i="16"/>
  <c r="J1389" i="16"/>
  <c r="P1388" i="16"/>
  <c r="J1390" i="16"/>
  <c r="P1389" i="16"/>
  <c r="J1391" i="16"/>
  <c r="P1390" i="16"/>
  <c r="J1392" i="16"/>
  <c r="P1391" i="16"/>
  <c r="J1393" i="16"/>
  <c r="P1392" i="16"/>
  <c r="J1394" i="16"/>
  <c r="P1393" i="16"/>
  <c r="P1394" i="16"/>
  <c r="J1395" i="16"/>
  <c r="J1396" i="16"/>
  <c r="P1395" i="16"/>
  <c r="P1396" i="16"/>
  <c r="J1397" i="16"/>
  <c r="J1398" i="16"/>
  <c r="P1397" i="16"/>
  <c r="J1399" i="16"/>
  <c r="P1398" i="16"/>
  <c r="P1399" i="16"/>
  <c r="J1400" i="16"/>
  <c r="P1400" i="16"/>
  <c r="J1401" i="16"/>
  <c r="P1401" i="16"/>
  <c r="J1402" i="16"/>
  <c r="J1403" i="16"/>
  <c r="P1402" i="16"/>
  <c r="J1404" i="16"/>
  <c r="P1403" i="16"/>
  <c r="P1404" i="16"/>
  <c r="J1405" i="16"/>
  <c r="P1405" i="16"/>
  <c r="J1406" i="16"/>
  <c r="J1407" i="16"/>
  <c r="P1406" i="16"/>
  <c r="P1407" i="16"/>
  <c r="J1408" i="16"/>
  <c r="J1409" i="16"/>
  <c r="P1408" i="16"/>
  <c r="J1410" i="16"/>
  <c r="P1409" i="16"/>
  <c r="J1411" i="16"/>
  <c r="P1410" i="16"/>
  <c r="J1412" i="16"/>
  <c r="P1411" i="16"/>
  <c r="J1413" i="16"/>
  <c r="P1412" i="16"/>
  <c r="P1413" i="16"/>
  <c r="J1414" i="16"/>
  <c r="P1414" i="16"/>
  <c r="J1415" i="16"/>
  <c r="P1415" i="16"/>
  <c r="J1416" i="16"/>
  <c r="J1417" i="16"/>
  <c r="P1416" i="16"/>
  <c r="P1417" i="16"/>
  <c r="J1418" i="16"/>
  <c r="J1419" i="16"/>
  <c r="P1418" i="16"/>
  <c r="J1420" i="16"/>
  <c r="P1419" i="16"/>
  <c r="P1420" i="16"/>
  <c r="J1421" i="16"/>
  <c r="P1421" i="16"/>
  <c r="J1422" i="16"/>
  <c r="J1423" i="16"/>
  <c r="P1422" i="16"/>
  <c r="P1423" i="16"/>
  <c r="J1424" i="16"/>
  <c r="J1425" i="16"/>
  <c r="P1424" i="16"/>
  <c r="J1426" i="16"/>
  <c r="P1425" i="16"/>
  <c r="J1427" i="16"/>
  <c r="P1426" i="16"/>
  <c r="P1427" i="16"/>
  <c r="J1428" i="16"/>
  <c r="J1429" i="16"/>
  <c r="P1428" i="16"/>
  <c r="J1430" i="16"/>
  <c r="P1429" i="16"/>
  <c r="P1430" i="16"/>
  <c r="J1431" i="16"/>
  <c r="J1432" i="16"/>
  <c r="P1431" i="16"/>
  <c r="P1432" i="16"/>
  <c r="J1433" i="16"/>
  <c r="J1434" i="16"/>
  <c r="P1433" i="16"/>
  <c r="J1435" i="16"/>
  <c r="P1434" i="16"/>
  <c r="J1436" i="16"/>
  <c r="P1435" i="16"/>
  <c r="P1436" i="16"/>
  <c r="J1437" i="16"/>
  <c r="P1437" i="16"/>
  <c r="J1438" i="16"/>
  <c r="J1439" i="16"/>
  <c r="P1438" i="16"/>
  <c r="P1439" i="16"/>
  <c r="J1440" i="16"/>
  <c r="J1441" i="16"/>
  <c r="P1440" i="16"/>
  <c r="J1442" i="16"/>
  <c r="P1441" i="16"/>
  <c r="J1443" i="16"/>
  <c r="P1442" i="16"/>
  <c r="J1444" i="16"/>
  <c r="P1443" i="16"/>
  <c r="P1444" i="16"/>
  <c r="J1445" i="16"/>
  <c r="J1446" i="16"/>
  <c r="P1445" i="16"/>
  <c r="J1447" i="16"/>
  <c r="P1446" i="16"/>
  <c r="P1447" i="16"/>
  <c r="J1448" i="16"/>
  <c r="J1449" i="16"/>
  <c r="P1448" i="16"/>
  <c r="J1450" i="16"/>
  <c r="P1449" i="16"/>
  <c r="J1451" i="16"/>
  <c r="P1450" i="16"/>
  <c r="J1452" i="16"/>
  <c r="P1451" i="16"/>
  <c r="P1452" i="16"/>
  <c r="J1453" i="16"/>
  <c r="J1454" i="16"/>
  <c r="P1453" i="16"/>
  <c r="J1455" i="16"/>
  <c r="P1454" i="16"/>
  <c r="J1456" i="16"/>
  <c r="P1455" i="16"/>
  <c r="J1457" i="16"/>
  <c r="P1456" i="16"/>
  <c r="J1458" i="16"/>
  <c r="P1457" i="16"/>
  <c r="J1459" i="16"/>
  <c r="P1458" i="16"/>
  <c r="J1460" i="16"/>
  <c r="P1459" i="16"/>
  <c r="J1461" i="16"/>
  <c r="P1460" i="16"/>
  <c r="J1462" i="16"/>
  <c r="P1461" i="16"/>
  <c r="P1462" i="16"/>
  <c r="J1463" i="16"/>
  <c r="P1463" i="16"/>
  <c r="J1464" i="16"/>
  <c r="P1464" i="16"/>
  <c r="J1465" i="16"/>
  <c r="J1466" i="16"/>
  <c r="P1465" i="16"/>
  <c r="P1466" i="16"/>
  <c r="J1467" i="16"/>
  <c r="J1468" i="16"/>
  <c r="P1467" i="16"/>
  <c r="J1469" i="16"/>
  <c r="P1468" i="16"/>
  <c r="J1470" i="16"/>
  <c r="P1469" i="16"/>
  <c r="J1471" i="16"/>
  <c r="P1470" i="16"/>
  <c r="J1472" i="16"/>
  <c r="P1471" i="16"/>
  <c r="J1473" i="16"/>
  <c r="P1472" i="16"/>
  <c r="P1473" i="16"/>
  <c r="J1474" i="16"/>
  <c r="J1475" i="16"/>
  <c r="P1474" i="16"/>
  <c r="J1476" i="16"/>
  <c r="P1475" i="16"/>
  <c r="J1477" i="16"/>
  <c r="P1476" i="16"/>
  <c r="J1478" i="16"/>
  <c r="P1477" i="16"/>
  <c r="P1478" i="16"/>
  <c r="J1479" i="16"/>
  <c r="J1480" i="16"/>
  <c r="P1479" i="16"/>
  <c r="J1481" i="16"/>
  <c r="P1480" i="16"/>
  <c r="J1482" i="16"/>
  <c r="P1481" i="16"/>
  <c r="P1482" i="16"/>
  <c r="J1483" i="16"/>
  <c r="J1484" i="16"/>
  <c r="P1483" i="16"/>
  <c r="J1485" i="16"/>
  <c r="P1484" i="16"/>
  <c r="P1485" i="16"/>
  <c r="J1486" i="16"/>
  <c r="P1486" i="16"/>
  <c r="J1487" i="16"/>
  <c r="J1488" i="16"/>
  <c r="P1487" i="16"/>
  <c r="P1488" i="16"/>
  <c r="J1489" i="16"/>
  <c r="P1489" i="16"/>
  <c r="J1490" i="16"/>
  <c r="J1491" i="16"/>
  <c r="P1490" i="16"/>
  <c r="J1492" i="16"/>
  <c r="P1491" i="16"/>
  <c r="J1493" i="16"/>
  <c r="P1492" i="16"/>
  <c r="J1494" i="16"/>
  <c r="P1493" i="16"/>
  <c r="J1495" i="16"/>
  <c r="P1494" i="16"/>
  <c r="J1496" i="16"/>
  <c r="P1495" i="16"/>
  <c r="P1496" i="16"/>
  <c r="J1497" i="16"/>
  <c r="J1498" i="16"/>
  <c r="P1497" i="16"/>
  <c r="J1499" i="16"/>
  <c r="P1498" i="16"/>
  <c r="J1500" i="16"/>
  <c r="P1499" i="16"/>
  <c r="P1500" i="16"/>
  <c r="J1501" i="16"/>
  <c r="J1502" i="16"/>
  <c r="P1501" i="16"/>
  <c r="J1503" i="16"/>
  <c r="P1502" i="16"/>
  <c r="J1504" i="16"/>
  <c r="P1503" i="16"/>
  <c r="J1505" i="16"/>
  <c r="P1504" i="16"/>
  <c r="J1506" i="16"/>
  <c r="P1505" i="16"/>
  <c r="J1507" i="16"/>
  <c r="P1506" i="16"/>
  <c r="J1508" i="16"/>
  <c r="P1507" i="16"/>
  <c r="P1508" i="16"/>
  <c r="J1509" i="16"/>
  <c r="P1509" i="16"/>
  <c r="J1510" i="16"/>
  <c r="J1511" i="16"/>
  <c r="P1510" i="16"/>
  <c r="P1511" i="16"/>
  <c r="J1512" i="16"/>
  <c r="J1513" i="16"/>
  <c r="P1512" i="16"/>
  <c r="J1514" i="16"/>
  <c r="P1513" i="16"/>
  <c r="J1515" i="16"/>
  <c r="P1514" i="16"/>
  <c r="P1515" i="16"/>
  <c r="J1516" i="16"/>
  <c r="J1517" i="16"/>
  <c r="P1516" i="16"/>
  <c r="P1517" i="16"/>
  <c r="J1518" i="16"/>
  <c r="J1519" i="16"/>
  <c r="P1518" i="16"/>
  <c r="P1519" i="16"/>
  <c r="J1520" i="16"/>
  <c r="P1520" i="16"/>
  <c r="J1521" i="16"/>
  <c r="P1521" i="16"/>
  <c r="J1522" i="16"/>
  <c r="P1522" i="16"/>
  <c r="J1523" i="16"/>
  <c r="P1523" i="16"/>
  <c r="J1524" i="16"/>
  <c r="J1525" i="16"/>
  <c r="P1524" i="16"/>
  <c r="P1525" i="16"/>
  <c r="J1526" i="16"/>
  <c r="J1527" i="16"/>
  <c r="P1526" i="16"/>
  <c r="J1528" i="16"/>
  <c r="P1527" i="16"/>
  <c r="P1528" i="16"/>
  <c r="J1529" i="16"/>
  <c r="J1530" i="16"/>
  <c r="P1529" i="16"/>
  <c r="J1531" i="16"/>
  <c r="P1530" i="16"/>
  <c r="J1532" i="16"/>
  <c r="P1531" i="16"/>
  <c r="P1532" i="16"/>
  <c r="J1533" i="16"/>
  <c r="P1533" i="16"/>
  <c r="J1534" i="16"/>
  <c r="J1535" i="16"/>
  <c r="P1534" i="16"/>
  <c r="J1536" i="16"/>
  <c r="P1535" i="16"/>
  <c r="P1536" i="16"/>
  <c r="J1537" i="16"/>
  <c r="J1538" i="16"/>
  <c r="P1537" i="16"/>
  <c r="P1538" i="16"/>
  <c r="J1539" i="16"/>
  <c r="J1540" i="16"/>
  <c r="P1539" i="16"/>
  <c r="J1541" i="16"/>
  <c r="P1540" i="16"/>
  <c r="J1542" i="16"/>
  <c r="P1541" i="16"/>
  <c r="J1543" i="16"/>
  <c r="P1542" i="16"/>
  <c r="J1544" i="16"/>
  <c r="P1543" i="16"/>
  <c r="J1545" i="16"/>
  <c r="P1544" i="16"/>
  <c r="P1545" i="16"/>
  <c r="J1546" i="16"/>
  <c r="J1547" i="16"/>
  <c r="P1546" i="16"/>
  <c r="P1547" i="16"/>
  <c r="J1548" i="16"/>
  <c r="J1549" i="16"/>
  <c r="P1548" i="16"/>
  <c r="J1550" i="16"/>
  <c r="P1549" i="16"/>
  <c r="P1550" i="16"/>
  <c r="J1551" i="16"/>
  <c r="J1552" i="16"/>
  <c r="P1551" i="16"/>
  <c r="P1552" i="16"/>
  <c r="J1553" i="16"/>
  <c r="P1553" i="16"/>
  <c r="J1554" i="16"/>
  <c r="P1554" i="16"/>
  <c r="J1555" i="16"/>
  <c r="P1555" i="16"/>
  <c r="J1556" i="16"/>
  <c r="J1557" i="16"/>
  <c r="P1556" i="16"/>
  <c r="J1558" i="16"/>
  <c r="P1557" i="16"/>
  <c r="J1559" i="16"/>
  <c r="P1558" i="16"/>
  <c r="J1560" i="16"/>
  <c r="P1559" i="16"/>
  <c r="J1561" i="16"/>
  <c r="P1560" i="16"/>
  <c r="J1562" i="16"/>
  <c r="P1561" i="16"/>
  <c r="J1563" i="16"/>
  <c r="P1562" i="16"/>
  <c r="P1563" i="16"/>
  <c r="J1564" i="16"/>
  <c r="J1565" i="16"/>
  <c r="P1564" i="16"/>
  <c r="J1566" i="16"/>
  <c r="P1565" i="16"/>
  <c r="P1566" i="16"/>
  <c r="J1567" i="16"/>
  <c r="P1567" i="16"/>
  <c r="J1568" i="16"/>
  <c r="P1568" i="16"/>
  <c r="J1569" i="16"/>
  <c r="P1569" i="16"/>
  <c r="J1570" i="16"/>
  <c r="J1571" i="16"/>
  <c r="P1570" i="16"/>
  <c r="P1571" i="16"/>
  <c r="J1572" i="16"/>
  <c r="P1572" i="16"/>
  <c r="J1573" i="16"/>
  <c r="P1573" i="16"/>
  <c r="J1574" i="16"/>
  <c r="J1575" i="16"/>
  <c r="P1574" i="16"/>
  <c r="J1576" i="16"/>
  <c r="P1575" i="16"/>
  <c r="J1577" i="16"/>
  <c r="P1576" i="16"/>
  <c r="J1578" i="16"/>
  <c r="P1577" i="16"/>
  <c r="J1579" i="16"/>
  <c r="P1578" i="16"/>
  <c r="J1580" i="16"/>
  <c r="P1579" i="16"/>
  <c r="P1580" i="16"/>
  <c r="J1581" i="16"/>
  <c r="J1582" i="16"/>
  <c r="P1581" i="16"/>
  <c r="P1582" i="16"/>
  <c r="J1583" i="16"/>
  <c r="J1584" i="16"/>
  <c r="P1583" i="16"/>
  <c r="P1584" i="16"/>
  <c r="J1585" i="16"/>
  <c r="P1585" i="16"/>
  <c r="J1586" i="16"/>
  <c r="J1587" i="16"/>
  <c r="P1586" i="16"/>
  <c r="P1587" i="16"/>
  <c r="J1588" i="16"/>
  <c r="J1589" i="16"/>
  <c r="P1588" i="16"/>
  <c r="P1589" i="16"/>
  <c r="J1590" i="16"/>
  <c r="P1590" i="16"/>
  <c r="J1591" i="16"/>
  <c r="J1592" i="16"/>
  <c r="P1591" i="16"/>
  <c r="P1592" i="16"/>
  <c r="J1593" i="16"/>
  <c r="J1594" i="16"/>
  <c r="P1593" i="16"/>
  <c r="J1595" i="16"/>
  <c r="P1594" i="16"/>
  <c r="P1595" i="16"/>
  <c r="J1596" i="16"/>
  <c r="P1596" i="16"/>
  <c r="J1597" i="16"/>
  <c r="P1597" i="16"/>
  <c r="J1598" i="16"/>
  <c r="J1599" i="16"/>
  <c r="P1598" i="16"/>
  <c r="J1600" i="16"/>
  <c r="P1599" i="16"/>
  <c r="P1600" i="16"/>
  <c r="J1601" i="16"/>
  <c r="J1602" i="16"/>
  <c r="P1601" i="16"/>
  <c r="P1602" i="16"/>
  <c r="J1603" i="16"/>
  <c r="J1604" i="16"/>
  <c r="P1603" i="16"/>
  <c r="J1605" i="16"/>
  <c r="P1604" i="16"/>
  <c r="J1606" i="16"/>
  <c r="P1605" i="16"/>
  <c r="P1606" i="16"/>
  <c r="J1607" i="16"/>
  <c r="J1608" i="16"/>
  <c r="P1607" i="16"/>
  <c r="J1609" i="16"/>
  <c r="P1608" i="16"/>
  <c r="P1609" i="16"/>
  <c r="J1610" i="16"/>
  <c r="P1610" i="16"/>
  <c r="J1611" i="16"/>
  <c r="J1612" i="16"/>
  <c r="P1611" i="16"/>
  <c r="J1613" i="16"/>
  <c r="P1612" i="16"/>
  <c r="P1613" i="16"/>
  <c r="J1614" i="16"/>
  <c r="P1614" i="16"/>
  <c r="J1615" i="16"/>
  <c r="P1615" i="16"/>
  <c r="J1616" i="16"/>
  <c r="J1617" i="16"/>
  <c r="P1616" i="16"/>
  <c r="J1618" i="16"/>
  <c r="P1617" i="16"/>
  <c r="J1619" i="16"/>
  <c r="P1618" i="16"/>
  <c r="P1619" i="16"/>
  <c r="J1620" i="16"/>
  <c r="J1621" i="16"/>
  <c r="P1620" i="16"/>
  <c r="J1622" i="16"/>
  <c r="P1621" i="16"/>
  <c r="J1623" i="16"/>
  <c r="P1622" i="16"/>
  <c r="J1624" i="16"/>
  <c r="P1623" i="16"/>
  <c r="J1625" i="16"/>
  <c r="P1624" i="16"/>
  <c r="P1625" i="16"/>
  <c r="J1626" i="16"/>
  <c r="J1627" i="16"/>
  <c r="P1626" i="16"/>
  <c r="P1627" i="16"/>
  <c r="J1628" i="16"/>
  <c r="J1629" i="16"/>
  <c r="P1628" i="16"/>
  <c r="J1630" i="16"/>
  <c r="P1629" i="16"/>
  <c r="P1630" i="16"/>
  <c r="J1631" i="16"/>
  <c r="J1632" i="16"/>
  <c r="P1631" i="16"/>
  <c r="J1633" i="16"/>
  <c r="P1632" i="16"/>
  <c r="P1633" i="16"/>
  <c r="J1634" i="16"/>
  <c r="J1635" i="16"/>
  <c r="P1634" i="16"/>
  <c r="J1636" i="16"/>
  <c r="P1635" i="16"/>
  <c r="J1637" i="16"/>
  <c r="P1636" i="16"/>
  <c r="P1637" i="16"/>
  <c r="J1638" i="16"/>
  <c r="J1639" i="16"/>
  <c r="P1638" i="16"/>
  <c r="J1640" i="16"/>
  <c r="P1639" i="16"/>
  <c r="P1640" i="16"/>
  <c r="J1641" i="16"/>
  <c r="J1642" i="16"/>
  <c r="P1641" i="16"/>
  <c r="P1642" i="16"/>
  <c r="J1643" i="16"/>
  <c r="J1644" i="16"/>
  <c r="P1643" i="16"/>
  <c r="J1645" i="16"/>
  <c r="P1644" i="16"/>
  <c r="P1645" i="16"/>
  <c r="J1646" i="16"/>
  <c r="P1646" i="16"/>
  <c r="J1647" i="16"/>
  <c r="P1647" i="16"/>
  <c r="J1648" i="16"/>
  <c r="J1649" i="16"/>
  <c r="P1648" i="16"/>
  <c r="P1649" i="16"/>
  <c r="J1650" i="16"/>
  <c r="J1651" i="16"/>
  <c r="P1650" i="16"/>
  <c r="J1652" i="16"/>
  <c r="P1651" i="16"/>
  <c r="J1653" i="16"/>
  <c r="P1652" i="16"/>
  <c r="J1654" i="16"/>
  <c r="P1653" i="16"/>
  <c r="J1655" i="16"/>
  <c r="P1654" i="16"/>
  <c r="J1656" i="16"/>
  <c r="P1655" i="16"/>
  <c r="J1657" i="16"/>
  <c r="P1656" i="16"/>
  <c r="J1658" i="16"/>
  <c r="P1657" i="16"/>
  <c r="J1659" i="16"/>
  <c r="P1658" i="16"/>
  <c r="P1659" i="16"/>
  <c r="J1660" i="16"/>
  <c r="J1661" i="16"/>
  <c r="P1660" i="16"/>
  <c r="J1662" i="16"/>
  <c r="P1661" i="16"/>
  <c r="J1663" i="16"/>
  <c r="P1662" i="16"/>
  <c r="J1664" i="16"/>
  <c r="P1663" i="16"/>
  <c r="P1664" i="16"/>
  <c r="J1665" i="16"/>
  <c r="P1665" i="16"/>
  <c r="J1666" i="16"/>
  <c r="J1667" i="16"/>
  <c r="P1666" i="16"/>
  <c r="P1667" i="16"/>
  <c r="J1668" i="16"/>
  <c r="J1669" i="16"/>
  <c r="P1668" i="16"/>
  <c r="J1670" i="16"/>
  <c r="P1669" i="16"/>
  <c r="J1671" i="16"/>
  <c r="P1670" i="16"/>
  <c r="P1671" i="16"/>
  <c r="J1672" i="16"/>
  <c r="J1673" i="16"/>
  <c r="P1672" i="16"/>
  <c r="J1674" i="16"/>
  <c r="P1673" i="16"/>
  <c r="J1675" i="16"/>
  <c r="P1674" i="16"/>
  <c r="J1676" i="16"/>
  <c r="P1675" i="16"/>
  <c r="J1677" i="16"/>
  <c r="P1676" i="16"/>
  <c r="J1678" i="16"/>
  <c r="P1677" i="16"/>
  <c r="J1679" i="16"/>
  <c r="P1678" i="16"/>
  <c r="J1680" i="16"/>
  <c r="P1679" i="16"/>
  <c r="P1680" i="16"/>
  <c r="J1681" i="16"/>
  <c r="J1682" i="16"/>
  <c r="P1681" i="16"/>
  <c r="P1682" i="16"/>
  <c r="J1683" i="16"/>
  <c r="J1684" i="16"/>
  <c r="P1683" i="16"/>
  <c r="J1685" i="16"/>
  <c r="P1684" i="16"/>
  <c r="J1686" i="16"/>
  <c r="P1685" i="16"/>
  <c r="J1687" i="16"/>
  <c r="P1686" i="16"/>
  <c r="J1688" i="16"/>
  <c r="P1687" i="16"/>
  <c r="P1688" i="16"/>
  <c r="J1689" i="16"/>
  <c r="J1690" i="16"/>
  <c r="P1689" i="16"/>
  <c r="P1690" i="16"/>
  <c r="J1691" i="16"/>
  <c r="J1692" i="16"/>
  <c r="P1691" i="16"/>
  <c r="J1693" i="16"/>
  <c r="P1692" i="16"/>
  <c r="J1694" i="16"/>
  <c r="P1693" i="16"/>
  <c r="J1695" i="16"/>
  <c r="P1694" i="16"/>
  <c r="P1695" i="16"/>
  <c r="J1696" i="16"/>
  <c r="J1697" i="16"/>
  <c r="P1696" i="16"/>
  <c r="J1698" i="16"/>
  <c r="P1697" i="16"/>
  <c r="J1699" i="16"/>
  <c r="P1698" i="16"/>
  <c r="P1699" i="16"/>
  <c r="J1700" i="16"/>
  <c r="J1701" i="16"/>
  <c r="P1700" i="16"/>
  <c r="J1702" i="16"/>
  <c r="P1701" i="16"/>
  <c r="J1703" i="16"/>
  <c r="P1702" i="16"/>
  <c r="J1704" i="16"/>
  <c r="P1703" i="16"/>
  <c r="J1705" i="16"/>
  <c r="P1704" i="16"/>
  <c r="J1706" i="16"/>
  <c r="P1705" i="16"/>
  <c r="J1707" i="16"/>
  <c r="P1706" i="16"/>
  <c r="J1708" i="16"/>
  <c r="P1707" i="16"/>
  <c r="P1708" i="16"/>
  <c r="J1709" i="16"/>
  <c r="J1710" i="16"/>
  <c r="P1709" i="16"/>
  <c r="J1711" i="16"/>
  <c r="P1710" i="16"/>
  <c r="J1712" i="16"/>
  <c r="P1711" i="16"/>
  <c r="J1713" i="16"/>
  <c r="P1712" i="16"/>
  <c r="J1714" i="16"/>
  <c r="P1713" i="16"/>
  <c r="P1714" i="16"/>
  <c r="J1715" i="16"/>
  <c r="J1716" i="16"/>
  <c r="P1715" i="16"/>
  <c r="J1717" i="16"/>
  <c r="P1716" i="16"/>
  <c r="J1718" i="16"/>
  <c r="P1717" i="16"/>
  <c r="J1719" i="16"/>
  <c r="P1718" i="16"/>
  <c r="J1720" i="16"/>
  <c r="P1719" i="16"/>
  <c r="J1721" i="16"/>
  <c r="P1720" i="16"/>
  <c r="J1722" i="16"/>
  <c r="P1721" i="16"/>
  <c r="J1723" i="16"/>
  <c r="P1722" i="16"/>
  <c r="J1724" i="16"/>
  <c r="P1723" i="16"/>
  <c r="J1725" i="16"/>
  <c r="P1724" i="16"/>
  <c r="J1726" i="16"/>
  <c r="P1725" i="16"/>
  <c r="P1726" i="16"/>
  <c r="J1727" i="16"/>
  <c r="J1728" i="16"/>
  <c r="P1727" i="16"/>
  <c r="J1729" i="16"/>
  <c r="P1728" i="16"/>
  <c r="J1730" i="16"/>
  <c r="P1729" i="16"/>
  <c r="J1731" i="16"/>
  <c r="P1730" i="16"/>
  <c r="J1732" i="16"/>
  <c r="P1731" i="16"/>
  <c r="J1733" i="16"/>
  <c r="P1732" i="16"/>
  <c r="J1734" i="16"/>
  <c r="P1733" i="16"/>
  <c r="J1735" i="16"/>
  <c r="P1734" i="16"/>
  <c r="J1736" i="16"/>
  <c r="P1735" i="16"/>
  <c r="J1737" i="16"/>
  <c r="P1736" i="16"/>
  <c r="J1738" i="16"/>
  <c r="P1737" i="16"/>
  <c r="J1739" i="16"/>
  <c r="P1738" i="16"/>
  <c r="J1740" i="16"/>
  <c r="P1739" i="16"/>
  <c r="P1740" i="16"/>
  <c r="J1741" i="16"/>
  <c r="J1742" i="16"/>
  <c r="P1741" i="16"/>
  <c r="J1743" i="16"/>
  <c r="P1742" i="16"/>
  <c r="J1744" i="16"/>
  <c r="P1743" i="16"/>
  <c r="J1745" i="16"/>
  <c r="P1744" i="16"/>
  <c r="J1746" i="16"/>
  <c r="P1745" i="16"/>
  <c r="J1747" i="16"/>
  <c r="P1746" i="16"/>
  <c r="J1748" i="16"/>
  <c r="P1747" i="16"/>
  <c r="J1749" i="16"/>
  <c r="P1748" i="16"/>
  <c r="J1750" i="16"/>
  <c r="P1749" i="16"/>
  <c r="J1751" i="16"/>
  <c r="P1750" i="16"/>
  <c r="J1752" i="16"/>
  <c r="P1751" i="16"/>
  <c r="J1753" i="16"/>
  <c r="P1752" i="16"/>
  <c r="J1754" i="16"/>
  <c r="P1753" i="16"/>
  <c r="J1755" i="16"/>
  <c r="P1754" i="16"/>
  <c r="P1755" i="16"/>
  <c r="J1756" i="16"/>
  <c r="P1756" i="16"/>
  <c r="J1757" i="16"/>
  <c r="J1758" i="16"/>
  <c r="P1757" i="16"/>
  <c r="J1759" i="16"/>
  <c r="P1758" i="16"/>
  <c r="P1759" i="16"/>
  <c r="J1760" i="16"/>
  <c r="J1761" i="16"/>
  <c r="P1760" i="16"/>
  <c r="J1762" i="16"/>
  <c r="P1761" i="16"/>
  <c r="J1763" i="16"/>
  <c r="P1762" i="16"/>
  <c r="J1764" i="16"/>
  <c r="P1763" i="16"/>
  <c r="J1765" i="16"/>
  <c r="P1764" i="16"/>
  <c r="P1765" i="16"/>
  <c r="J1766" i="16"/>
  <c r="J1767" i="16"/>
  <c r="P1766" i="16"/>
  <c r="P1767" i="16"/>
  <c r="J1768" i="16"/>
  <c r="P1768" i="16"/>
  <c r="J1769" i="16"/>
  <c r="J1770" i="16"/>
  <c r="P1769" i="16"/>
  <c r="P1770" i="16"/>
  <c r="J1771" i="16"/>
  <c r="J1772" i="16"/>
  <c r="P1771" i="16"/>
  <c r="J1773" i="16"/>
  <c r="P1772" i="16"/>
  <c r="J1774" i="16"/>
  <c r="P1773" i="16"/>
  <c r="J1775" i="16"/>
  <c r="P1774" i="16"/>
  <c r="P1775" i="16"/>
  <c r="J1776" i="16"/>
  <c r="J1777" i="16"/>
  <c r="P1776" i="16"/>
  <c r="J1778" i="16"/>
  <c r="P1777" i="16"/>
  <c r="J1779" i="16"/>
  <c r="P1778" i="16"/>
  <c r="P1779" i="16"/>
  <c r="J1780" i="16"/>
  <c r="P1780" i="16"/>
  <c r="J1781" i="16"/>
  <c r="J1782" i="16"/>
  <c r="P1781" i="16"/>
  <c r="J1783" i="16"/>
  <c r="P1782" i="16"/>
  <c r="P1783" i="16"/>
  <c r="J1784" i="16"/>
  <c r="J1785" i="16"/>
  <c r="P1784" i="16"/>
  <c r="J1786" i="16"/>
  <c r="P1785" i="16"/>
  <c r="J1787" i="16"/>
  <c r="P1786" i="16"/>
  <c r="J1788" i="16"/>
  <c r="P1787" i="16"/>
  <c r="P1788" i="16"/>
  <c r="J1789" i="16"/>
  <c r="J1790" i="16"/>
  <c r="P1789" i="16"/>
  <c r="J1791" i="16"/>
  <c r="P1790" i="16"/>
  <c r="J1792" i="16"/>
  <c r="P1791" i="16"/>
  <c r="J1793" i="16"/>
  <c r="P1792" i="16"/>
  <c r="P1793" i="16"/>
  <c r="J1794" i="16"/>
  <c r="J1795" i="16"/>
  <c r="P1794" i="16"/>
  <c r="J1796" i="16"/>
  <c r="P1795" i="16"/>
  <c r="J1797" i="16"/>
  <c r="P1796" i="16"/>
  <c r="J1798" i="16"/>
  <c r="P1797" i="16"/>
  <c r="P1798" i="16"/>
  <c r="J1799" i="16"/>
  <c r="J1800" i="16"/>
  <c r="P1799" i="16"/>
  <c r="P1800" i="16"/>
  <c r="J1801" i="16"/>
  <c r="J1802" i="16"/>
  <c r="P1801" i="16"/>
  <c r="J1803" i="16"/>
  <c r="P1802" i="16"/>
  <c r="J1804" i="16"/>
  <c r="P1803" i="16"/>
  <c r="P1804" i="16"/>
  <c r="J1805" i="16"/>
  <c r="J1806" i="16"/>
  <c r="P1805" i="16"/>
  <c r="J1807" i="16"/>
  <c r="P1806" i="16"/>
  <c r="J1808" i="16"/>
  <c r="P1807" i="16"/>
  <c r="J1809" i="16"/>
  <c r="P1808" i="16"/>
  <c r="J1810" i="16"/>
  <c r="P1809" i="16"/>
  <c r="P1810" i="16"/>
  <c r="J1811" i="16"/>
  <c r="P1811" i="16"/>
  <c r="J1812" i="16"/>
  <c r="J1813" i="16"/>
  <c r="P1812" i="16"/>
  <c r="J1814" i="16"/>
  <c r="P1813" i="16"/>
  <c r="P1814" i="16"/>
  <c r="J1815" i="16"/>
  <c r="J1816" i="16"/>
  <c r="P1815" i="16"/>
  <c r="J1817" i="16"/>
  <c r="P1816" i="16"/>
  <c r="P1817" i="16"/>
  <c r="J1818" i="16"/>
  <c r="J1819" i="16"/>
  <c r="P1818" i="16"/>
  <c r="P1819" i="16"/>
  <c r="J1820" i="16"/>
  <c r="J1821" i="16"/>
  <c r="P1820" i="16"/>
  <c r="J1822" i="16"/>
  <c r="P1821" i="16"/>
  <c r="J1823" i="16"/>
  <c r="P1822" i="16"/>
  <c r="P1823" i="16"/>
  <c r="J1824" i="16"/>
  <c r="J1825" i="16"/>
  <c r="P1824" i="16"/>
  <c r="P1825" i="16"/>
  <c r="J1826" i="16"/>
  <c r="P1826" i="16"/>
  <c r="J1827" i="16"/>
  <c r="J1828" i="16"/>
  <c r="P1827" i="16"/>
  <c r="J1829" i="16"/>
  <c r="P1828" i="16"/>
  <c r="J1830" i="16"/>
  <c r="P1829" i="16"/>
  <c r="J1831" i="16"/>
  <c r="P1830" i="16"/>
  <c r="J1832" i="16"/>
  <c r="P1831" i="16"/>
  <c r="P1832" i="16"/>
  <c r="J1833" i="16"/>
  <c r="J1834" i="16"/>
  <c r="P1833" i="16"/>
  <c r="P1834" i="16"/>
  <c r="J1835" i="16"/>
  <c r="J1836" i="16"/>
  <c r="P1835" i="16"/>
  <c r="J1837" i="16"/>
  <c r="P1836" i="16"/>
  <c r="J1838" i="16"/>
  <c r="P1837" i="16"/>
  <c r="J1839" i="16"/>
  <c r="P1838" i="16"/>
  <c r="J1840" i="16"/>
  <c r="P1839" i="16"/>
  <c r="J1841" i="16"/>
  <c r="P1840" i="16"/>
  <c r="J1842" i="16"/>
  <c r="P1841" i="16"/>
  <c r="J1843" i="16"/>
  <c r="P1842" i="16"/>
  <c r="J1844" i="16"/>
  <c r="P1843" i="16"/>
  <c r="J1845" i="16"/>
  <c r="P1844" i="16"/>
  <c r="J1846" i="16"/>
  <c r="P1845" i="16"/>
  <c r="J1847" i="16"/>
  <c r="P1846" i="16"/>
  <c r="J1848" i="16"/>
  <c r="P1847" i="16"/>
  <c r="P1848" i="16"/>
  <c r="J1849" i="16"/>
  <c r="P1849" i="16"/>
  <c r="J1850" i="16"/>
  <c r="J1851" i="16"/>
  <c r="P1850" i="16"/>
  <c r="J1852" i="16"/>
  <c r="P1851" i="16"/>
  <c r="P1852" i="16"/>
  <c r="J1853" i="16"/>
  <c r="P1853" i="16"/>
  <c r="J1854" i="16"/>
  <c r="J1855" i="16"/>
  <c r="P1854" i="16"/>
  <c r="P1855" i="16"/>
  <c r="J1856" i="16"/>
  <c r="J1857" i="16"/>
  <c r="P1856" i="16"/>
  <c r="J1858" i="16"/>
  <c r="P1857" i="16"/>
  <c r="P1858" i="16"/>
  <c r="J1859" i="16"/>
  <c r="J1860" i="16"/>
  <c r="P1859" i="16"/>
  <c r="J1861" i="16"/>
  <c r="P1860" i="16"/>
  <c r="P1861" i="16"/>
  <c r="J1862" i="16"/>
  <c r="J1863" i="16"/>
  <c r="P1862" i="16"/>
  <c r="J1864" i="16"/>
  <c r="P1863" i="16"/>
  <c r="J1865" i="16"/>
  <c r="P1864" i="16"/>
  <c r="P1865" i="16"/>
  <c r="J1866" i="16"/>
  <c r="P1866" i="16"/>
  <c r="J1867" i="16"/>
  <c r="J1868" i="16"/>
  <c r="P1867" i="16"/>
  <c r="J1869" i="16"/>
  <c r="P1868" i="16"/>
  <c r="J1870" i="16"/>
  <c r="P1869" i="16"/>
  <c r="J1871" i="16"/>
  <c r="P1870" i="16"/>
  <c r="P1871" i="16"/>
  <c r="J1872" i="16"/>
  <c r="J1873" i="16"/>
  <c r="P1872" i="16"/>
  <c r="J1874" i="16"/>
  <c r="P1873" i="16"/>
  <c r="P1874" i="16"/>
  <c r="J1875" i="16"/>
  <c r="P1875" i="16"/>
  <c r="J1876" i="16"/>
  <c r="P1876" i="16"/>
  <c r="J1877" i="16"/>
  <c r="J1878" i="16"/>
  <c r="P1877" i="16"/>
  <c r="P1878" i="16"/>
  <c r="J1879" i="16"/>
  <c r="P1879" i="16"/>
  <c r="J1880" i="16"/>
  <c r="J1881" i="16"/>
  <c r="P1880" i="16"/>
  <c r="P1881" i="16"/>
  <c r="J1882" i="16"/>
  <c r="J1883" i="16"/>
  <c r="P1882" i="16"/>
  <c r="J1884" i="16"/>
  <c r="P1883" i="16"/>
  <c r="J1885" i="16"/>
  <c r="P1884" i="16"/>
  <c r="J1886" i="16"/>
  <c r="P1885" i="16"/>
  <c r="J1887" i="16"/>
  <c r="P1886" i="16"/>
  <c r="J1888" i="16"/>
  <c r="P1887" i="16"/>
  <c r="J1889" i="16"/>
  <c r="P1888" i="16"/>
  <c r="P1889" i="16"/>
  <c r="J1890" i="16"/>
  <c r="P1890" i="16"/>
  <c r="J1891" i="16"/>
  <c r="J1892" i="16"/>
  <c r="P1891" i="16"/>
  <c r="J1893" i="16"/>
  <c r="P1892" i="16"/>
  <c r="J1894" i="16"/>
  <c r="P1893" i="16"/>
  <c r="J1895" i="16"/>
  <c r="P1894" i="16"/>
  <c r="P1895" i="16"/>
  <c r="J1896" i="16"/>
  <c r="P1896" i="16"/>
  <c r="J1897" i="16"/>
  <c r="P1897" i="16"/>
  <c r="J1898" i="16"/>
  <c r="J1899" i="16"/>
  <c r="P1898" i="16"/>
  <c r="J1900" i="16"/>
  <c r="P1899" i="16"/>
  <c r="J1901" i="16"/>
  <c r="P1900" i="16"/>
  <c r="P1901" i="16"/>
  <c r="J1902" i="16"/>
  <c r="J1903" i="16"/>
  <c r="P1902" i="16"/>
  <c r="J1904" i="16"/>
  <c r="P1903" i="16"/>
  <c r="P1904" i="16"/>
  <c r="J1905" i="16"/>
  <c r="P1905" i="16"/>
  <c r="J1906" i="16"/>
  <c r="J1907" i="16"/>
  <c r="P1906" i="16"/>
  <c r="J1908" i="16"/>
  <c r="P1907" i="16"/>
  <c r="P1908" i="16"/>
  <c r="J1909" i="16"/>
  <c r="P1909" i="16"/>
  <c r="J1910" i="16"/>
  <c r="P1910" i="16"/>
  <c r="J1911" i="16"/>
  <c r="J1912" i="16"/>
  <c r="P1911" i="16"/>
  <c r="P1912" i="16"/>
  <c r="J1913" i="16"/>
  <c r="J1914" i="16"/>
  <c r="P1913" i="16"/>
  <c r="J1915" i="16"/>
  <c r="P1914" i="16"/>
  <c r="J1916" i="16"/>
  <c r="P1915" i="16"/>
  <c r="P1916" i="16"/>
  <c r="J1917" i="16"/>
  <c r="J1918" i="16"/>
  <c r="P1917" i="16"/>
  <c r="J1919" i="16"/>
  <c r="P1918" i="16"/>
  <c r="J1920" i="16"/>
  <c r="P1919" i="16"/>
  <c r="J1921" i="16"/>
  <c r="P1920" i="16"/>
  <c r="J1922" i="16"/>
  <c r="P1921" i="16"/>
  <c r="J1923" i="16"/>
  <c r="P1922" i="16"/>
  <c r="J1924" i="16"/>
  <c r="P1923" i="16"/>
  <c r="J1925" i="16"/>
  <c r="P1924" i="16"/>
  <c r="P1925" i="16"/>
  <c r="J1926" i="16"/>
  <c r="J1927" i="16"/>
  <c r="P1926" i="16"/>
  <c r="J1928" i="16"/>
  <c r="P1927" i="16"/>
  <c r="J1929" i="16"/>
  <c r="P1928" i="16"/>
  <c r="P1929" i="16"/>
  <c r="J1930" i="16"/>
  <c r="P1930" i="16"/>
  <c r="J1931" i="16"/>
  <c r="J1932" i="16"/>
  <c r="P1931" i="16"/>
  <c r="J1933" i="16"/>
  <c r="P1932" i="16"/>
  <c r="J1934" i="16"/>
  <c r="P1933" i="16"/>
  <c r="J1935" i="16"/>
  <c r="P1934" i="16"/>
  <c r="J1936" i="16"/>
  <c r="P1935" i="16"/>
  <c r="J1937" i="16"/>
  <c r="P1936" i="16"/>
  <c r="J1938" i="16"/>
  <c r="P1937" i="16"/>
  <c r="J1939" i="16"/>
  <c r="P1938" i="16"/>
  <c r="J1940" i="16"/>
  <c r="P1939" i="16"/>
  <c r="J1941" i="16"/>
  <c r="P1940" i="16"/>
  <c r="P1941" i="16"/>
  <c r="J1942" i="16"/>
  <c r="J1943" i="16"/>
  <c r="P1942" i="16"/>
  <c r="J1944" i="16"/>
  <c r="P1943" i="16"/>
  <c r="J1945" i="16"/>
  <c r="P1944" i="16"/>
  <c r="P1945" i="16"/>
  <c r="J1946" i="16"/>
  <c r="P1946" i="16"/>
  <c r="J1947" i="16"/>
  <c r="P1947" i="16"/>
  <c r="J1948" i="16"/>
  <c r="J1949" i="16"/>
  <c r="P1948" i="16"/>
  <c r="P1949" i="16"/>
  <c r="J1950" i="16"/>
  <c r="J1951" i="16"/>
  <c r="P1950" i="16"/>
  <c r="P1951" i="16"/>
  <c r="J1952" i="16"/>
  <c r="J1953" i="16"/>
  <c r="P1952" i="16"/>
  <c r="J1954" i="16"/>
  <c r="P1953" i="16"/>
  <c r="J1955" i="16"/>
  <c r="P1954" i="16"/>
  <c r="J1956" i="16"/>
  <c r="P1955" i="16"/>
  <c r="P1956" i="16"/>
  <c r="J1957" i="16"/>
  <c r="J1958" i="16"/>
  <c r="P1957" i="16"/>
  <c r="J1959" i="16"/>
  <c r="P1958" i="16"/>
  <c r="J1960" i="16"/>
  <c r="P1959" i="16"/>
  <c r="J1961" i="16"/>
  <c r="P1960" i="16"/>
  <c r="P1961" i="16"/>
  <c r="J1962" i="16"/>
  <c r="J1963" i="16"/>
  <c r="P1962" i="16"/>
  <c r="P1963" i="16"/>
  <c r="J1964" i="16"/>
  <c r="P1964" i="16"/>
  <c r="J1965" i="16"/>
  <c r="J1966" i="16"/>
  <c r="P1965" i="16"/>
  <c r="P1966" i="16"/>
  <c r="J1967" i="16"/>
  <c r="J1968" i="16"/>
  <c r="P1967" i="16"/>
  <c r="P1968" i="16"/>
  <c r="J1969" i="16"/>
  <c r="P1969" i="16"/>
  <c r="J1970" i="16"/>
  <c r="J1971" i="16"/>
  <c r="P1970" i="16"/>
  <c r="J1972" i="16"/>
  <c r="P1971" i="16"/>
  <c r="P1972" i="16"/>
  <c r="J1973" i="16"/>
  <c r="P1973" i="16"/>
  <c r="J1974" i="16"/>
  <c r="J1975" i="16"/>
  <c r="P1974" i="16"/>
  <c r="P1975" i="16"/>
  <c r="J1976" i="16"/>
  <c r="J1977" i="16"/>
  <c r="P1976" i="16"/>
  <c r="J1978" i="16"/>
  <c r="P1977" i="16"/>
  <c r="J1979" i="16"/>
  <c r="P1978" i="16"/>
  <c r="P1979" i="16"/>
  <c r="J1980" i="16"/>
  <c r="P1980" i="16"/>
  <c r="J1981" i="16"/>
  <c r="P1981" i="16"/>
  <c r="J1982" i="16"/>
  <c r="P1982" i="16"/>
  <c r="J1983" i="16"/>
  <c r="P1983" i="16"/>
  <c r="J1984" i="16"/>
  <c r="P1984" i="16"/>
  <c r="J1985" i="16"/>
  <c r="P1985" i="16"/>
  <c r="J1986" i="16"/>
  <c r="J1987" i="16"/>
  <c r="P1986" i="16"/>
  <c r="J1988" i="16"/>
  <c r="P1987" i="16"/>
  <c r="J1989" i="16"/>
  <c r="P1988" i="16"/>
  <c r="J1990" i="16"/>
  <c r="P1989" i="16"/>
  <c r="P1990" i="16"/>
  <c r="J1991" i="16"/>
  <c r="P1991" i="16"/>
  <c r="J1992" i="16"/>
  <c r="J1993" i="16"/>
  <c r="P1992" i="16"/>
  <c r="P1993" i="16"/>
  <c r="J1994" i="16"/>
  <c r="J1995" i="16"/>
  <c r="P1994" i="16"/>
  <c r="J1996" i="16"/>
  <c r="P1995" i="16"/>
  <c r="J1997" i="16"/>
  <c r="P1996" i="16"/>
  <c r="P1997" i="16"/>
  <c r="J1998" i="16"/>
  <c r="P1998" i="16"/>
  <c r="J1999" i="16"/>
  <c r="J2000" i="16"/>
  <c r="P1999" i="16"/>
  <c r="J2001" i="16"/>
  <c r="P2000" i="16"/>
  <c r="J2002" i="16"/>
  <c r="P2001" i="16"/>
  <c r="J2003" i="16"/>
  <c r="P2002" i="16"/>
  <c r="P2003" i="16"/>
  <c r="J2004" i="16"/>
  <c r="J2005" i="16"/>
  <c r="P2004" i="16"/>
  <c r="J2006" i="16"/>
  <c r="P2005" i="16"/>
  <c r="J2007" i="16"/>
  <c r="P2006" i="16"/>
  <c r="J2008" i="16"/>
  <c r="P2007" i="16"/>
  <c r="P2008" i="16"/>
  <c r="J2009" i="16"/>
  <c r="J2010" i="16"/>
  <c r="P2009" i="16"/>
  <c r="J2011" i="16"/>
  <c r="P2010" i="16"/>
  <c r="J2012" i="16"/>
  <c r="P2011" i="16"/>
  <c r="J2013" i="16"/>
  <c r="P2012" i="16"/>
  <c r="J2014" i="16"/>
  <c r="P2013" i="16"/>
  <c r="P2014" i="16"/>
  <c r="J2015" i="16"/>
  <c r="J2016" i="16"/>
  <c r="P2015" i="16"/>
  <c r="P2016" i="16"/>
  <c r="J2017" i="16"/>
  <c r="P2017" i="16"/>
  <c r="J2018" i="16"/>
  <c r="P2018" i="16"/>
  <c r="J2019" i="16"/>
  <c r="J2020" i="16"/>
  <c r="P2019" i="16"/>
  <c r="J2021" i="16"/>
  <c r="P2020" i="16"/>
  <c r="P2021" i="16"/>
  <c r="J2022" i="16"/>
  <c r="P2022" i="16"/>
  <c r="J2023" i="16"/>
  <c r="P2023" i="16"/>
  <c r="J2024" i="16"/>
  <c r="J2025" i="16"/>
  <c r="P2024" i="16"/>
  <c r="J2026" i="16"/>
  <c r="P2025" i="16"/>
  <c r="J2027" i="16"/>
  <c r="P2026" i="16"/>
  <c r="J2028" i="16"/>
  <c r="P2027" i="16"/>
  <c r="P2028" i="16"/>
  <c r="J2029" i="16"/>
  <c r="P2029" i="16"/>
  <c r="J2030" i="16"/>
  <c r="J2031" i="16"/>
  <c r="P2030" i="16"/>
  <c r="P2031" i="16"/>
  <c r="J2032" i="16"/>
  <c r="J2033" i="16"/>
  <c r="P2032" i="16"/>
  <c r="J2034" i="16"/>
  <c r="P2033" i="16"/>
  <c r="J2035" i="16"/>
  <c r="P2034" i="16"/>
  <c r="J2036" i="16"/>
  <c r="P2035" i="16"/>
  <c r="J2037" i="16"/>
  <c r="P2036" i="16"/>
  <c r="J2038" i="16"/>
  <c r="P2037" i="16"/>
  <c r="P2038" i="16"/>
  <c r="J2039" i="16"/>
  <c r="J2040" i="16"/>
  <c r="P2039" i="16"/>
  <c r="P2040" i="16"/>
  <c r="J2041" i="16"/>
  <c r="J2042" i="16"/>
  <c r="P2041" i="16"/>
  <c r="J2043" i="16"/>
  <c r="P2042" i="16"/>
  <c r="J2044" i="16"/>
  <c r="P2043" i="16"/>
  <c r="J2045" i="16"/>
  <c r="P2044" i="16"/>
  <c r="J2046" i="16"/>
  <c r="P2045" i="16"/>
  <c r="J2047" i="16"/>
  <c r="P2046" i="16"/>
  <c r="J2048" i="16"/>
  <c r="P2047" i="16"/>
  <c r="J2049" i="16"/>
  <c r="P2048" i="16"/>
  <c r="P2049" i="16"/>
  <c r="J2050" i="16"/>
  <c r="J2051" i="16"/>
  <c r="P2050" i="16"/>
  <c r="J2052" i="16"/>
  <c r="P2051" i="16"/>
  <c r="J2053" i="16"/>
  <c r="P2052" i="16"/>
  <c r="J2054" i="16"/>
  <c r="P2053" i="16"/>
  <c r="J2055" i="16"/>
  <c r="P2054" i="16"/>
  <c r="J2056" i="16"/>
  <c r="P2055" i="16"/>
  <c r="P2056" i="16"/>
  <c r="J2057" i="16"/>
  <c r="J2058" i="16"/>
  <c r="P2057" i="16"/>
  <c r="P2058" i="16"/>
  <c r="J2059" i="16"/>
  <c r="J2060" i="16"/>
  <c r="P2059" i="16"/>
  <c r="P2060" i="16"/>
  <c r="J2061" i="16"/>
  <c r="J2062" i="16"/>
  <c r="P2061" i="16"/>
  <c r="J2063" i="16"/>
  <c r="P2062" i="16"/>
  <c r="J2064" i="16"/>
  <c r="P2063" i="16"/>
  <c r="J2065" i="16"/>
  <c r="P2064" i="16"/>
  <c r="P2065" i="16"/>
  <c r="J2066" i="16"/>
  <c r="P2066" i="16"/>
  <c r="J2067" i="16"/>
  <c r="J2068" i="16"/>
  <c r="P2067" i="16"/>
  <c r="P2068" i="16"/>
  <c r="J2069" i="16"/>
  <c r="J2070" i="16"/>
  <c r="P2069" i="16"/>
  <c r="P2070" i="16"/>
  <c r="J2071" i="16"/>
  <c r="J2072" i="16"/>
  <c r="P2071" i="16"/>
  <c r="P2072" i="16"/>
  <c r="J2073" i="16"/>
  <c r="J2074" i="16"/>
  <c r="P2073" i="16"/>
  <c r="J2075" i="16"/>
  <c r="P2074" i="16"/>
  <c r="J2076" i="16"/>
  <c r="P2075" i="16"/>
  <c r="P2076" i="16"/>
  <c r="J2077" i="16"/>
  <c r="J2078" i="16"/>
  <c r="P2077" i="16"/>
  <c r="P2078" i="16"/>
  <c r="J2079" i="16"/>
  <c r="J2080" i="16"/>
  <c r="P2079" i="16"/>
  <c r="J2081" i="16"/>
  <c r="P2080" i="16"/>
  <c r="J2082" i="16"/>
  <c r="P2081" i="16"/>
  <c r="J2083" i="16"/>
  <c r="P2082" i="16"/>
  <c r="P2083" i="16"/>
  <c r="J2084" i="16"/>
  <c r="J2085" i="16"/>
  <c r="P2084" i="16"/>
  <c r="P2085" i="16"/>
  <c r="J2086" i="16"/>
  <c r="J2087" i="16"/>
  <c r="P2086" i="16"/>
  <c r="J2088" i="16"/>
  <c r="P2087" i="16"/>
  <c r="J2089" i="16"/>
  <c r="P2088" i="16"/>
  <c r="P2089" i="16"/>
  <c r="J2090" i="16"/>
  <c r="J2091" i="16"/>
  <c r="P2090" i="16"/>
  <c r="P2091" i="16"/>
  <c r="J2092" i="16"/>
  <c r="J2093" i="16"/>
  <c r="P2092" i="16"/>
  <c r="P2093" i="16"/>
  <c r="J2094" i="16"/>
  <c r="J2095" i="16"/>
  <c r="P2094" i="16"/>
  <c r="J2096" i="16"/>
  <c r="P2095" i="16"/>
  <c r="J2097" i="16"/>
  <c r="P2096" i="16"/>
  <c r="J2098" i="16"/>
  <c r="P2097" i="16"/>
  <c r="J2099" i="16"/>
  <c r="P2098" i="16"/>
  <c r="J2100" i="16"/>
  <c r="P2099" i="16"/>
  <c r="J2101" i="16"/>
  <c r="P2100" i="16"/>
  <c r="J2102" i="16"/>
  <c r="P2101" i="16"/>
  <c r="J2103" i="16"/>
  <c r="P2102" i="16"/>
  <c r="P2103" i="16"/>
  <c r="J2104" i="16"/>
  <c r="J2105" i="16"/>
  <c r="P2104" i="16"/>
  <c r="P2105" i="16"/>
  <c r="J2106" i="16"/>
  <c r="P2106" i="16"/>
  <c r="J2107" i="16"/>
  <c r="J2108" i="16"/>
  <c r="P2107" i="16"/>
  <c r="J2109" i="16"/>
  <c r="P2108" i="16"/>
  <c r="J2110" i="16"/>
  <c r="P2109" i="16"/>
  <c r="J2111" i="16"/>
  <c r="P2110" i="16"/>
  <c r="P2111" i="16"/>
  <c r="J2112" i="16"/>
  <c r="J2113" i="16"/>
  <c r="P2112" i="16"/>
  <c r="J2114" i="16"/>
  <c r="P2113" i="16"/>
  <c r="J2115" i="16"/>
  <c r="P2114" i="16"/>
  <c r="P2115" i="16"/>
  <c r="J2116" i="16"/>
  <c r="J2117" i="16"/>
  <c r="P2116" i="16"/>
  <c r="P2117" i="16"/>
  <c r="J2118" i="16"/>
  <c r="J2119" i="16"/>
  <c r="P2118" i="16"/>
  <c r="P2119" i="16"/>
  <c r="J2120" i="16"/>
  <c r="P2120" i="16"/>
  <c r="J2121" i="16"/>
  <c r="J2122" i="16"/>
  <c r="P2121" i="16"/>
  <c r="J2123" i="16"/>
  <c r="P2122" i="16"/>
  <c r="P2123" i="16"/>
  <c r="J2124" i="16"/>
  <c r="J2125" i="16"/>
  <c r="P2124" i="16"/>
  <c r="J2126" i="16"/>
  <c r="P2125" i="16"/>
  <c r="P2126" i="16"/>
  <c r="J2127" i="16"/>
  <c r="P2127" i="16"/>
  <c r="J2128" i="16"/>
  <c r="J2129" i="16"/>
  <c r="P2128" i="16"/>
  <c r="J2130" i="16"/>
  <c r="P2129" i="16"/>
  <c r="J2131" i="16"/>
  <c r="P2130" i="16"/>
  <c r="J2132" i="16"/>
  <c r="P2131" i="16"/>
  <c r="J2133" i="16"/>
  <c r="P2132" i="16"/>
  <c r="J2134" i="16"/>
  <c r="P2133" i="16"/>
  <c r="J2135" i="16"/>
  <c r="P2134" i="16"/>
  <c r="P2135" i="16"/>
  <c r="J2136" i="16"/>
  <c r="J2137" i="16"/>
  <c r="P2136" i="16"/>
  <c r="J2138" i="16"/>
  <c r="P2137" i="16"/>
  <c r="P2138" i="16"/>
  <c r="J2139" i="16"/>
  <c r="P2139" i="16"/>
  <c r="J2140" i="16"/>
  <c r="P2140" i="16"/>
  <c r="J2141" i="16"/>
  <c r="J2142" i="16"/>
  <c r="P2141" i="16"/>
  <c r="J2143" i="16"/>
  <c r="P2142" i="16"/>
  <c r="J2144" i="16"/>
  <c r="P2143" i="16"/>
  <c r="J2145" i="16"/>
  <c r="P2144" i="16"/>
  <c r="J2146" i="16"/>
  <c r="P2145" i="16"/>
  <c r="J2147" i="16"/>
  <c r="P2146" i="16"/>
  <c r="J2148" i="16"/>
  <c r="P2147" i="16"/>
  <c r="J2149" i="16"/>
  <c r="P2148" i="16"/>
  <c r="J2150" i="16"/>
  <c r="P2149" i="16"/>
  <c r="P2150" i="16"/>
  <c r="J2151" i="16"/>
  <c r="J2152" i="16"/>
  <c r="P2151" i="16"/>
  <c r="J2153" i="16"/>
  <c r="P2152" i="16"/>
  <c r="J2154" i="16"/>
  <c r="P2153" i="16"/>
  <c r="J2155" i="16"/>
  <c r="P2154" i="16"/>
  <c r="P2155" i="16"/>
  <c r="J2156" i="16"/>
  <c r="J2157" i="16"/>
  <c r="P2156" i="16"/>
  <c r="J2158" i="16"/>
  <c r="P2157" i="16"/>
  <c r="P2158" i="16"/>
  <c r="J2159" i="16"/>
  <c r="J2160" i="16"/>
  <c r="P2159" i="16"/>
  <c r="J2161" i="16"/>
  <c r="P2160" i="16"/>
  <c r="J2162" i="16"/>
  <c r="P2161" i="16"/>
  <c r="J2163" i="16"/>
  <c r="P2162" i="16"/>
  <c r="J2164" i="16"/>
  <c r="P2163" i="16"/>
  <c r="J2165" i="16"/>
  <c r="P2164" i="16"/>
  <c r="J2166" i="16"/>
  <c r="P2165" i="16"/>
  <c r="J2167" i="16"/>
  <c r="P2166" i="16"/>
  <c r="J2168" i="16"/>
  <c r="P2167" i="16"/>
  <c r="J2169" i="16"/>
  <c r="P2168" i="16"/>
  <c r="J2170" i="16"/>
  <c r="P2169" i="16"/>
  <c r="J2171" i="16"/>
  <c r="P2170" i="16"/>
  <c r="J2172" i="16"/>
  <c r="P2171" i="16"/>
  <c r="P2172" i="16"/>
  <c r="J2173" i="16"/>
  <c r="J2174" i="16"/>
  <c r="P2173" i="16"/>
  <c r="P2174" i="16"/>
  <c r="J2175" i="16"/>
  <c r="P2175" i="16"/>
  <c r="J2176" i="16"/>
  <c r="P2176" i="16"/>
  <c r="J2177" i="16"/>
  <c r="P2177" i="16"/>
  <c r="J2178" i="16"/>
  <c r="P2178" i="16"/>
  <c r="J2179" i="16"/>
  <c r="J2180" i="16"/>
  <c r="P2179" i="16"/>
  <c r="P2180" i="16"/>
  <c r="J2181" i="16"/>
  <c r="P2181" i="16"/>
  <c r="J2182" i="16"/>
  <c r="J2183" i="16"/>
  <c r="P2182" i="16"/>
  <c r="P2183" i="16"/>
  <c r="J2184" i="16"/>
  <c r="J2185" i="16"/>
  <c r="P2184" i="16"/>
  <c r="P2185" i="16"/>
  <c r="J2186" i="16"/>
  <c r="J2187" i="16"/>
  <c r="P2186" i="16"/>
  <c r="J2188" i="16"/>
  <c r="P2187" i="16"/>
  <c r="J2189" i="16"/>
  <c r="P2188" i="16"/>
  <c r="J2190" i="16"/>
  <c r="P2189" i="16"/>
  <c r="J2191" i="16"/>
  <c r="P2190" i="16"/>
  <c r="J2192" i="16"/>
  <c r="P2191" i="16"/>
  <c r="P2192" i="16"/>
  <c r="J2193" i="16"/>
  <c r="J2194" i="16"/>
  <c r="P2193" i="16"/>
  <c r="P2194" i="16"/>
  <c r="J2195" i="16"/>
  <c r="J2196" i="16"/>
  <c r="P2195" i="16"/>
  <c r="J2197" i="16"/>
  <c r="P2196" i="16"/>
  <c r="J2198" i="16"/>
  <c r="P2197" i="16"/>
  <c r="P2198" i="16"/>
  <c r="J2199" i="16"/>
  <c r="J2200" i="16"/>
  <c r="P2199" i="16"/>
  <c r="J2201" i="16"/>
  <c r="P2200" i="16"/>
  <c r="J2202" i="16"/>
  <c r="P2201" i="16"/>
  <c r="P2202" i="16"/>
  <c r="J2203" i="16"/>
  <c r="J2204" i="16"/>
  <c r="P2203" i="16"/>
  <c r="J2205" i="16"/>
  <c r="P2204" i="16"/>
  <c r="J2206" i="16"/>
  <c r="P2205" i="16"/>
  <c r="P2206" i="16"/>
  <c r="J2207" i="16"/>
  <c r="J2208" i="16"/>
  <c r="P2207" i="16"/>
  <c r="J2209" i="16"/>
  <c r="P2208" i="16"/>
  <c r="J2210" i="16"/>
  <c r="P2209" i="16"/>
  <c r="J2211" i="16"/>
  <c r="P2210" i="16"/>
  <c r="J2212" i="16"/>
  <c r="P2211" i="16"/>
  <c r="J2213" i="16"/>
  <c r="P2212" i="16"/>
  <c r="J2214" i="16"/>
  <c r="P2213" i="16"/>
  <c r="J2215" i="16"/>
  <c r="P2214" i="16"/>
  <c r="P2215" i="16"/>
  <c r="J2216" i="16"/>
  <c r="J2217" i="16"/>
  <c r="P2216" i="16"/>
  <c r="J2218" i="16"/>
  <c r="P2217" i="16"/>
  <c r="J2219" i="16"/>
  <c r="P2218" i="16"/>
  <c r="P2219" i="16"/>
  <c r="J2220" i="16"/>
  <c r="P2220" i="16"/>
  <c r="J2221" i="16"/>
  <c r="J2222" i="16"/>
  <c r="P2221" i="16"/>
  <c r="J2223" i="16"/>
  <c r="P2222" i="16"/>
  <c r="P2223" i="16"/>
  <c r="J2224" i="16"/>
  <c r="J2225" i="16"/>
  <c r="P2224" i="16"/>
  <c r="J2226" i="16"/>
  <c r="P2225" i="16"/>
  <c r="P2226" i="16"/>
  <c r="J2227" i="16"/>
  <c r="P2227" i="16"/>
  <c r="J2228" i="16"/>
  <c r="J2229" i="16"/>
  <c r="P2228" i="16"/>
  <c r="J2230" i="16"/>
  <c r="P2229" i="16"/>
  <c r="P2230" i="16"/>
  <c r="J2231" i="16"/>
  <c r="J2232" i="16"/>
  <c r="P2231" i="16"/>
  <c r="J2233" i="16"/>
  <c r="P2232" i="16"/>
  <c r="P2233" i="16"/>
  <c r="J2234" i="16"/>
  <c r="J2235" i="16"/>
  <c r="P2234" i="16"/>
  <c r="J2236" i="16"/>
  <c r="P2235" i="16"/>
  <c r="P2236" i="16"/>
  <c r="J2237" i="16"/>
  <c r="J2238" i="16"/>
  <c r="P2237" i="16"/>
  <c r="J2239" i="16"/>
  <c r="P2238" i="16"/>
  <c r="J2240" i="16"/>
  <c r="P2239" i="16"/>
  <c r="P2240" i="16"/>
  <c r="J2241" i="16"/>
  <c r="J2242" i="16"/>
  <c r="P2241" i="16"/>
  <c r="J2243" i="16"/>
  <c r="P2242" i="16"/>
  <c r="P2243" i="16"/>
  <c r="J2244" i="16"/>
  <c r="J2245" i="16"/>
  <c r="P2244" i="16"/>
  <c r="J2246" i="16"/>
  <c r="P2245" i="16"/>
  <c r="J2247" i="16"/>
  <c r="P2246" i="16"/>
  <c r="J2248" i="16"/>
  <c r="P2247" i="16"/>
  <c r="J2249" i="16"/>
  <c r="P2248" i="16"/>
  <c r="P2249" i="16"/>
  <c r="J2250" i="16"/>
  <c r="J2251" i="16"/>
  <c r="P2250" i="16"/>
  <c r="P2251" i="16"/>
  <c r="J2252" i="16"/>
  <c r="P2252" i="16"/>
  <c r="J2253" i="16"/>
  <c r="J2254" i="16"/>
  <c r="P2253" i="16"/>
  <c r="J2255" i="16"/>
  <c r="P2254" i="16"/>
  <c r="J2256" i="16"/>
  <c r="P2255" i="16"/>
  <c r="P2256" i="16"/>
  <c r="J2257" i="16"/>
  <c r="P2257" i="16"/>
  <c r="J2258" i="16"/>
  <c r="J2259" i="16"/>
  <c r="P2258" i="16"/>
  <c r="J2260" i="16"/>
  <c r="P2259" i="16"/>
  <c r="P2260" i="16"/>
  <c r="J2261" i="16"/>
  <c r="J2262" i="16"/>
  <c r="P2261" i="16"/>
  <c r="J2263" i="16"/>
  <c r="P2262" i="16"/>
  <c r="P2263" i="16"/>
  <c r="J2264" i="16"/>
  <c r="J2265" i="16"/>
  <c r="P2264" i="16"/>
  <c r="J2266" i="16"/>
  <c r="P2265" i="16"/>
  <c r="J2267" i="16"/>
  <c r="P2266" i="16"/>
  <c r="J2268" i="16"/>
  <c r="P2267" i="16"/>
  <c r="J2269" i="16"/>
  <c r="P2268" i="16"/>
  <c r="J2270" i="16"/>
  <c r="P2269" i="16"/>
  <c r="J2271" i="16"/>
  <c r="P2270" i="16"/>
  <c r="J2272" i="16"/>
  <c r="P2271" i="16"/>
  <c r="J2273" i="16"/>
  <c r="P2272" i="16"/>
  <c r="P2273" i="16"/>
  <c r="J2274" i="16"/>
  <c r="J2275" i="16"/>
  <c r="P2274" i="16"/>
  <c r="J2276" i="16"/>
  <c r="P2275" i="16"/>
  <c r="J2277" i="16"/>
  <c r="P2276" i="16"/>
  <c r="J2278" i="16"/>
  <c r="P2277" i="16"/>
  <c r="J2279" i="16"/>
  <c r="P2278" i="16"/>
  <c r="J2280" i="16"/>
  <c r="P2279" i="16"/>
  <c r="J2281" i="16"/>
  <c r="P2280" i="16"/>
  <c r="J2282" i="16"/>
  <c r="P2281" i="16"/>
  <c r="J2283" i="16"/>
  <c r="P2282" i="16"/>
  <c r="J2284" i="16"/>
  <c r="P2283" i="16"/>
  <c r="P2284" i="16"/>
  <c r="J2285" i="16"/>
  <c r="J2286" i="16"/>
  <c r="P2285" i="16"/>
  <c r="P2286" i="16"/>
  <c r="J2287" i="16"/>
  <c r="J2288" i="16"/>
  <c r="P2287" i="16"/>
  <c r="P2288" i="16"/>
  <c r="J2289" i="16"/>
  <c r="J2290" i="16"/>
  <c r="P2289" i="16"/>
  <c r="P2290" i="16"/>
  <c r="J2291" i="16"/>
  <c r="J2292" i="16"/>
  <c r="P2291" i="16"/>
  <c r="P2292" i="16"/>
  <c r="J2293" i="16"/>
  <c r="P2293" i="16"/>
  <c r="J2294" i="16"/>
  <c r="P2294" i="16"/>
  <c r="J2295" i="16"/>
  <c r="P2295" i="16"/>
  <c r="J2296" i="16"/>
  <c r="J2297" i="16"/>
  <c r="P2296" i="16"/>
  <c r="J2298" i="16"/>
  <c r="P2297" i="16"/>
  <c r="J2299" i="16"/>
  <c r="P2298" i="16"/>
  <c r="P2299" i="16"/>
  <c r="J2300" i="16"/>
  <c r="J2301" i="16"/>
  <c r="P2300" i="16"/>
  <c r="J2302" i="16"/>
  <c r="P2301" i="16"/>
  <c r="J2303" i="16"/>
  <c r="P2302" i="16"/>
  <c r="P2303" i="16"/>
  <c r="J2304" i="16"/>
  <c r="J2305" i="16"/>
  <c r="P2304" i="16"/>
  <c r="J2306" i="16"/>
  <c r="P2305" i="16"/>
  <c r="J2307" i="16"/>
  <c r="P2306" i="16"/>
  <c r="J2308" i="16"/>
  <c r="P2307" i="16"/>
  <c r="J2309" i="16"/>
  <c r="P2308" i="16"/>
  <c r="J2310" i="16"/>
  <c r="P2309" i="16"/>
  <c r="J2311" i="16"/>
  <c r="P2310" i="16"/>
  <c r="J2312" i="16"/>
  <c r="P2311" i="16"/>
  <c r="J2313" i="16"/>
  <c r="P2312" i="16"/>
  <c r="P2313" i="16"/>
  <c r="J2314" i="16"/>
  <c r="J2315" i="16"/>
  <c r="P2314" i="16"/>
  <c r="J2316" i="16"/>
  <c r="P2315" i="16"/>
  <c r="P2316" i="16"/>
  <c r="J2317" i="16"/>
  <c r="J2318" i="16"/>
  <c r="P2317" i="16"/>
  <c r="J2319" i="16"/>
  <c r="P2318" i="16"/>
  <c r="J2320" i="16"/>
  <c r="P2319" i="16"/>
  <c r="J2321" i="16"/>
  <c r="P2320" i="16"/>
  <c r="J2322" i="16"/>
  <c r="P2321" i="16"/>
  <c r="J2323" i="16"/>
  <c r="P2322" i="16"/>
  <c r="P2323" i="16"/>
  <c r="J2324" i="16"/>
  <c r="J2325" i="16"/>
  <c r="P2324" i="16"/>
  <c r="J2326" i="16"/>
  <c r="P2325" i="16"/>
  <c r="P2326" i="16"/>
  <c r="J2327" i="16"/>
  <c r="J2328" i="16"/>
  <c r="P2327" i="16"/>
  <c r="J2329" i="16"/>
  <c r="P2328" i="16"/>
  <c r="J2330" i="16"/>
  <c r="P2329" i="16"/>
  <c r="J2331" i="16"/>
  <c r="P2330" i="16"/>
  <c r="J2332" i="16"/>
  <c r="P2331" i="16"/>
  <c r="J2333" i="16"/>
  <c r="P2332" i="16"/>
  <c r="J2334" i="16"/>
  <c r="P2333" i="16"/>
  <c r="J2335" i="16"/>
  <c r="P2334" i="16"/>
  <c r="J2336" i="16"/>
  <c r="P2335" i="16"/>
  <c r="J2337" i="16"/>
  <c r="P2336" i="16"/>
  <c r="J2338" i="16"/>
  <c r="P2337" i="16"/>
  <c r="J2339" i="16"/>
  <c r="P2338" i="16"/>
  <c r="J2340" i="16"/>
  <c r="P2339" i="16"/>
  <c r="J2341" i="16"/>
  <c r="P2340" i="16"/>
  <c r="J2342" i="16"/>
  <c r="P2341" i="16"/>
  <c r="J2343" i="16"/>
  <c r="P2342" i="16"/>
  <c r="J2344" i="16"/>
  <c r="P2343" i="16"/>
  <c r="J2345" i="16"/>
  <c r="P2344" i="16"/>
  <c r="J2346" i="16"/>
  <c r="P2345" i="16"/>
  <c r="P2346" i="16"/>
  <c r="J2347" i="16"/>
  <c r="J2348" i="16"/>
  <c r="P2347" i="16"/>
  <c r="J2349" i="16"/>
  <c r="P2348" i="16"/>
  <c r="J2350" i="16"/>
  <c r="P2349" i="16"/>
  <c r="J2351" i="16"/>
  <c r="P2350" i="16"/>
  <c r="J2352" i="16"/>
  <c r="P2351" i="16"/>
  <c r="J2353" i="16"/>
  <c r="P2352" i="16"/>
  <c r="P2353" i="16"/>
  <c r="J2354" i="16"/>
  <c r="J2355" i="16"/>
  <c r="P2354" i="16"/>
  <c r="J2356" i="16"/>
  <c r="P2355" i="16"/>
  <c r="P2356" i="16"/>
  <c r="J2357" i="16"/>
  <c r="J2358" i="16"/>
  <c r="P2357" i="16"/>
  <c r="J2359" i="16"/>
  <c r="P2358" i="16"/>
  <c r="J2360" i="16"/>
  <c r="P2359" i="16"/>
  <c r="P2360" i="16"/>
  <c r="J2361" i="16"/>
  <c r="J2362" i="16"/>
  <c r="P2361" i="16"/>
  <c r="J2363" i="16"/>
  <c r="P2362" i="16"/>
  <c r="P2363" i="16"/>
  <c r="J2364" i="16"/>
  <c r="P2364" i="16"/>
  <c r="J2365" i="16"/>
  <c r="J2366" i="16"/>
  <c r="P2365" i="16"/>
  <c r="J2367" i="16"/>
  <c r="P2366" i="16"/>
  <c r="J2368" i="16"/>
  <c r="P2367" i="16"/>
  <c r="P2368" i="16"/>
  <c r="J2369" i="16"/>
  <c r="P2369" i="16"/>
  <c r="J2370" i="16"/>
  <c r="P2370" i="16"/>
  <c r="J2371" i="16"/>
  <c r="P2371" i="16"/>
  <c r="J2372" i="16"/>
  <c r="J2373" i="16"/>
  <c r="P2372" i="16"/>
  <c r="P2373" i="16"/>
  <c r="J2374" i="16"/>
  <c r="J2375" i="16"/>
  <c r="P2374" i="16"/>
  <c r="P2375" i="16"/>
  <c r="J2376" i="16"/>
  <c r="P2376" i="16"/>
  <c r="J2377" i="16"/>
  <c r="J2378" i="16"/>
  <c r="P2377" i="16"/>
  <c r="P2378" i="16"/>
  <c r="J2379" i="16"/>
  <c r="J2380" i="16"/>
  <c r="P2379" i="16"/>
  <c r="P2380" i="16"/>
  <c r="J2381" i="16"/>
  <c r="J2382" i="16"/>
  <c r="P2381" i="16"/>
  <c r="J2383" i="16"/>
  <c r="P2382" i="16"/>
  <c r="J2384" i="16"/>
  <c r="P2383" i="16"/>
  <c r="J2385" i="16"/>
  <c r="P2384" i="16"/>
  <c r="J2386" i="16"/>
  <c r="P2385" i="16"/>
  <c r="J2387" i="16"/>
  <c r="P2386" i="16"/>
  <c r="J2388" i="16"/>
  <c r="P2387" i="16"/>
  <c r="J2389" i="16"/>
  <c r="P2388" i="16"/>
  <c r="P2389" i="16"/>
  <c r="J2390" i="16"/>
  <c r="J2391" i="16"/>
  <c r="P2390" i="16"/>
  <c r="P2391" i="16"/>
  <c r="J2392" i="16"/>
  <c r="J2393" i="16"/>
  <c r="P2392" i="16"/>
  <c r="P2393" i="16"/>
  <c r="J2394" i="16"/>
  <c r="J2395" i="16"/>
  <c r="P2394" i="16"/>
  <c r="P2395" i="16"/>
  <c r="J2396" i="16"/>
  <c r="P2396" i="16"/>
  <c r="J2397" i="16"/>
  <c r="J2398" i="16"/>
  <c r="P2397" i="16"/>
  <c r="P2398" i="16"/>
  <c r="J2399" i="16"/>
  <c r="J2401" i="16"/>
  <c r="P2399" i="16"/>
  <c r="J2402" i="16"/>
  <c r="P2401" i="16"/>
  <c r="J2403" i="16"/>
  <c r="P2402" i="16"/>
  <c r="P2403" i="16"/>
  <c r="L41" i="20"/>
  <c r="J2404" i="16"/>
  <c r="J2405" i="16"/>
  <c r="P2404" i="16"/>
  <c r="M41" i="20"/>
  <c r="J2406" i="16"/>
  <c r="P2405" i="16"/>
  <c r="P2406" i="16"/>
  <c r="J2407" i="16"/>
  <c r="P2407" i="16"/>
  <c r="J2408" i="16"/>
  <c r="J2409" i="16"/>
  <c r="P2408" i="16"/>
  <c r="P2409" i="16"/>
  <c r="J2410" i="16"/>
  <c r="P2410" i="16"/>
  <c r="J2411" i="16"/>
  <c r="P2411" i="16"/>
  <c r="J2412" i="16"/>
  <c r="P2412" i="16"/>
  <c r="J2413" i="16"/>
  <c r="J2414" i="16"/>
  <c r="P2413" i="16"/>
  <c r="P2414" i="16"/>
  <c r="J2415" i="16"/>
  <c r="I15" i="16"/>
  <c r="L15" i="16"/>
  <c r="L42" i="20"/>
  <c r="L43" i="20"/>
  <c r="L44" i="20"/>
  <c r="L45" i="20"/>
  <c r="L46" i="20"/>
  <c r="L47" i="20"/>
  <c r="L52" i="20"/>
  <c r="L53" i="20"/>
  <c r="L54" i="20"/>
  <c r="L55" i="20"/>
  <c r="L56" i="20"/>
  <c r="L57" i="20"/>
  <c r="L50" i="20"/>
  <c r="L49" i="20"/>
  <c r="L62" i="20"/>
  <c r="L63" i="20"/>
  <c r="L58" i="20"/>
  <c r="L51" i="20"/>
  <c r="L60" i="20"/>
  <c r="L59" i="20"/>
  <c r="L64" i="20"/>
  <c r="M57" i="20"/>
  <c r="M46" i="20"/>
  <c r="M45" i="20"/>
  <c r="M58" i="20"/>
  <c r="M55" i="20"/>
  <c r="M44" i="20"/>
  <c r="M56" i="20"/>
  <c r="M63" i="20"/>
  <c r="M54" i="20"/>
  <c r="M43" i="20"/>
  <c r="M60" i="20"/>
  <c r="M62" i="20"/>
  <c r="M53" i="20"/>
  <c r="M42" i="20"/>
  <c r="M49" i="20"/>
  <c r="M52" i="20"/>
  <c r="M64" i="20"/>
  <c r="M50" i="20"/>
  <c r="J2416" i="16"/>
  <c r="P2416" i="16"/>
  <c r="L61" i="20"/>
  <c r="P2415" i="16"/>
  <c r="M51" i="20"/>
  <c r="M59" i="20"/>
  <c r="M47" i="20"/>
  <c r="M61" i="20"/>
  <c r="L48" i="20"/>
  <c r="I17" i="16"/>
  <c r="L17" i="16"/>
  <c r="M48" i="20"/>
  <c r="M29" i="20"/>
  <c r="J20" i="20"/>
  <c r="G21" i="25"/>
  <c r="J22" i="20"/>
  <c r="F30" i="23"/>
  <c r="F22" i="20"/>
  <c r="C22" i="20"/>
  <c r="G30" i="23"/>
  <c r="J30" i="23"/>
  <c r="H30" i="23"/>
  <c r="E30" i="23"/>
  <c r="D30" i="23"/>
  <c r="I30" i="23"/>
  <c r="K30" i="23"/>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<sst xmlns="http://schemas.openxmlformats.org/spreadsheetml/2006/main" count="10367" uniqueCount="1293">
  <si>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</si>
  <si>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</si>
  <si>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</si>
  <si>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</si>
  <si>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</si>
  <si>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</si>
  <si>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</si>
  <si>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</si>
  <si>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</si>
  <si>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</si>
  <si>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</si>
  <si>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</si>
  <si>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</si>
  <si>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</si>
  <si>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</si>
  <si>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</si>
  <si>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</si>
  <si>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</si>
  <si>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</si>
  <si>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</si>
  <si>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</si>
  <si>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</si>
  <si>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</si>
  <si>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</si>
  <si>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</si>
  <si>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</si>
  <si>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</si>
  <si>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</si>
  <si>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</si>
  <si>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</si>
  <si>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</si>
  <si>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</si>
  <si>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</si>
  <si>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</si>
  <si>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</si>
  <si>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</si>
  <si>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</si>
  <si>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</si>
  <si>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</si>
  <si>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</si>
  <si>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</si>
  <si>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</si>
  <si>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</si>
  <si>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</si>
  <si>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</si>
  <si>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</si>
  <si>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</si>
  <si>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</si>
  <si>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</si>
  <si>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</si>
  <si>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</si>
  <si>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</si>
  <si>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</si>
  <si>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</si>
  <si>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</si>
  <si>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</si>
  <si>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</si>
  <si>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</si>
  <si>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</si>
  <si>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</si>
  <si>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</si>
  <si>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</si>
  <si>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</si>
  <si>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</si>
  <si>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</si>
  <si>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</si>
  <si>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</si>
  <si>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</si>
  <si>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</si>
  <si>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</si>
  <si>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</si>
  <si>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</si>
  <si>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</si>
  <si>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</si>
  <si>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</si>
  <si>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</si>
  <si>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</si>
  <si>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</si>
  <si>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</si>
  <si>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</si>
  <si>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</si>
  <si>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</si>
  <si>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</si>
  <si>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</si>
  <si>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</si>
  <si>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</si>
  <si>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</si>
  <si>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</si>
  <si>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</si>
  <si>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</si>
  <si>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</si>
  <si>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</si>
  <si>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</si>
  <si>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</si>
  <si>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</si>
  <si>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</si>
  <si>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</si>
  <si>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</si>
  <si>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</si>
  <si>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</si>
  <si>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</si>
  <si>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</si>
  <si>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</si>
  <si>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</si>
  <si>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</si>
  <si>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</si>
  <si>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</si>
  <si>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</si>
  <si>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</si>
  <si>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</si>
  <si>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</si>
  <si>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</si>
  <si>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</si>
  <si>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</si>
  <si>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</si>
  <si>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</si>
  <si>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</si>
  <si>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</si>
  <si>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</si>
  <si>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</si>
  <si>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</si>
  <si>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</si>
  <si>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</si>
  <si>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</si>
  <si>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</si>
  <si>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</si>
  <si>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</si>
  <si>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</si>
  <si>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</si>
  <si>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</si>
  <si>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</si>
  <si>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</si>
  <si>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</si>
  <si>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</si>
  <si>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</si>
  <si>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</si>
  <si>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</si>
  <si>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</si>
  <si>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</si>
  <si>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</si>
  <si>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</si>
  <si>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</si>
  <si>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metres</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</si>
  <si>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</si>
  <si>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</si>
  <si>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</si>
  <si>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</si>
  <si>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</si>
  <si>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</si>
  <si>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</si>
  <si>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</si>
  <si>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</si>
  <si>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</si>
  <si>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</si>
  <si>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</si>
  <si>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</si>
  <si>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</si>
  <si>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</si>
  <si>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</si>
  <si>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</si>
  <si>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</si>
  <si>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</si>
  <si>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</si>
  <si>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</si>
  <si>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</si>
  <si>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</si>
  <si>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</si>
  <si>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</si>
  <si>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</si>
  <si>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</si>
  <si>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</si>
  <si>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</si>
  <si>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</si>
  <si>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</si>
  <si>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</si>
  <si>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</si>
  <si>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</si>
  <si>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</si>
  <si>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</si>
  <si>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</si>
  <si>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</si>
  <si>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</si>
  <si>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</si>
  <si>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</si>
  <si>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</si>
  <si>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</si>
  <si>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</si>
  <si>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</si>
  <si>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</si>
  <si>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</si>
  <si>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</si>
  <si>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</si>
  <si>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</si>
  <si>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</si>
  <si>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</si>
  <si>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</si>
  <si>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</si>
  <si>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</si>
  <si>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</si>
  <si>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</si>
  <si>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</si>
  <si>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</si>
  <si>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</si>
  <si>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</si>
  <si>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</si>
  <si>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</si>
  <si>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</si>
  <si>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</si>
  <si>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</si>
  <si>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</si>
  <si>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</si>
  <si>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</si>
  <si>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</si>
  <si>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</si>
  <si>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</si>
  <si>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</si>
  <si>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</si>
  <si>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</si>
  <si>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</si>
  <si>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</si>
  <si>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</si>
  <si>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</si>
  <si>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</si>
  <si>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</si>
  <si>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</si>
  <si>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</si>
  <si>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</si>
  <si>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</si>
  <si>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</si>
  <si>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</si>
  <si>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</si>
  <si>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</si>
  <si>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</si>
  <si>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</si>
  <si>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</si>
  <si>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</si>
  <si>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</si>
  <si>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</si>
  <si>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</si>
  <si>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</si>
  <si>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</si>
  <si>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</si>
  <si>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</si>
  <si>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</si>
  <si>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</si>
  <si>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</si>
  <si>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</si>
  <si>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</si>
  <si>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</si>
  <si>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</si>
  <si>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</si>
  <si>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</si>
  <si>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</si>
  <si>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</si>
  <si>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</si>
  <si>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</si>
  <si>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</si>
  <si>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</si>
  <si>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</si>
  <si>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</si>
  <si>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</si>
  <si>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</si>
  <si>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</si>
  <si>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</si>
  <si>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</si>
  <si>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</si>
  <si>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</si>
  <si>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</si>
  <si>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</si>
  <si>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</si>
  <si>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Non-residential</t>
  </si>
  <si>
    <t>N/A</t>
  </si>
  <si>
    <t>Annual water consumption</t>
  </si>
  <si>
    <t>Operating Costs</t>
  </si>
  <si>
    <t>Total revenue</t>
  </si>
  <si>
    <t>Demand, kL</t>
  </si>
  <si>
    <t>20mm equivalent</t>
  </si>
  <si>
    <t>Service revenue</t>
  </si>
  <si>
    <t>Usage revenue</t>
  </si>
  <si>
    <t>Mains</t>
  </si>
  <si>
    <t>Asset utilisation after 1 Jan 1996</t>
  </si>
  <si>
    <t>% Growth</t>
  </si>
  <si>
    <t>Rising mains</t>
  </si>
  <si>
    <t>WPS</t>
  </si>
  <si>
    <t>Pumping station</t>
  </si>
  <si>
    <t>Reservior</t>
  </si>
  <si>
    <t>check</t>
  </si>
  <si>
    <t>Total in this file</t>
  </si>
  <si>
    <t>Total in original file</t>
  </si>
  <si>
    <t>Diff</t>
  </si>
  <si>
    <t>PRO10012769</t>
  </si>
  <si>
    <t>June 2020-21</t>
  </si>
  <si>
    <t>Actual</t>
  </si>
  <si>
    <t>June 2021-22</t>
  </si>
  <si>
    <t>June 2022-23</t>
  </si>
  <si>
    <t>CPI</t>
  </si>
  <si>
    <t>PRO20024814</t>
  </si>
  <si>
    <t>PRO20023534</t>
  </si>
  <si>
    <t>PRO20021257</t>
  </si>
  <si>
    <t>PRO10006176</t>
  </si>
  <si>
    <t>PRO20028240</t>
  </si>
  <si>
    <t>PRO20031673</t>
  </si>
  <si>
    <t>Potts Hill</t>
  </si>
  <si>
    <t>WOA13571</t>
  </si>
  <si>
    <t>WOA18577</t>
  </si>
  <si>
    <t>WN1035333</t>
  </si>
  <si>
    <t>WO 70025</t>
  </si>
  <si>
    <t>WO 71186</t>
  </si>
  <si>
    <t>WO 71188</t>
  </si>
  <si>
    <t>WO 71189</t>
  </si>
  <si>
    <t>WO 92148</t>
  </si>
  <si>
    <t>WO103497</t>
  </si>
  <si>
    <t>WO103498</t>
  </si>
  <si>
    <t>WN103618</t>
  </si>
  <si>
    <t>WO 84357</t>
  </si>
  <si>
    <t>WO 70794</t>
  </si>
  <si>
    <t>WO 30906</t>
  </si>
  <si>
    <t>WO 90333</t>
  </si>
  <si>
    <t>WOA 14219</t>
  </si>
  <si>
    <t>WO 93369</t>
  </si>
  <si>
    <t>Botany Rd / Bumborah Point Rd / Friendship Rd, Port Botany</t>
  </si>
  <si>
    <t>Port Botany Expansion - Botany Rd to Friendship Rd, Botany</t>
  </si>
  <si>
    <t>900mm SCL from Crewe Pl to Southern Cross Drive</t>
  </si>
  <si>
    <t>Link Main, Newton St / Jennings St, Alexandria</t>
  </si>
  <si>
    <t xml:space="preserve"> Sydney &amp; Randwick Feeder Main</t>
  </si>
  <si>
    <t>Malabar Heights 300mm Main</t>
  </si>
  <si>
    <t>Malabar Heights 250mm Main</t>
  </si>
  <si>
    <t>Malabar Heights 150mm Main</t>
  </si>
  <si>
    <t>Malabar Heights 100mm Main</t>
  </si>
  <si>
    <t>Centennial -Newtown Outlet Main (500 dia. replaces 375 dia.)</t>
  </si>
  <si>
    <t>Centennial -Newtown Outlet Main (500 dia. replaces 150 dia.)</t>
  </si>
  <si>
    <t xml:space="preserve">Centennial -Newtown Outlet Main </t>
  </si>
  <si>
    <t>Centennial -Newtown Outlet Main (375 dia.replaces 100 dia.)</t>
  </si>
  <si>
    <t>Barker St, Kingsford Amplification</t>
  </si>
  <si>
    <t>Dalmeny Ave, Rosebery Amplification</t>
  </si>
  <si>
    <t>Centennial Park Link Main</t>
  </si>
  <si>
    <t>Link Main / Extension - Lawson St, Redfern</t>
  </si>
  <si>
    <t>Extension Bennelong Rd, Homebush</t>
  </si>
  <si>
    <t>Linkmain Amplification, Adderly St West to Deakin St</t>
  </si>
  <si>
    <t>SUTHERLAND RES. INLET MAIN AMPLIFICATION</t>
  </si>
  <si>
    <t xml:space="preserve">BELLINGARA ROAD, MIRANDA (300 REPLACES 250)  </t>
  </si>
  <si>
    <t>LINK MAIN - PINNACLE ST. TO SYLVANIA RD, MIRANDA</t>
  </si>
  <si>
    <t>LINK MAIN - PINES PDE TO PRESIDENT AV, GYMEA</t>
  </si>
  <si>
    <t>LINK MAIN - AMITAF AVE TO TAREN RD STH, CARINGBAH</t>
  </si>
  <si>
    <t>LINK-PRICES CCT TO PRINCE EDWARD PK, WORONORA</t>
  </si>
  <si>
    <t>Extension,Norfolk Road, Bankstown/  Bankstown LGA</t>
  </si>
  <si>
    <t>Amplification, Marion Street, Bankstown/   Bankstown LGA</t>
  </si>
  <si>
    <t>Amplification, Johnston Road, Bankstown /Bankstown LGA</t>
  </si>
  <si>
    <t>Normal Extension, Rookwood Road, Bankstown / Bankstown LGA</t>
  </si>
  <si>
    <t>Amplification, Pemberton Road, Strathfield  / Strathfield LGA</t>
  </si>
  <si>
    <t>Extension, Joseph Street, Auburn  / Auburn LGA</t>
  </si>
  <si>
    <t>Extension, Hume Highway &amp; Johnston Road, Bankstown/  Bankstown LGA</t>
  </si>
  <si>
    <t>Extension, Hector Street, Bankstown / Bankstown LGA</t>
  </si>
  <si>
    <t>Amplification, Villiers Road, Padstow</t>
  </si>
  <si>
    <t>East Hills Res Rising Main from WPS 3 to Punchbowl Rd</t>
  </si>
  <si>
    <t xml:space="preserve">Amplification, Davies Road, Padstow </t>
  </si>
  <si>
    <t>Amplification, Davies Road, Padstow / Bankstown LGA</t>
  </si>
  <si>
    <t>Amplification, Davies &amp; Fairfords Roads, Padstow</t>
  </si>
  <si>
    <t>Amplification, Davies Road, Padstow</t>
  </si>
  <si>
    <t>Hillcrest Street, from WPS 3 to Rossmore Street</t>
  </si>
  <si>
    <t xml:space="preserve">Amplification, Tower Street, Panania </t>
  </si>
  <si>
    <t>Amplification, Ferndell Rd &amp; Kennedy St, Panania</t>
  </si>
  <si>
    <t>Amplification, Lawler St,  Panania (near WS 166)</t>
  </si>
  <si>
    <t>Amplification, Fairford Road</t>
  </si>
  <si>
    <t>EXTEND/LINK-CANARYS RD RES TO KING GEORGES RD</t>
  </si>
  <si>
    <t>AMPLIFICATION FROM CANTERBURY RD TO BELMORE RD VIA WIGGS RD &amp; MOXON RD</t>
  </si>
  <si>
    <t>AMPLIFICATION FROM CHAPEL RD TO PUNCHBOWL RD</t>
  </si>
  <si>
    <t>AMPLIFICATION / EXTENSION - REMLY ST TO CHAPEL ST</t>
  </si>
  <si>
    <t>AMPLIFICATION LUGARNO PARADE, LUGARNO</t>
  </si>
  <si>
    <t>AMPLIFICATION, KING GEORGES RD WILEY PARK</t>
  </si>
  <si>
    <t>PENSHURST RES ZONE - MAVIS AVE TO LUGARNO WPS32</t>
  </si>
  <si>
    <t>AMPLIFICATION / RENEWAL WANGEE ROAD, LAKEMBA</t>
  </si>
  <si>
    <t>AMPLIFICATION WPS 3 WILEY PK TO PUNCHBOWL RD</t>
  </si>
  <si>
    <t xml:space="preserve">WATERMAIN AMPLIFICATION NORMAN ST PEAKHURST </t>
  </si>
  <si>
    <t>Junction Rd, Narwee (Hurstville)</t>
  </si>
  <si>
    <t>LINK MAIN AUGUSTA &amp; WIGGS RDS D PUNCHBOWL</t>
  </si>
  <si>
    <t>LINK MAIN HUNTER ST TO COLERIDGE ST RIVERWOOD</t>
  </si>
  <si>
    <t>LINK MAIN CLARKE ST TO JOHNSTONE ST PEAKHURST</t>
  </si>
  <si>
    <t xml:space="preserve">LINK MAIN LYLA ST TO MOUNTVIEW AV NARWEE </t>
  </si>
  <si>
    <t>LINK MAIN LOBB CRES. TO LILLIPILLI BEVERLEY PARK</t>
  </si>
  <si>
    <t>LINK MAIN BRAMSTON AV EARLWOOD</t>
  </si>
  <si>
    <t>LINK MAIN BARR ST TO BALMORAL RD MORTDALE</t>
  </si>
  <si>
    <t>LINK MAIN MACPHERSON ST TO CROOT ST HURSTVILLE</t>
  </si>
  <si>
    <t>LINK MAIN HODGE ST TO LOW ST HURSTVILLE</t>
  </si>
  <si>
    <t xml:space="preserve">RENEWAL / AMPLIFICATION WILEY PK RES ZONE  </t>
  </si>
  <si>
    <t>Amplification and Renewal</t>
  </si>
  <si>
    <t>To service areas in Bankstown Reservoir Zone - Installation of 4th pumping unit
Installation of 4th pumping unit</t>
  </si>
  <si>
    <t>To Service Growth in Blakehurst Area</t>
  </si>
  <si>
    <t>2 units amplified to 300 KW from 150 KW</t>
  </si>
  <si>
    <t>To Service Growth in Lugarno Area</t>
  </si>
  <si>
    <t>WO30696</t>
  </si>
  <si>
    <t xml:space="preserve">To Service Growth in Sutherland Subsystem </t>
  </si>
  <si>
    <t>Stage 2 - To Service Growth in Allawah Zone</t>
  </si>
  <si>
    <t>CN41943</t>
  </si>
  <si>
    <t>10011142-14</t>
  </si>
  <si>
    <t>PN. 110059</t>
  </si>
  <si>
    <t>103889</t>
  </si>
  <si>
    <t>110312</t>
  </si>
  <si>
    <t>180033</t>
  </si>
  <si>
    <t>180061</t>
  </si>
  <si>
    <t>180073</t>
  </si>
  <si>
    <t>110281</t>
  </si>
  <si>
    <t>10004009-3</t>
  </si>
  <si>
    <t>10006276-01</t>
  </si>
  <si>
    <t>1001044</t>
  </si>
  <si>
    <t>10004089</t>
  </si>
  <si>
    <t>10005205-1</t>
  </si>
  <si>
    <t>1001338</t>
  </si>
  <si>
    <t>10011706</t>
  </si>
  <si>
    <t xml:space="preserve"> 60030PW</t>
  </si>
  <si>
    <t>10003836-7</t>
  </si>
  <si>
    <t>10004011-4</t>
  </si>
  <si>
    <t>10004011-6</t>
  </si>
  <si>
    <t>020940</t>
  </si>
  <si>
    <t>10005205-07</t>
  </si>
  <si>
    <t>10005882-02</t>
  </si>
  <si>
    <t>10005882-17</t>
  </si>
  <si>
    <t>10005882-19</t>
  </si>
  <si>
    <t>CN47808</t>
  </si>
  <si>
    <t>1000146</t>
  </si>
  <si>
    <t>10004122</t>
  </si>
  <si>
    <t>10004123</t>
  </si>
  <si>
    <t>1000721</t>
  </si>
  <si>
    <t>1001184</t>
  </si>
  <si>
    <t>10004011-7</t>
  </si>
  <si>
    <t>10004916</t>
  </si>
  <si>
    <t>10004124</t>
  </si>
  <si>
    <t xml:space="preserve"> CN12696</t>
  </si>
  <si>
    <t>10005219-02</t>
  </si>
  <si>
    <t>10005882-03</t>
  </si>
  <si>
    <t>1001355</t>
  </si>
  <si>
    <t xml:space="preserve"> CN47808</t>
  </si>
  <si>
    <t>10008277-11</t>
  </si>
  <si>
    <t xml:space="preserve"> CN46609</t>
  </si>
  <si>
    <t xml:space="preserve"> CN49468</t>
  </si>
  <si>
    <t xml:space="preserve"> CN14046</t>
  </si>
  <si>
    <t>PRO110317</t>
  </si>
  <si>
    <t>CN 16317</t>
  </si>
  <si>
    <t>CN 19347</t>
  </si>
  <si>
    <t>CN38938</t>
  </si>
  <si>
    <t>PRO10004340-6</t>
  </si>
  <si>
    <t>CASE13503</t>
  </si>
  <si>
    <t>PRO10004008</t>
  </si>
  <si>
    <t>PRO10004008-14</t>
  </si>
  <si>
    <t>CASE 31344</t>
  </si>
  <si>
    <t>PRO10004008-15</t>
  </si>
  <si>
    <t>PRO109623</t>
  </si>
  <si>
    <t>CN25682</t>
  </si>
  <si>
    <t>CN48836</t>
  </si>
  <si>
    <t>CN57762</t>
  </si>
  <si>
    <t>10004010-1</t>
  </si>
  <si>
    <t>10004010-3</t>
  </si>
  <si>
    <t>10004010-2</t>
  </si>
  <si>
    <t>10003835-1</t>
  </si>
  <si>
    <t>10005205-06</t>
  </si>
  <si>
    <t>10008277-08</t>
  </si>
  <si>
    <t>10009837-17</t>
  </si>
  <si>
    <t>10009836-07</t>
  </si>
  <si>
    <t>10009828-19</t>
  </si>
  <si>
    <t>PRO10004008-11</t>
  </si>
  <si>
    <t>PRO100061765</t>
  </si>
  <si>
    <t>PRO20020337-07288</t>
  </si>
  <si>
    <t>PRO10004008-17</t>
  </si>
  <si>
    <t>CASE119096PW</t>
  </si>
  <si>
    <t>CASE119062PW</t>
  </si>
  <si>
    <t>CASE117529PW</t>
  </si>
  <si>
    <t>CASE120757PW</t>
  </si>
  <si>
    <t>CASE116054PW</t>
  </si>
  <si>
    <t>CASE119390PW</t>
  </si>
  <si>
    <t>CASE121476PW</t>
  </si>
  <si>
    <t>CASE122312PW</t>
  </si>
  <si>
    <t>CASE125616PW</t>
  </si>
  <si>
    <t>CASE119755PW</t>
  </si>
  <si>
    <t>CASE122527PW</t>
  </si>
  <si>
    <t>CASE126047PW</t>
  </si>
  <si>
    <t>CASE126641PW</t>
  </si>
  <si>
    <t>CASE124819PW</t>
  </si>
  <si>
    <t>CASE124577PW</t>
  </si>
  <si>
    <t>CASE123825PW</t>
  </si>
  <si>
    <t>CASE127763PW</t>
  </si>
  <si>
    <t>CASE121235PW</t>
  </si>
  <si>
    <t>CASE128274PW</t>
  </si>
  <si>
    <t>CASE129154PW</t>
  </si>
  <si>
    <t>CASE122528PW</t>
  </si>
  <si>
    <t>CASE129866PW</t>
  </si>
  <si>
    <t>CASE123586PW</t>
  </si>
  <si>
    <t>CASE75743PW</t>
  </si>
  <si>
    <t>CASE152313PW</t>
  </si>
  <si>
    <t>CASE145024PW</t>
  </si>
  <si>
    <t>CASE79254PW</t>
  </si>
  <si>
    <t>PRO10007938-01</t>
  </si>
  <si>
    <t>CASE89445PW</t>
  </si>
  <si>
    <t>CASE161767PW</t>
  </si>
  <si>
    <t>CASE111943PW</t>
  </si>
  <si>
    <t>CASE152040PW</t>
  </si>
  <si>
    <t>CASE159563PW</t>
  </si>
  <si>
    <t>CASE140489PW</t>
  </si>
  <si>
    <t>CASE134946PW</t>
  </si>
  <si>
    <t>CASE168141PW</t>
  </si>
  <si>
    <t>CASE127767PW</t>
  </si>
  <si>
    <t>CASE144973PW</t>
  </si>
  <si>
    <t>CASE161777PW</t>
  </si>
  <si>
    <t>CASE144977PW</t>
  </si>
  <si>
    <t>CASE148747PW</t>
  </si>
  <si>
    <t>CASE148748PW</t>
  </si>
  <si>
    <t>CASE114592PW</t>
  </si>
  <si>
    <t>CASE145790PW</t>
  </si>
  <si>
    <t>CASE126704PW</t>
  </si>
  <si>
    <t>CASE150011PW</t>
  </si>
  <si>
    <t>CASE130965PW</t>
  </si>
  <si>
    <t>CASE132912PW</t>
  </si>
  <si>
    <t>CASE128251PW</t>
  </si>
  <si>
    <t>CASE159965PW</t>
  </si>
  <si>
    <t>PRO20023678-12097</t>
  </si>
  <si>
    <t>CASE126693PW</t>
  </si>
  <si>
    <t>CASE130816PW</t>
  </si>
  <si>
    <t>CASE119353PW</t>
  </si>
  <si>
    <t>CASE126917PW</t>
  </si>
  <si>
    <t>PRO10004435</t>
  </si>
  <si>
    <t>CASE128047PW</t>
  </si>
  <si>
    <t>CASE150573PW</t>
  </si>
  <si>
    <t>CASE150572PW</t>
  </si>
  <si>
    <t>CASE129799PW</t>
  </si>
  <si>
    <t>CASE102426PW</t>
  </si>
  <si>
    <t>CASE110714PW</t>
  </si>
  <si>
    <t>CASE149972PW</t>
  </si>
  <si>
    <t>CASE117048PW</t>
  </si>
  <si>
    <t>CASE152285PW</t>
  </si>
  <si>
    <t>CASE122650PW</t>
  </si>
  <si>
    <t>CASE154505PW</t>
  </si>
  <si>
    <t>CASE118066PW</t>
  </si>
  <si>
    <t>CASE114195PW</t>
  </si>
  <si>
    <t>CASE146993PW</t>
  </si>
  <si>
    <t>CASE147995PW</t>
  </si>
  <si>
    <t>CASE149305PW</t>
  </si>
  <si>
    <t>CASE137003PW</t>
  </si>
  <si>
    <t>CASE102241PW</t>
  </si>
  <si>
    <t>CASE105757PW</t>
  </si>
  <si>
    <t>CASE142662PW</t>
  </si>
  <si>
    <t>CASE141277PW</t>
  </si>
  <si>
    <t>CASE149580PW</t>
  </si>
  <si>
    <t>CASE138584PW</t>
  </si>
  <si>
    <t>CASE155253PW</t>
  </si>
  <si>
    <t>CASE112011PW</t>
  </si>
  <si>
    <t>CASE101792PW</t>
  </si>
  <si>
    <t>PRO20023969-13121</t>
  </si>
  <si>
    <t>CASE111273PW</t>
  </si>
  <si>
    <t>PRO20023047-11041</t>
  </si>
  <si>
    <t>CASE106057PW</t>
  </si>
  <si>
    <t>CASE104492PW</t>
  </si>
  <si>
    <t>PRO20022931-10453</t>
  </si>
  <si>
    <t>CASE86496PW</t>
  </si>
  <si>
    <t>PRO20020157-32</t>
  </si>
  <si>
    <t>CASE111476PW</t>
  </si>
  <si>
    <t>CASE148709PW</t>
  </si>
  <si>
    <t>CASE129995PW</t>
  </si>
  <si>
    <t>PRO10012784</t>
  </si>
  <si>
    <t>CASE169758PW</t>
  </si>
  <si>
    <t>CASE112428PW</t>
  </si>
  <si>
    <t>CASE133080PW</t>
  </si>
  <si>
    <t>CASE77746PW</t>
  </si>
  <si>
    <t>CASE103540PW</t>
  </si>
  <si>
    <t>PRO10011759-01342</t>
  </si>
  <si>
    <t>CASE145196PW</t>
  </si>
  <si>
    <t>CASE131889PW</t>
  </si>
  <si>
    <t>PRO1006636</t>
  </si>
  <si>
    <t>CASE103489PW</t>
  </si>
  <si>
    <t>CASE71081PW</t>
  </si>
  <si>
    <t>CASE111066PW</t>
  </si>
  <si>
    <t>CASE134038PW</t>
  </si>
  <si>
    <t>CASE76552PW</t>
  </si>
  <si>
    <t>CASE117757PW</t>
  </si>
  <si>
    <t>CASE112992PW</t>
  </si>
  <si>
    <t>CASE172550PW</t>
  </si>
  <si>
    <t>PRO20028072</t>
  </si>
  <si>
    <t>CASE131533PW</t>
  </si>
  <si>
    <t>CASE85302PW</t>
  </si>
  <si>
    <t>PRO20027116</t>
  </si>
  <si>
    <t>CASE126305PW</t>
  </si>
  <si>
    <t>CASE139612PW</t>
  </si>
  <si>
    <t>CASE139609PW</t>
  </si>
  <si>
    <t>PRO20027048-B02073</t>
  </si>
  <si>
    <t>CASE136111PW</t>
  </si>
  <si>
    <t>PRO20026725</t>
  </si>
  <si>
    <t>PRO20032150</t>
  </si>
  <si>
    <t>PRO20033525</t>
  </si>
  <si>
    <t>PRO20032629</t>
  </si>
  <si>
    <t>PRO20032774</t>
  </si>
  <si>
    <t>PRO20029431</t>
  </si>
  <si>
    <t>PRO20033486</t>
  </si>
  <si>
    <t>PRO20034963</t>
  </si>
  <si>
    <t>PRO20035670</t>
  </si>
  <si>
    <t>PRO20026920-TM1301</t>
  </si>
  <si>
    <t>PRO20022085-9238</t>
  </si>
  <si>
    <t>PRO20024524-TM50001</t>
  </si>
  <si>
    <t>PRO20021317-8648</t>
  </si>
  <si>
    <t>PRO20020242-TM10010</t>
  </si>
  <si>
    <t>PRO20026920</t>
  </si>
  <si>
    <t>PRO20030690</t>
  </si>
  <si>
    <t>CASE131433PW</t>
  </si>
  <si>
    <t>PRO10011143-31</t>
  </si>
  <si>
    <t>PRO10011759-00675</t>
  </si>
  <si>
    <t>PRO10011759-00725</t>
  </si>
  <si>
    <t>CASE148815PW</t>
  </si>
  <si>
    <t>CASE148786PW</t>
  </si>
  <si>
    <t>CASE148785PW</t>
  </si>
  <si>
    <t>CASE148814PW</t>
  </si>
  <si>
    <t>PRO20023680-12413</t>
  </si>
  <si>
    <t>PRO20026919</t>
  </si>
  <si>
    <t>PRO20026918</t>
  </si>
  <si>
    <t>PRO20020242-TM10007</t>
  </si>
  <si>
    <t>PRO10012070-27</t>
  </si>
  <si>
    <t>PRO20026121</t>
  </si>
  <si>
    <t>PRO10011145-06</t>
  </si>
  <si>
    <t>PRO20022757</t>
  </si>
  <si>
    <t>PRO20031218</t>
  </si>
  <si>
    <t>PRO20021317-8203</t>
  </si>
  <si>
    <t>CASE148744PW</t>
  </si>
  <si>
    <t>PRO20024656-14286</t>
  </si>
  <si>
    <t>CASE144972PW</t>
  </si>
  <si>
    <t>CASE148745PW</t>
  </si>
  <si>
    <t>PRO20026318-T1104</t>
  </si>
  <si>
    <t>PRO20024524-TM50004</t>
  </si>
  <si>
    <t>CASE139932PW</t>
  </si>
  <si>
    <t>CASE127893PW</t>
  </si>
  <si>
    <t>PRO10011145-08</t>
  </si>
  <si>
    <t>CASE144983PW</t>
  </si>
  <si>
    <t>PRO20026318-T1105</t>
  </si>
  <si>
    <t>PRO20022104-TM20005</t>
  </si>
  <si>
    <t>CASE144984PW</t>
  </si>
  <si>
    <t>CASE144975PW</t>
  </si>
  <si>
    <t>CASE159237PW</t>
  </si>
  <si>
    <t>CASE144976PW</t>
  </si>
  <si>
    <t>CASE148746PW</t>
  </si>
  <si>
    <t>PRO20025188-T06011</t>
  </si>
  <si>
    <t>CASE116714PW</t>
  </si>
  <si>
    <t>CASE144978PW</t>
  </si>
  <si>
    <t>PRO20020242-TM10002</t>
  </si>
  <si>
    <t>PRO10013089-38</t>
  </si>
  <si>
    <t>PRO20022084-09118</t>
  </si>
  <si>
    <t>PRO20032003</t>
  </si>
  <si>
    <t>PRO20022084-09140</t>
  </si>
  <si>
    <t>CASE145834PW</t>
  </si>
  <si>
    <t>CASE145833PW</t>
  </si>
  <si>
    <t>CASE150251PW</t>
  </si>
  <si>
    <t>PRO20028906</t>
  </si>
  <si>
    <t>CASE145835PW</t>
  </si>
  <si>
    <t>PRO20020242-TM10003</t>
  </si>
  <si>
    <t>PRO20023969-13038</t>
  </si>
  <si>
    <t>CASE160868PW</t>
  </si>
  <si>
    <t>PRO20022930-10021</t>
  </si>
  <si>
    <t>PRO20025979-18064</t>
  </si>
  <si>
    <t>PRO20025451</t>
  </si>
  <si>
    <t>CASE150812PW</t>
  </si>
  <si>
    <t>PRO20022959</t>
  </si>
  <si>
    <t>PRO20032593</t>
  </si>
  <si>
    <t>PRO20021316-08637</t>
  </si>
  <si>
    <t>PRO20020336-06105</t>
  </si>
  <si>
    <t>PRO20023932</t>
  </si>
  <si>
    <t>PRO20020757</t>
  </si>
  <si>
    <t>PRO00110266</t>
  </si>
  <si>
    <t>PRO20020121</t>
  </si>
  <si>
    <t>CASE150536PW</t>
  </si>
  <si>
    <t>PRO20022164-TM20004</t>
  </si>
  <si>
    <t>CASE150538PW</t>
  </si>
  <si>
    <t>PRO20022104-TM20001</t>
  </si>
  <si>
    <t>PRO20033400</t>
  </si>
  <si>
    <t>PRO20022082-TM30012</t>
  </si>
  <si>
    <t>CASE149971PW</t>
  </si>
  <si>
    <t>CASE147485PW</t>
  </si>
  <si>
    <t>PRO20022930-10438</t>
  </si>
  <si>
    <t>PRO20022084-09102</t>
  </si>
  <si>
    <t>PRO20027359-B09082</t>
  </si>
  <si>
    <t>CASE151746PW</t>
  </si>
  <si>
    <t>PRO20028450</t>
  </si>
  <si>
    <t>PRO20022930-10416</t>
  </si>
  <si>
    <t>PRO20021316-08680</t>
  </si>
  <si>
    <t>PRO20023046-11109</t>
  </si>
  <si>
    <t>PRO20022082-TM30019</t>
  </si>
  <si>
    <t>PRO2002845</t>
  </si>
  <si>
    <t>CASE138847PW</t>
  </si>
  <si>
    <t>PRO20022082-TM30010</t>
  </si>
  <si>
    <t>PRO20026725-TM1212</t>
  </si>
  <si>
    <t>PRO20026020-TM1007</t>
  </si>
  <si>
    <t>PRO20030626</t>
  </si>
  <si>
    <t>PRO20020157-23</t>
  </si>
  <si>
    <t>PRO20021459</t>
  </si>
  <si>
    <t>PRO20021459SPNP009</t>
  </si>
  <si>
    <t>PRO20025975</t>
  </si>
  <si>
    <t>PRO20020337-07233</t>
  </si>
  <si>
    <t>PRO20021316-08602</t>
  </si>
  <si>
    <t>PRO20021459-SPNP009</t>
  </si>
  <si>
    <t>PRO20025188-T06006</t>
  </si>
  <si>
    <t>PRO0021459</t>
  </si>
  <si>
    <t>PRO20021316-08347</t>
  </si>
  <si>
    <t>PRO20025560-T07003</t>
  </si>
  <si>
    <t>PRO20032002</t>
  </si>
  <si>
    <t>PRO20022931-10065</t>
  </si>
  <si>
    <t>PRO20023969-13401</t>
  </si>
  <si>
    <t>PRO20025188-T06005</t>
  </si>
  <si>
    <t>PRO20021317-8321</t>
  </si>
  <si>
    <t>PRO20023678-12417</t>
  </si>
  <si>
    <t>PRO20020242-TM10011</t>
  </si>
  <si>
    <t>PRO20021317-8073</t>
  </si>
  <si>
    <t>PRO20026725-T1205</t>
  </si>
  <si>
    <t>PRO20025412-17220</t>
  </si>
  <si>
    <t>PRO20027048-B05070</t>
  </si>
  <si>
    <t>CASE103888PW</t>
  </si>
  <si>
    <t>PRO20021317-8749</t>
  </si>
  <si>
    <t>PRO10011759-00718</t>
  </si>
  <si>
    <t>PRO20023680-12410</t>
  </si>
  <si>
    <t>PRO20032828</t>
  </si>
  <si>
    <t>PRO20031291</t>
  </si>
  <si>
    <t>PRO20023969</t>
  </si>
  <si>
    <t>CASE148877PW</t>
  </si>
  <si>
    <t>PRO20026725-T1206</t>
  </si>
  <si>
    <t>PRO20022931-10411</t>
  </si>
  <si>
    <t>PRO20025412-17244</t>
  </si>
  <si>
    <t>PRO20023920-TM40002</t>
  </si>
  <si>
    <t>PRO 20029012</t>
  </si>
  <si>
    <t>PRO20029012</t>
  </si>
  <si>
    <t>PRO20020242-TM10012</t>
  </si>
  <si>
    <t>PRO20025979-18310</t>
  </si>
  <si>
    <t>PRO20022930-10413</t>
  </si>
  <si>
    <t>PRO10011759-01396</t>
  </si>
  <si>
    <t>PRO20024656-14265</t>
  </si>
  <si>
    <t>PRO20035181</t>
  </si>
  <si>
    <t>PRO20034895</t>
  </si>
  <si>
    <t>PRO20020337-07400</t>
  </si>
  <si>
    <t>PRO20026020-T1006</t>
  </si>
  <si>
    <t>PRO20024872</t>
  </si>
  <si>
    <t>PRO10011933</t>
  </si>
  <si>
    <t>PRO10011933-TM0006</t>
  </si>
  <si>
    <t>PRO10011145-05</t>
  </si>
  <si>
    <t>PRO10013089-20</t>
  </si>
  <si>
    <t>20026419-19081</t>
  </si>
  <si>
    <t>PRO10011759-00060</t>
  </si>
  <si>
    <t>PRO20022084-09009</t>
  </si>
  <si>
    <t>PRO20025188-T06004</t>
  </si>
  <si>
    <t>PRO20027359-B17155</t>
  </si>
  <si>
    <t>PRO20023969-13163</t>
  </si>
  <si>
    <t>PRO10005205-07</t>
  </si>
  <si>
    <t>PRO10011141-08</t>
  </si>
  <si>
    <t>PRO20023678-12426</t>
  </si>
  <si>
    <t>PRO20026419-19158</t>
  </si>
  <si>
    <t>PRO20024750</t>
  </si>
  <si>
    <t>PRO10011759-01552</t>
  </si>
  <si>
    <t>PRO200222931-10069</t>
  </si>
  <si>
    <t>CASE109797PW</t>
  </si>
  <si>
    <t>PRO20021317-8448</t>
  </si>
  <si>
    <t>PRO20026921</t>
  </si>
  <si>
    <t>PRO20028553</t>
  </si>
  <si>
    <t>CASE109796PW</t>
  </si>
  <si>
    <t>PRO20022930-10429</t>
  </si>
  <si>
    <t>PRO20024524-TM50003</t>
  </si>
  <si>
    <t>CASE109798PW</t>
  </si>
  <si>
    <t>PRO20022930-10500</t>
  </si>
  <si>
    <t>PRO20022930-10426</t>
  </si>
  <si>
    <t>PRO20023680-12377</t>
  </si>
  <si>
    <t>PRO20021316-08694</t>
  </si>
  <si>
    <t>WS0362P02</t>
  </si>
  <si>
    <t>CASE136373PW</t>
  </si>
  <si>
    <t>PRO20032520</t>
  </si>
  <si>
    <t>PRO10011372</t>
  </si>
  <si>
    <t>PRO20020242-TM10001</t>
  </si>
  <si>
    <t>PRO20022082-TM30004</t>
  </si>
  <si>
    <t>CASE139782PW</t>
  </si>
  <si>
    <t>PRO20025761</t>
  </si>
  <si>
    <t>PRO20022084-09335</t>
  </si>
  <si>
    <t>PRO20020337-07193</t>
  </si>
  <si>
    <t>PRO20032591</t>
  </si>
  <si>
    <t>PRO20032590</t>
  </si>
  <si>
    <t>PRO10012368-33</t>
  </si>
  <si>
    <t>PRO20025188-T06008</t>
  </si>
  <si>
    <t>PRO10005560</t>
  </si>
  <si>
    <t>PRO20026156</t>
  </si>
  <si>
    <t>CASE104867PW</t>
  </si>
  <si>
    <t>Dunning Ave Queen St, Rosebery</t>
  </si>
  <si>
    <t>O'Riordan St near King St, Botany Bay</t>
  </si>
  <si>
    <t>Coward St west of Coggins Pl, Mascot</t>
  </si>
  <si>
    <t>Ralph St near Gillespie St, Rosebery</t>
  </si>
  <si>
    <t>Mandible St near Windham St, Alexandria</t>
  </si>
  <si>
    <t>Morley St near Dunning Ave , Rosebery</t>
  </si>
  <si>
    <t>Sydney Park Rd near Princes Hwy, St Peters</t>
  </si>
  <si>
    <t>O'Riordan St near Hughes St, Botany Bay</t>
  </si>
  <si>
    <t xml:space="preserve">Booralee St (West of Luland St), Botany </t>
  </si>
  <si>
    <t>Paul Street, Waverly (200 dia. Replaces 100 dia.)</t>
  </si>
  <si>
    <t>Kambala Rd, Bellevue Hill</t>
  </si>
  <si>
    <t>Main to WPS 334</t>
  </si>
  <si>
    <t>KING ST, SYDNEY</t>
  </si>
  <si>
    <t>LIVERPOOL ST, SYDNEY</t>
  </si>
  <si>
    <t>ANZAC PD, MOORE PARK</t>
  </si>
  <si>
    <t>CONSERVATORIUM RD, SYDNEY</t>
  </si>
  <si>
    <t>GRAND DR, CENTENNIAL PARK</t>
  </si>
  <si>
    <t>BARNCLEUTH SQ, ELIZABETH BAY</t>
  </si>
  <si>
    <t>GIPPS RD, WAVERLEY</t>
  </si>
  <si>
    <t>GIPPS RD, BRONTE</t>
  </si>
  <si>
    <t>JAMISON ST, SYDNEY</t>
  </si>
  <si>
    <t>SUSSEX ST, SYDNEY</t>
  </si>
  <si>
    <t>DRUITT ST, SYDNEY</t>
  </si>
  <si>
    <t>KENT ST, SYDNEY</t>
  </si>
  <si>
    <t>COLLEGE ST, SYDNEY</t>
  </si>
  <si>
    <t>ELIZABETH ST, SYDNEY</t>
  </si>
  <si>
    <t>COLLEGE ST, DARLINGHURST</t>
  </si>
  <si>
    <t>GRANTHAM ST, POTTS POINT</t>
  </si>
  <si>
    <t>QUAY ST, HAYMARKET</t>
  </si>
  <si>
    <t>107 - 123 King St, Randwick (upsized to 250 dia from 150 dia)</t>
  </si>
  <si>
    <t>62-64 Foster St , Surry Hill (upsized to 200 dia from 150 dia)</t>
  </si>
  <si>
    <t>MARINE PD, MAROUBRA</t>
  </si>
  <si>
    <t>59 - 105 King St, Randwick (upsized to 250 dia from 150 dia)</t>
  </si>
  <si>
    <t>Campsie St, Canterbury</t>
  </si>
  <si>
    <t>West Botany St, Rockdale</t>
  </si>
  <si>
    <t>Princes Hwy, Rockdale</t>
  </si>
  <si>
    <t>Metropolitan Rd, Marrickville</t>
  </si>
  <si>
    <t>Chelmsford St Corner Lands La, Marrickville</t>
  </si>
  <si>
    <t>Eliza St, Marrickville</t>
  </si>
  <si>
    <t>Bryant St near Bay St, Rockdale</t>
  </si>
  <si>
    <t>Markham Ave, Ashfield</t>
  </si>
  <si>
    <t>Wardell Rd, Marrickville</t>
  </si>
  <si>
    <t>Stanley St, Kogarah</t>
  </si>
  <si>
    <t>Bridge Rd South of Wattle St, Sydney</t>
  </si>
  <si>
    <t>Mcdonald St South of Darling, Leichhardt</t>
  </si>
  <si>
    <t>Curtis Rd corner Darling, Leichhardt</t>
  </si>
  <si>
    <t>Mcdonald St North of Darling, Leichhardt</t>
  </si>
  <si>
    <t>Albert St Corner Princes Hwy, Marrickville</t>
  </si>
  <si>
    <t>Elizabeth St, Ashfield</t>
  </si>
  <si>
    <t>Arncliffe St., Arncliffe (300 dia replaces 100 dia)</t>
  </si>
  <si>
    <t>Strathfield linkmain Amp. - Homebush Rd to Redmyre Rd</t>
  </si>
  <si>
    <t>Linkmain Derby St &amp; Egerton St</t>
  </si>
  <si>
    <t>Linkmain Fariola St</t>
  </si>
  <si>
    <t>Rhodes Trunk Main</t>
  </si>
  <si>
    <t>45 Rawson St, Auburn</t>
  </si>
  <si>
    <t>BENNELONG RD, HOMEBUSH BAY</t>
  </si>
  <si>
    <t>BOMBAY ST, LIDCOMBE</t>
  </si>
  <si>
    <t>NICHOLAS ST, LIDCOMBE</t>
  </si>
  <si>
    <t>RAWSON ST, LIDCOMBE</t>
  </si>
  <si>
    <t>DALLEY ST, LIDCOMBE</t>
  </si>
  <si>
    <t>PLATFORM ST, LIDCOMBE</t>
  </si>
  <si>
    <t>STATION ST, HOMEBUSH</t>
  </si>
  <si>
    <t>BERESFORD RD, STRATHFIELD</t>
  </si>
  <si>
    <t>FREDERICK ST, ASHFIELD</t>
  </si>
  <si>
    <t>NYRANG ST, LIDCOMBE</t>
  </si>
  <si>
    <t>BACHELL AV, LIDCOMBE</t>
  </si>
  <si>
    <t>CHURCH ST, LIDCOMBE</t>
  </si>
  <si>
    <t>SWETE ST, LIDCOMBE</t>
  </si>
  <si>
    <t>THE CRES, STRATHFIELD</t>
  </si>
  <si>
    <t>DERBY ST, SILVERWATER</t>
  </si>
  <si>
    <t>SKARRATT ST N, SILVERWATER</t>
  </si>
  <si>
    <t>CARNARVON ST, SILVERWATER</t>
  </si>
  <si>
    <t>BEACONSFIELD ST, SILVERWATER</t>
  </si>
  <si>
    <t>SUTTOR ST, SILVERWATER</t>
  </si>
  <si>
    <t>MELTON ST N, SILVERWATER</t>
  </si>
  <si>
    <t>VORE ST, SILVERWATER</t>
  </si>
  <si>
    <t>CHURCHILL ST, SILVERWATER</t>
  </si>
  <si>
    <t>GREY ST, SILVERWATER</t>
  </si>
  <si>
    <t>RAILWAY ST, LIDCOMBE</t>
  </si>
  <si>
    <t>EAST ST, LIDCOMBE</t>
  </si>
  <si>
    <t>JAMES ST, LIDCOMBE</t>
  </si>
  <si>
    <t>ALFRED ST, RHODES</t>
  </si>
  <si>
    <t>ALT ST, ASHFIELD</t>
  </si>
  <si>
    <t>STATION RD, AUBURN</t>
  </si>
  <si>
    <t>QUEEN ST, NORTH STRATHFIELD</t>
  </si>
  <si>
    <t>ISMAY AV, HOMEBUSH</t>
  </si>
  <si>
    <t>HILTS RD, STRATHFIELD</t>
  </si>
  <si>
    <t>GARFIELD ST, FIVE DOCK</t>
  </si>
  <si>
    <t>Captain Cook Dr/Taren Point, Sutherland</t>
  </si>
  <si>
    <t>Bay Rd east of Production Ave</t>
  </si>
  <si>
    <t>Bay Rd west of Production Ave</t>
  </si>
  <si>
    <t>Denmand Ave, Sutherland</t>
  </si>
  <si>
    <t>The Kingsway, Sutherland</t>
  </si>
  <si>
    <t>Taren Point Rd, Sutherland</t>
  </si>
  <si>
    <t>Kingsway(West of Wandella), Sutherland</t>
  </si>
  <si>
    <t>Taren Point Rd/Bay St),Sutherland</t>
  </si>
  <si>
    <t>Bay Rd/Taren Point, Sutherland</t>
  </si>
  <si>
    <t>Port Hacking/The Boulevarde, Sutherland</t>
  </si>
  <si>
    <t>Wandella, Sutherland</t>
  </si>
  <si>
    <t>Kingsway, Sutherland</t>
  </si>
  <si>
    <t>Amplifications  McClelland St, Chester Hill</t>
  </si>
  <si>
    <t>Amplifications Chullora Railway development, Chullora</t>
  </si>
  <si>
    <t>Normal Extension for WP0339 Booster Station, Yagoona</t>
  </si>
  <si>
    <t>Normal Extension for WP0349 Booster Station, Greenacre</t>
  </si>
  <si>
    <t>Normal Extension at various locations, Yagoona &amp; Greenacre</t>
  </si>
  <si>
    <t>Extension, Cann and Buist Sts, Bass Hill</t>
  </si>
  <si>
    <t>Extensions under 2003/04 Renewal Programme</t>
  </si>
  <si>
    <t>Amplifications under 2003/04 Renewal Programme</t>
  </si>
  <si>
    <t>Amplifications under 2004/05 Renewal Programme</t>
  </si>
  <si>
    <t>Watermain Extension, Villiers Rd, Padstow Hts (near East Hills reservoir)</t>
  </si>
  <si>
    <t>Amplifications Watermain Renewal Package 2003/2004</t>
  </si>
  <si>
    <t>Amplifications Watermain Renewal Package 2004/2005</t>
  </si>
  <si>
    <t>Watermain Extensions , Pleasure Point Zone</t>
  </si>
  <si>
    <t>150 dia link connection French/Meredith St</t>
  </si>
  <si>
    <t>Link Leicister St/ Regent St, Bexley</t>
  </si>
  <si>
    <t>Remly /Rogers St, Roselands</t>
  </si>
  <si>
    <t>STACEY ST,  BANKSTOWN</t>
  </si>
  <si>
    <t>COOLOONGATTA RD,  BEVERLY HILLS</t>
  </si>
  <si>
    <t>Canterbury Rd,  CAMPSIE</t>
  </si>
  <si>
    <t>Bobadah St,  KINGSGROVE</t>
  </si>
  <si>
    <t>Overpass near Railway Pde,  HURSTVILLE</t>
  </si>
  <si>
    <t>AUGUSTA ST,  PUNCHBOWL</t>
  </si>
  <si>
    <t>MAJOR ST,  PUNCHBOWL</t>
  </si>
  <si>
    <t>BELMORE RD,  PUNCHBOWL</t>
  </si>
  <si>
    <t>EDGE ST,  WILEY PARK</t>
  </si>
  <si>
    <t>Burwood Rd,  BELMORE</t>
  </si>
  <si>
    <t>Leylands Pd,  BELMORE</t>
  </si>
  <si>
    <t>Kingsgrove Rd,  KINGSGROVE</t>
  </si>
  <si>
    <t>Railway Pde,  HURSTVILLE</t>
  </si>
  <si>
    <t>West St near Railway Pde,  HURSTVILLE</t>
  </si>
  <si>
    <t>Woniora Rd,  HURSTVILLE</t>
  </si>
  <si>
    <t>Hillcrest Ave,  HURSTVILLE</t>
  </si>
  <si>
    <t>ENGLISH ST-EDGEHILL ST,  CARLTON</t>
  </si>
  <si>
    <t>CANARYS RD,  ROSELANDS</t>
  </si>
  <si>
    <t>Dora St,  HURSTVILLE</t>
  </si>
  <si>
    <t>Hampton Court Rd,  CARLTON</t>
  </si>
  <si>
    <t>ENGLISH ST,  KOGARAH</t>
  </si>
  <si>
    <t>RAILWAY PD,  KOGARAH</t>
  </si>
  <si>
    <t>GRAY ST,  KOGARAH</t>
  </si>
  <si>
    <t>DERBY ST,  KOGARAH</t>
  </si>
  <si>
    <t>BELGRAVE ST,  KOGARAH</t>
  </si>
  <si>
    <t>MONTGOMERY ST,  KOGARAH</t>
  </si>
  <si>
    <t>HOGBEN ST,  KOGARAH</t>
  </si>
  <si>
    <t>PREMIER ST,  KOGARAH</t>
  </si>
  <si>
    <t>Alfred St,  CAMPSIE</t>
  </si>
  <si>
    <t>Kenyon Rd,  BEXLEY</t>
  </si>
  <si>
    <t>Rutland St,  ALLAWAH</t>
  </si>
  <si>
    <t>Mcpherson St,  CARLTON</t>
  </si>
  <si>
    <t>Andover St,  CARLTON</t>
  </si>
  <si>
    <t>TANNER AV,  CARLTON</t>
  </si>
  <si>
    <t>KARNE ST,  NARWEE</t>
  </si>
  <si>
    <t>SHORTER AV,  NARWEE</t>
  </si>
  <si>
    <t>Bridge Rd near peel St,  BELMORE</t>
  </si>
  <si>
    <t>Carrington Ave,  HURSTVILLE</t>
  </si>
  <si>
    <t>Normal Extension  at  HURSTVILLE</t>
  </si>
  <si>
    <t>Amplification  at  WATERLOO</t>
  </si>
  <si>
    <t>Normal Extension  at  ERSKINEVILLE</t>
  </si>
  <si>
    <t>Amplification  at  MARRICKVILLE</t>
  </si>
  <si>
    <t>Normal Extension  at  EARLWOOD</t>
  </si>
  <si>
    <t>Amplification  at  BEXLEY NORTH</t>
  </si>
  <si>
    <t>Normal Extension  at  SUTHERLAND</t>
  </si>
  <si>
    <t>Amplification  at  PADSTOW</t>
  </si>
  <si>
    <t>Amplification  at  PADSTOW HEIGHTS</t>
  </si>
  <si>
    <t>Amplification  at  CARINGBAH SOUTH</t>
  </si>
  <si>
    <t>Amplification  at  NEWTOWN</t>
  </si>
  <si>
    <t>Amplification  at  MAROUBRA</t>
  </si>
  <si>
    <t>Amplification  at  PETERSHAM</t>
  </si>
  <si>
    <t>Section 73  at  DARLINGTON</t>
  </si>
  <si>
    <t>Amplification  at  BONDI BEACH</t>
  </si>
  <si>
    <t>Amplification  at  MASCOT</t>
  </si>
  <si>
    <t>Section 73  at  CHULLORA</t>
  </si>
  <si>
    <t>Section 73  at  CROYDON PARK</t>
  </si>
  <si>
    <t>Amplification  at  CANTERBURY</t>
  </si>
  <si>
    <t>Amplification  at  CRONULLA</t>
  </si>
  <si>
    <t>Amplification  at  BONDI JUNCTION</t>
  </si>
  <si>
    <t>Section 73  at  CLOVELLY</t>
  </si>
  <si>
    <t>Normal Extension  at  POTTS HILL</t>
  </si>
  <si>
    <t>Normal Extension  at  BIRRONG</t>
  </si>
  <si>
    <t>Normal Extension  at  YAGOONA</t>
  </si>
  <si>
    <t>Section 73  at  LIDCOMBE</t>
  </si>
  <si>
    <t>Section 73  at  YAGOONA</t>
  </si>
  <si>
    <t>Section 73  at  BANKSTOWN</t>
  </si>
  <si>
    <t>Section 73  at  MARRICKVILLE</t>
  </si>
  <si>
    <t>Section 73  at  GREENHILLS BEACH</t>
  </si>
  <si>
    <t>Section 73  at  KURNELL</t>
  </si>
  <si>
    <t>Amplification  at  RANDWICK</t>
  </si>
  <si>
    <t>Section 73  at  KINGSFORD</t>
  </si>
  <si>
    <t>Section 73  at  POTTS HILL</t>
  </si>
  <si>
    <t>Section 73  at  BIRRONG</t>
  </si>
  <si>
    <t>Amplification  at  BURWOOD</t>
  </si>
  <si>
    <t>Amplification  at  WOLLI CREEK</t>
  </si>
  <si>
    <t>Amplification  at  ARNCLIFFE</t>
  </si>
  <si>
    <t>Section 73  at  RHODES</t>
  </si>
  <si>
    <t>Normal Extension  at  RHODES</t>
  </si>
  <si>
    <t>Section 73  at  WENTWORTH POINT</t>
  </si>
  <si>
    <t>Section 73  at  SYDNEY OLYMPIC PARK</t>
  </si>
  <si>
    <t>Section 27 Extension  at  ROZELLE</t>
  </si>
  <si>
    <t>Amplification  at  CONCORD WEST</t>
  </si>
  <si>
    <t>Amplification  at  MORTLAKE</t>
  </si>
  <si>
    <t>Amplification  at  LIBERTY GROVE</t>
  </si>
  <si>
    <t>Amplification  at  HOMEBUSH</t>
  </si>
  <si>
    <t>Amplification  at  AUBURN</t>
  </si>
  <si>
    <t>Section 73  at  AUBURN</t>
  </si>
  <si>
    <t>Section 73  at  HOMEBUSH</t>
  </si>
  <si>
    <t>Amplification  at  LIDCOMBE</t>
  </si>
  <si>
    <t>Section 73  at  SURRY HILLS</t>
  </si>
  <si>
    <t>Section 73  at  SYDNEY</t>
  </si>
  <si>
    <t>Normal Extension  at  MILLERS POINT</t>
  </si>
  <si>
    <t>Normal Extension  at  BARANGAROO</t>
  </si>
  <si>
    <t>Section 73  at  HAYMARKET</t>
  </si>
  <si>
    <t>Section 73  at  ZETLAND</t>
  </si>
  <si>
    <t>Section 73  at  BOTANY</t>
  </si>
  <si>
    <t>Section 73  at  FOREST LODGE</t>
  </si>
  <si>
    <t>Normal Extension  at  ANNANDALE</t>
  </si>
  <si>
    <t>Section 73  at  BELLEVUE HILL</t>
  </si>
  <si>
    <t>Section 73  at  LILYFIELD</t>
  </si>
  <si>
    <t>Section 73  at  ROCKDALE</t>
  </si>
  <si>
    <t>Section 73  at  MONTEREY</t>
  </si>
  <si>
    <t>Amplification  at  CENTENNIAL PARK</t>
  </si>
  <si>
    <t>Section 73  at  PADDINGTON</t>
  </si>
  <si>
    <t>Section 73  at  RANDWICK</t>
  </si>
  <si>
    <t>Section 73  at  CENTENNIAL PARK</t>
  </si>
  <si>
    <t>Section 73  at  CARINGBAH</t>
  </si>
  <si>
    <t>Amplification  at  KINGSFORD</t>
  </si>
  <si>
    <t>Section 73  at  MAROUBRA</t>
  </si>
  <si>
    <t>Section 73  at  ERSKINEVILLE</t>
  </si>
  <si>
    <t>Section 73  at  ST PETERS</t>
  </si>
  <si>
    <t>Section 73  at  WATERLOO</t>
  </si>
  <si>
    <t>Amplification  at  BEACONSFIELD</t>
  </si>
  <si>
    <t>Section 73  at  MASCOT</t>
  </si>
  <si>
    <t>Section 73  at  BANKSMEADOW</t>
  </si>
  <si>
    <t>Amplification  at  YAGOONA</t>
  </si>
  <si>
    <t>Section 73  at  GREENACRE</t>
  </si>
  <si>
    <t>Section 73  at  BELFIELD</t>
  </si>
  <si>
    <t>Normal Extension  at  GREENACRE</t>
  </si>
  <si>
    <t>Normal Extension  at  WILEY PARK</t>
  </si>
  <si>
    <t>Normal Extension  at  PUNCHBOWL</t>
  </si>
  <si>
    <t>Amplification  at  STRATHFIELD</t>
  </si>
  <si>
    <t>Section 73  at  WOLLI CREEK</t>
  </si>
  <si>
    <t>Amplification  at  CAMPSIE</t>
  </si>
  <si>
    <t>Section 73  at  CANTERBURY</t>
  </si>
  <si>
    <t>Section 73  at  KINGSGROVE</t>
  </si>
  <si>
    <t>Amplification  at  KOGARAH</t>
  </si>
  <si>
    <t>Amplification  at  PENSHURST</t>
  </si>
  <si>
    <t>Amplification  at  HURSTVILLE</t>
  </si>
  <si>
    <t>Section 73  at  SOUTH HURSTVILLE</t>
  </si>
  <si>
    <t>Section 73  at  BRIGHTON-LE-SANDS</t>
  </si>
  <si>
    <t>Section 73  at  REVESBY</t>
  </si>
  <si>
    <t>Amplification  at  GYMEA</t>
  </si>
  <si>
    <t>Section 73  at  GYMEA</t>
  </si>
  <si>
    <t>Normal Extension  at  CARINGBAH</t>
  </si>
  <si>
    <t>Section 73  at  ANNANDALE</t>
  </si>
  <si>
    <t>Amplification  at  CARINGBAH</t>
  </si>
  <si>
    <t>Amplification  at  CROYDON PARK</t>
  </si>
  <si>
    <t>Amplification  at  ASHBURY</t>
  </si>
  <si>
    <t>Section 73  at  CAMPSIE</t>
  </si>
  <si>
    <t>Section 73  at  CLEMTON PARK</t>
  </si>
  <si>
    <t>Section 73  at  CRONULLA</t>
  </si>
  <si>
    <t>Normal Extension  at  CRONULLA</t>
  </si>
  <si>
    <t>Section 73  at  SUMMER HILL</t>
  </si>
  <si>
    <t>Section 73  at  BASS HILL</t>
  </si>
  <si>
    <t>Section 73  at  HURSTVILLE</t>
  </si>
  <si>
    <t>Section 73  at  HURSTVILLE GROVE</t>
  </si>
  <si>
    <t>Section 73  at  OATLEY</t>
  </si>
  <si>
    <t>Normal Extension  at  WOOLLOOMOOLOO</t>
  </si>
  <si>
    <t>Normal Extension  at  NEWTOWN</t>
  </si>
  <si>
    <t>Normal Extension  at  LEWISHAM</t>
  </si>
  <si>
    <t>Normal Extension  at  YOWIE BAY</t>
  </si>
  <si>
    <t>Section 73 at SURRY HILLS</t>
  </si>
  <si>
    <t>Section 73 at CAMPERDOWN</t>
  </si>
  <si>
    <t>Section 73 at NEWTOWN</t>
  </si>
  <si>
    <t>Section 73 at WOOLOOWARE</t>
  </si>
  <si>
    <t>To service growth in Silverwater/Concord area</t>
  </si>
  <si>
    <t>To service growth in Pleasure Point Zone</t>
  </si>
  <si>
    <t>0001</t>
  </si>
  <si>
    <t>0355</t>
  </si>
  <si>
    <t>0090</t>
  </si>
  <si>
    <t>0004</t>
  </si>
  <si>
    <t>0349</t>
  </si>
  <si>
    <t>0003</t>
  </si>
  <si>
    <t>0107</t>
  </si>
  <si>
    <t>0350</t>
  </si>
  <si>
    <t>0339</t>
  </si>
  <si>
    <t>0085</t>
  </si>
  <si>
    <t>0351</t>
  </si>
  <si>
    <t>0342</t>
  </si>
  <si>
    <t>0073</t>
  </si>
  <si>
    <t>WP0001 Mech Elec Upgrade</t>
  </si>
  <si>
    <t>To service areas in the Waverly Elevated Pressure Zone</t>
  </si>
  <si>
    <t>WP0090 Mech Elec Upgrade</t>
  </si>
  <si>
    <t>WP0004 Pump Unit 4 Upgrade</t>
  </si>
  <si>
    <t>To service areas in the Bankstown Pressure Zone</t>
  </si>
  <si>
    <t>WP0003 Upgrade HV Switchrm</t>
  </si>
  <si>
    <t>WP0107 Mech Elec Upgrade</t>
  </si>
  <si>
    <t>To service areas in the Condell Park Elevated Pressure Zone</t>
  </si>
  <si>
    <t>WP0085 Mech Elec Upgrade</t>
  </si>
  <si>
    <t>To service areas in the East Hills Pressure Zone</t>
  </si>
  <si>
    <t>To service areas in the Lugarno Elevated Pressure Zone</t>
  </si>
  <si>
    <t>WX0073 Upg Rechlorination Unit</t>
  </si>
  <si>
    <t>Demand and connection</t>
  </si>
  <si>
    <t>Revene ($, $2022-23)</t>
  </si>
  <si>
    <t>mains</t>
  </si>
  <si>
    <t>Trunk Main Amp at Silverwater Grav WSZ</t>
  </si>
  <si>
    <t>WP0332</t>
  </si>
  <si>
    <t>Pumping station from GPOP</t>
  </si>
  <si>
    <t>pumping station</t>
  </si>
  <si>
    <t>WFP</t>
  </si>
  <si>
    <t>a)  Pipe Head to  Potts Hill
Amplification of the pipeline / tunnel
transfer capacity between Pipe Head  &amp;  Potts Hill</t>
  </si>
  <si>
    <t>filtreation plant</t>
  </si>
  <si>
    <t>Renewal at CHESTER HILL _ Amplification</t>
  </si>
  <si>
    <t>Renewal at BASS HILL _ Amplification</t>
  </si>
  <si>
    <t>Renewal at CABRAMATTA _ Amplification</t>
  </si>
  <si>
    <t>Renewal at YAGOONA _ Amplification</t>
  </si>
  <si>
    <t>Renewal at REVESBY _ Amplification</t>
  </si>
  <si>
    <t>Adjustment at LEPPINGTON _ Amplification</t>
  </si>
  <si>
    <t>Adjustment at AUSTRAL _ Amplification</t>
  </si>
  <si>
    <t>Renewal at DRUMMOYNE _ Amplification</t>
  </si>
  <si>
    <t>Adjustment at CHISWICK _ Amplification</t>
  </si>
  <si>
    <t>Renewal at CONCORD WEST _ Amplification</t>
  </si>
  <si>
    <t>Renewal at CONCORD _ Amplification</t>
  </si>
  <si>
    <t>Adjustment at CONCORD _ Amplification</t>
  </si>
  <si>
    <t>Adjustment at NORTH STRATHFIELD _ Amplification</t>
  </si>
  <si>
    <t>Adjustment at HOMEBUSH _ Amplification</t>
  </si>
  <si>
    <t>Renewal at NORTH PARRAMATTA _ Amplification</t>
  </si>
  <si>
    <t>Renewal at CAMELLIA _ Amplification</t>
  </si>
  <si>
    <t>Renewal at SILVERWATER _ Amplification</t>
  </si>
  <si>
    <t>Renewal at SYDNEY OLYMPIC PARK _ Amplification</t>
  </si>
  <si>
    <t>Renewal at WENTWORTH POINT _ Amplification</t>
  </si>
  <si>
    <t>Adjustment at HOMEBUSH WEST _ Amplification</t>
  </si>
  <si>
    <t>Renewal at HOMEBUSH _ Amplification</t>
  </si>
  <si>
    <t>Renewal at CLYDE _ Amplification</t>
  </si>
  <si>
    <t>Renewal at AUBURN _ Amplification</t>
  </si>
  <si>
    <t>Adjustment at SYDNEY _ Amplification</t>
  </si>
  <si>
    <t>Renewal at SYDNEY _ Amplification</t>
  </si>
  <si>
    <t>Renewal at MILLERS POINT _ Amplification</t>
  </si>
  <si>
    <t>Adjustment at BARANGAROO _ Amplification</t>
  </si>
  <si>
    <t>RTA Adjustment at ROZELLE _ Amplification</t>
  </si>
  <si>
    <t>Renewal at ANNANDALE _ Amplification</t>
  </si>
  <si>
    <t>Unknown at SYDNEY _ Amplification</t>
  </si>
  <si>
    <t xml:space="preserve">Section 73 at SYDNEY </t>
  </si>
  <si>
    <t>Renewal at WOOLLOOMOOLOO _ Amplification</t>
  </si>
  <si>
    <t>Adjustment at HAYMARKET _ Amplification</t>
  </si>
  <si>
    <t>Renewal at ULTIMO _ Amplification</t>
  </si>
  <si>
    <t>Amplification at HAYMARKET _ Amplification</t>
  </si>
  <si>
    <t xml:space="preserve">Section 73 at HAYMARKET </t>
  </si>
  <si>
    <t>Renewal at CHIPPENDALE _ Amplification</t>
  </si>
  <si>
    <t>Renewal at DARLINGHURST _ Amplification</t>
  </si>
  <si>
    <t>Renewal at SURRY HILLS _ Amplification</t>
  </si>
  <si>
    <t>Adjustment at SURRY HILLS _ Amplification</t>
  </si>
  <si>
    <t>Renewal at PADDINGTON _ Amplification</t>
  </si>
  <si>
    <t>Adjustment at MOORE PARK _ Amplification</t>
  </si>
  <si>
    <t>Renewal at REDFERN _ Amplification</t>
  </si>
  <si>
    <t>Adjustment at CHIPPENDALE _ Amplification</t>
  </si>
  <si>
    <t>Renewal at FOREST LODGE _ Amplification</t>
  </si>
  <si>
    <t>Adjustment at FOREST LODGE _ Amplification</t>
  </si>
  <si>
    <t>Renewal at CAMPERDOWN _ Amplification</t>
  </si>
  <si>
    <t>Adjustment at CAMPERDOWN _ Amplification</t>
  </si>
  <si>
    <t>Renewal at BONDI JUNCTION _ Amplification</t>
  </si>
  <si>
    <t>Renewal at ROSE BAY _ Amplification</t>
  </si>
  <si>
    <t>Renewal at BELLEVUE HILL _ Amplification</t>
  </si>
  <si>
    <t>Renewal at POINT PIPER _ Amplification</t>
  </si>
  <si>
    <t>Renewal at NORTH BONDI _ Amplification</t>
  </si>
  <si>
    <t>Adjustment at BONDI JUNCTION _ Amplification</t>
  </si>
  <si>
    <t>Renewal at CENTENNIAL PARK _ Amplification</t>
  </si>
  <si>
    <t>Renewal at KENSINGTON _ Amplification</t>
  </si>
  <si>
    <t>Adjustment at CENTENNIAL PARK _ Amplification</t>
  </si>
  <si>
    <t>Renewal at RANDWICK _ Amplification</t>
  </si>
  <si>
    <t>Renewal at WAVERLEY _ Amplification</t>
  </si>
  <si>
    <t>Renewal at SOUTH COOGEE _ Amplification</t>
  </si>
  <si>
    <t>Adjustment at KINGSFORD _ Amplification</t>
  </si>
  <si>
    <t>Adjustment at RANDWICK _ Amplification</t>
  </si>
  <si>
    <t>Renewal at NEWTOWN _ Amplification</t>
  </si>
  <si>
    <t>Renewal at MARRICKVILLE _ Amplification</t>
  </si>
  <si>
    <t>Renewal at ERSKINEVILLE _ Amplification</t>
  </si>
  <si>
    <t>Adjustment at ERSKINEVILLE _ Amplification</t>
  </si>
  <si>
    <t>Adjustment at ALEXANDRIA _ Amplification</t>
  </si>
  <si>
    <t>Renewal at ALEXANDRIA _ Amplification</t>
  </si>
  <si>
    <t>Adjustment at ST PETERS _ Amplification</t>
  </si>
  <si>
    <t>Renewal at ST PETERS _ Amplification</t>
  </si>
  <si>
    <t>Renewal at WATERLOO _ Amplification</t>
  </si>
  <si>
    <t>Renewal at ZETLAND _ Amplification</t>
  </si>
  <si>
    <t>Normal Extension at BANKSMEADOW _ Amplification</t>
  </si>
  <si>
    <t>Large Connection at BANKSMEADOW _ Amplification</t>
  </si>
  <si>
    <t>Renewal at MAROUBRA _ Amplification</t>
  </si>
  <si>
    <t>Renewal at BERALA _ Amplification</t>
  </si>
  <si>
    <t>Adjustment at REGENTS PARK _ Amplification</t>
  </si>
  <si>
    <t>Renewal at POTTS HILL _ Amplification</t>
  </si>
  <si>
    <t>Adjustment at POTTS HILL _ Amplification</t>
  </si>
  <si>
    <t>Renewal at CHULLORA _ Amplification</t>
  </si>
  <si>
    <t>Renewal at SEFTON _ Amplification</t>
  </si>
  <si>
    <t>Renewal at STRATHFIELD _ Amplification</t>
  </si>
  <si>
    <t>Renewal at STRATHFIELD SOUTH _ Amplification</t>
  </si>
  <si>
    <t>Renewal at GREENACRE _ Amplification</t>
  </si>
  <si>
    <t>Adjustment at STRATHFIELD SOUTH _ Amplification</t>
  </si>
  <si>
    <t>Renewal at BELFIELD _ Amplification</t>
  </si>
  <si>
    <t xml:space="preserve">Section 73 at CHULLORA </t>
  </si>
  <si>
    <t>Renewal at BANKSTOWN _ Amplification</t>
  </si>
  <si>
    <t>Renewal at LAKEMBA _ Amplification</t>
  </si>
  <si>
    <t>Adjustment at NARWEE _ Amplification</t>
  </si>
  <si>
    <t>Adjustment at PUNCHBOWL _ Amplification</t>
  </si>
  <si>
    <t>Renewal at PUNCHBOWL _ Amplification</t>
  </si>
  <si>
    <t>Renewal at CONDELL PARK _ Amplification</t>
  </si>
  <si>
    <t>Council Adjustment at BANKSTOWN _ Amplification</t>
  </si>
  <si>
    <t>Renewal at PADSTOW _ Amplification</t>
  </si>
  <si>
    <t>Renewal at BURWOOD _ Amplification</t>
  </si>
  <si>
    <t>Renewal at CROYDON _ Amplification</t>
  </si>
  <si>
    <t>Adjustment at ASHFIELD _ Amplification</t>
  </si>
  <si>
    <t>Renewal at ENFIELD _ Amplification</t>
  </si>
  <si>
    <t>Renewal at BURWOOD HEIGHTS _ Amplification</t>
  </si>
  <si>
    <t>Renewal at CROYDON PARK _ Amplification</t>
  </si>
  <si>
    <t>Adjustment at CROYDON PARK _ Amplification</t>
  </si>
  <si>
    <t>Renewal at STANMORE _ Amplification</t>
  </si>
  <si>
    <t>Adjustment at PETERSHAM _ Amplification</t>
  </si>
  <si>
    <t>Adjustment at HABERFIELD _ Amplification</t>
  </si>
  <si>
    <t>Renewal at LEICHHARDT _ Amplification</t>
  </si>
  <si>
    <t>Renewal at PETERSHAM _ Amplification</t>
  </si>
  <si>
    <t>Renewal at SYDENHAM _ Amplification</t>
  </si>
  <si>
    <t>Renewal at TEMPE _ Amplification</t>
  </si>
  <si>
    <t>Adjustment at CANTERBURY _ Amplification</t>
  </si>
  <si>
    <t>Renewal at ASHBURY _ Amplification</t>
  </si>
  <si>
    <t>Renewal at CANTERBURY _ Amplification</t>
  </si>
  <si>
    <t>Adjustment at ASHBURY _ Amplification</t>
  </si>
  <si>
    <t>Renewal at HURLSTONE PARK _ Amplification</t>
  </si>
  <si>
    <t>Renewal at EARLWOOD _ Amplification</t>
  </si>
  <si>
    <t>Renewal at BARDWELL PARK _ Amplification</t>
  </si>
  <si>
    <t>Renewal at BELMORE _ Amplification</t>
  </si>
  <si>
    <t>Renewal at KINGSGROVE _ Amplification</t>
  </si>
  <si>
    <t>Renewal at BEXLEY _ Amplification</t>
  </si>
  <si>
    <t>Renewal at CARLTON _ Amplification</t>
  </si>
  <si>
    <t>Adjustment at HURSTVILLE _ Amplification</t>
  </si>
  <si>
    <t>Renewal at KOGARAH _ Amplification</t>
  </si>
  <si>
    <t>Adjustment at PENSHURST _ Amplification</t>
  </si>
  <si>
    <t>Renewal at PENSHURST _ Amplification</t>
  </si>
  <si>
    <t>Renewal at HURSTVILLE GROVE _ Amplification</t>
  </si>
  <si>
    <t>Renewal at KYEEMAGH _ Amplification</t>
  </si>
  <si>
    <t>Renewal at ROCKDALE _ Amplification</t>
  </si>
  <si>
    <t>Adjustment at KOGARAH _ Amplification</t>
  </si>
  <si>
    <t>Adjustment at BLAKEHURST _ Amplification</t>
  </si>
  <si>
    <t>Adjustment at BEVERLEY PARK _ Amplification</t>
  </si>
  <si>
    <t>Renewal at TAREN POINT _ Amplification</t>
  </si>
  <si>
    <t>Renewal at PANANIA _ Amplification</t>
  </si>
  <si>
    <t>Adjustment at PADSTOW _ Amplification</t>
  </si>
  <si>
    <t>Renewal at RIVERWOOD _ Amplification</t>
  </si>
  <si>
    <t>Adjustment at BEVERLY HILLS _ Amplification</t>
  </si>
  <si>
    <t>Renewal at BEVERLY HILLS _ Amplification</t>
  </si>
  <si>
    <t>Renewal at NARWEE _ Amplification</t>
  </si>
  <si>
    <t>Renewal at OATLEY _ Amplification</t>
  </si>
  <si>
    <t>Adjustment at MENAI _ Amplification</t>
  </si>
  <si>
    <t>Renewal at KIRRAWEE _ Amplification</t>
  </si>
  <si>
    <t>Renewal at GYMEA BAY _ Amplification</t>
  </si>
  <si>
    <t>Renewal at GYMEA _ Amplification</t>
  </si>
  <si>
    <t>Renewal at ENGADINE _ Amplification</t>
  </si>
  <si>
    <t>Adjustment at CARINGBAH _ Amplification</t>
  </si>
  <si>
    <t xml:space="preserve">Section 73 at WOOLOOWARE </t>
  </si>
  <si>
    <t>Renewal at CARINGBAH _ Amplification</t>
  </si>
  <si>
    <t>Adjustment at MIRANDA _ Amplification</t>
  </si>
  <si>
    <t>Renewal at MIRANDA _ Amplification</t>
  </si>
  <si>
    <t>Adjustment at KURNELL _ Amplification</t>
  </si>
  <si>
    <t>Adjustment at CRONULLA _ Amplification</t>
  </si>
  <si>
    <t>Renewal at GREENHILLS BEACH _ Amplification</t>
  </si>
  <si>
    <t>Adjustment at GREENHILLS BEACH _ Amplification</t>
  </si>
  <si>
    <t>Renewal at CRONULLA _ Amplification</t>
  </si>
  <si>
    <t>Renewal at WOOLOOWARE _ Amplification</t>
  </si>
  <si>
    <t>Renewal at CARINGBAH SOUTH _ Amplification</t>
  </si>
  <si>
    <t>Adjustment at CARINGBAH SOUTH _ Amplification</t>
  </si>
  <si>
    <t>Renewal at ROYAL NATIONAL PARK _ Amplification</t>
  </si>
  <si>
    <t>Adjustment at ROYAL NATIONAL PARK _ Amplification</t>
  </si>
  <si>
    <t>Renewal at KURNELL _ Amplification</t>
  </si>
  <si>
    <t>Adjustment at NARELLAN _ Amplification</t>
  </si>
  <si>
    <t>Adjustment at HARRINGTON PARK _ Amplification</t>
  </si>
  <si>
    <t>Transport fixed</t>
  </si>
  <si>
    <t>Transport variable</t>
  </si>
  <si>
    <t>Treatment fixed</t>
  </si>
  <si>
    <t>Treatment variable</t>
  </si>
  <si>
    <t>Water purchase fixed</t>
  </si>
  <si>
    <t>Water purchase variable</t>
  </si>
  <si>
    <t>Total opex</t>
  </si>
  <si>
    <t>Demand multiplier</t>
  </si>
  <si>
    <t>Fixed transport</t>
  </si>
  <si>
    <t>Variable transport</t>
  </si>
  <si>
    <t>Fixed treatment</t>
  </si>
  <si>
    <t>Variable treatment</t>
  </si>
  <si>
    <t>Prospect Water Filtration Plant</t>
  </si>
  <si>
    <t>Headworks charge ($/kL)</t>
  </si>
  <si>
    <t>System</t>
  </si>
  <si>
    <t>System ET consumption</t>
  </si>
  <si>
    <t>System headwork charge ($/ET)</t>
  </si>
  <si>
    <t>Warragamba Pipeline</t>
  </si>
  <si>
    <t>Prospect to Pipehead</t>
  </si>
  <si>
    <t>Note: the tariffs are determined non-drought prices without SDP and WNSW adjustments</t>
  </si>
  <si>
    <t>Core opex</t>
  </si>
  <si>
    <t>Water purchase ($)</t>
  </si>
  <si>
    <t>Ratios</t>
  </si>
  <si>
    <t>Fixed</t>
  </si>
  <si>
    <t>Variable</t>
  </si>
  <si>
    <t>Growth</t>
  </si>
  <si>
    <t>Total ETs by 1970</t>
  </si>
  <si>
    <t>Total ETs at 31 Dec 1995</t>
  </si>
  <si>
    <t>Total ETs at end of review period</t>
  </si>
  <si>
    <t>Utilisation factors</t>
  </si>
  <si>
    <t>ETs 1970 - 1995</t>
  </si>
  <si>
    <t>ETs 1996 - 2022</t>
  </si>
  <si>
    <t>Pre-1996 commissioned assets</t>
  </si>
  <si>
    <t>ET profile</t>
  </si>
  <si>
    <t>Check</t>
  </si>
  <si>
    <t>This is percentage of non-revenue water (eg leakage and unbilled) versus revenue water, an average of 30 years (refer to the file "Purchases forecasts 61,62")</t>
  </si>
  <si>
    <t>1 Demand</t>
  </si>
  <si>
    <t>Note: SDP is allowance in 2020 Determination. This is consistant with tariffs without SDP adjustment</t>
  </si>
  <si>
    <t>Prospect East</t>
  </si>
  <si>
    <t>Prospect North</t>
  </si>
  <si>
    <t>Ryde</t>
  </si>
  <si>
    <t>Woronora</t>
  </si>
  <si>
    <t>Prospect South</t>
  </si>
  <si>
    <t>Cascade</t>
  </si>
  <si>
    <t>Orchard Hills</t>
  </si>
  <si>
    <t>Potts Hill Drinking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</si>
</sst>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 mmmm\ yyyy;@"/>
    <numFmt numFmtId="169" formatCode="dd\ mmm\ yyyy"/>
    <numFmt numFmtId="170" formatCode="yyyy\-*y"/>
    <numFmt numFmtId="171" formatCode="&quot;$&quot;#,##0"/>
    <numFmt numFmtId="172" formatCode="#,##0.000"/>
    <numFmt numFmtId="173" formatCode="mmmm\ yyyy"/>
    <numFmt numFmtId="174" formatCode="0.0"/>
    <numFmt numFmtId="175" formatCode="#,##0_ ;[Red]\-#,##0\ "/>
    <numFmt numFmtId="176" formatCode="_-* #,##0.0_-;\-* #,##0.0_-;_-* &quot;-&quot;??_-;_-@_-"/>
    <numFmt numFmtId="177" formatCode="_-* #,##0_-;\-* #,##0_-;_-* &quot;-&quot;??_-;_-@_-"/>
    <numFmt numFmtId="178" formatCode="0.0000"/>
    <numFmt numFmtId="179" formatCode="&quot;$&quot;#,##0.000;[Red]\-&quot;$&quot;#,##0.000"/>
    <numFmt numFmtId="180" formatCode="&quot;$&quot;#,##0.0;[Red]\-&quot;$&quot;#,##0.0"/>
  </numFmts>
  <fonts count="3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i/>
      <sz val="9"/>
      <color rgb="FFC00000"/>
      <name val="Arial"/>
      <family val="2"/>
    </font>
    <font>
      <i/>
      <sz val="9"/>
      <color theme="0" tint="-0.499984740745262"/>
      <name val="Arial"/>
      <family val="2"/>
    </font>
    <font>
      <sz val="8"/>
      <name val="Arial"/>
      <family val="2"/>
    </font>
    <font>
      <sz val="9"/>
      <color theme="0"/>
      <name val="Arial"/>
      <family val="2"/>
    </font>
    <font>
      <sz val="10"/>
      <name val="Arial"/>
      <family val="2"/>
    </font>
    <font>
      <sz val="9"/>
      <color rgb="FFC00000"/>
      <name val="Arial"/>
      <family val="2"/>
    </font>
    <font>
      <sz val="8"/>
      <color rgb="FFC00000"/>
      <name val="Arial"/>
      <family val="2"/>
    </font>
    <font>
      <b/>
      <sz val="10"/>
      <name val="Arial"/>
      <family val="2"/>
    </font>
    <font>
      <b/>
      <u/>
      <sz val="9"/>
      <color rgb="FFC0000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rgb="FF8FB8FB"/>
        <bgColor indexed="64"/>
      </patternFill>
    </fill>
    <fill>
      <patternFill patternType="solid">
        <fgColor rgb="FF6EA3FA"/>
        <bgColor indexed="64"/>
      </patternFill>
    </fill>
    <fill>
      <patternFill patternType="solid">
        <fgColor theme="4" tint="0.79998168889431442"/>
        <bgColor indexed="64"/>
      </patternFill>
    </fill>
  </fills>
  <borders count="39">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theme="0" tint="-0.34998626667073579"/>
      </top>
      <bottom/>
      <diagonal/>
    </border>
    <border>
      <left/>
      <right/>
      <top/>
      <bottom style="thin">
        <color theme="0" tint="-0.34998626667073579"/>
      </bottom>
      <diagonal/>
    </border>
    <border>
      <left style="medium">
        <color indexed="64"/>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392">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8"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69" fontId="0" fillId="0" borderId="0" xfId="0" applyNumberFormat="1"/>
    <xf numFmtId="169" fontId="1" fillId="4" borderId="6" xfId="6" applyNumberFormat="1" applyBorder="1" applyAlignment="1">
      <alignment horizontal="center"/>
      <protection locked="0"/>
    </xf>
    <xf numFmtId="169"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69"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69" fontId="4" fillId="0" borderId="5" xfId="8" applyNumberFormat="1" applyBorder="1" applyAlignment="1" applyProtection="1">
      <alignment horizontal="center"/>
    </xf>
    <xf numFmtId="169"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1"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69" fontId="0" fillId="0" borderId="0" xfId="0" applyNumberFormat="1" applyFill="1" applyBorder="1" applyAlignment="1">
      <alignment horizontal="right"/>
    </xf>
    <xf numFmtId="0" fontId="7" fillId="0" borderId="3" xfId="0" applyFont="1" applyFill="1" applyBorder="1"/>
    <xf numFmtId="169"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69" fontId="0" fillId="0" borderId="0" xfId="0" applyNumberFormat="1" applyFill="1"/>
    <xf numFmtId="0" fontId="10" fillId="0" borderId="0" xfId="0" applyFont="1" applyFill="1"/>
    <xf numFmtId="0" fontId="0" fillId="0" borderId="0" xfId="0" applyFill="1" applyAlignment="1">
      <alignment horizontal="left" indent="1"/>
    </xf>
    <xf numFmtId="169" fontId="0" fillId="0" borderId="6" xfId="0" applyNumberFormat="1" applyFill="1" applyBorder="1"/>
    <xf numFmtId="169"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70" fontId="1" fillId="10" borderId="6" xfId="13" applyNumberFormat="1" applyFill="1" applyBorder="1" applyAlignment="1">
      <alignment horizontal="center"/>
      <protection locked="0"/>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9"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0"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1"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8" fontId="1" fillId="4" borderId="8" xfId="6" applyNumberFormat="1" applyFill="1" applyBorder="1" applyAlignment="1">
      <alignment horizontal="center"/>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2" fontId="5" fillId="9" borderId="5" xfId="9" applyNumberFormat="1" applyFill="1" applyBorder="1"/>
    <xf numFmtId="3" fontId="10" fillId="0" borderId="5" xfId="0" applyNumberFormat="1" applyFont="1" applyFill="1" applyBorder="1" applyAlignment="1">
      <alignment horizontal="center"/>
    </xf>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3" fontId="5" fillId="9" borderId="10" xfId="9" applyNumberFormat="1" applyFill="1" applyBorder="1"/>
    <xf numFmtId="0" fontId="5" fillId="5" borderId="20" xfId="9" applyNumberFormat="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4" fillId="0" borderId="0" xfId="0" applyFont="1"/>
    <xf numFmtId="0" fontId="12" fillId="6" borderId="0" xfId="11" quotePrefix="1" applyFill="1"/>
    <xf numFmtId="171"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8"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165" fontId="0" fillId="0" borderId="0" xfId="20" applyNumberFormat="1" applyFont="1"/>
    <xf numFmtId="174" fontId="0" fillId="0" borderId="0" xfId="0" applyNumberFormat="1"/>
    <xf numFmtId="165" fontId="0" fillId="0" borderId="0" xfId="0" applyNumberFormat="1"/>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9" fontId="0" fillId="0" borderId="6" xfId="20" applyFont="1" applyFill="1" applyBorder="1" applyAlignment="1">
      <alignment horizontal="center"/>
    </xf>
    <xf numFmtId="9" fontId="0" fillId="0" borderId="7" xfId="20" applyFont="1" applyFill="1" applyBorder="1" applyAlignment="1">
      <alignment horizontal="center"/>
    </xf>
    <xf numFmtId="169" fontId="25" fillId="0" borderId="0" xfId="0" applyNumberFormat="1" applyFont="1"/>
    <xf numFmtId="169" fontId="26" fillId="0" borderId="22" xfId="0" applyNumberFormat="1" applyFont="1" applyBorder="1"/>
    <xf numFmtId="175" fontId="26" fillId="0" borderId="22" xfId="0" applyNumberFormat="1" applyFont="1" applyBorder="1"/>
    <xf numFmtId="0" fontId="26" fillId="0" borderId="0" xfId="0" applyFont="1"/>
    <xf numFmtId="175" fontId="26" fillId="0" borderId="0" xfId="0" applyNumberFormat="1" applyFont="1"/>
    <xf numFmtId="0" fontId="26" fillId="0" borderId="23" xfId="0" applyFont="1" applyBorder="1"/>
    <xf numFmtId="175" fontId="26" fillId="0" borderId="23" xfId="0" applyNumberFormat="1" applyFont="1" applyBorder="1"/>
    <xf numFmtId="0" fontId="26" fillId="0" borderId="0" xfId="0" applyFont="1" applyBorder="1"/>
    <xf numFmtId="175" fontId="26" fillId="0" borderId="0" xfId="0" applyNumberFormat="1" applyFont="1" applyBorder="1"/>
    <xf numFmtId="0" fontId="26" fillId="0" borderId="0" xfId="0" applyFont="1" applyAlignment="1">
      <alignment horizontal="center"/>
    </xf>
    <xf numFmtId="176" fontId="26" fillId="0" borderId="0" xfId="1" applyNumberFormat="1" applyFont="1" applyFill="1" applyBorder="1"/>
    <xf numFmtId="43" fontId="26" fillId="0" borderId="22" xfId="1" applyFont="1" applyFill="1" applyBorder="1"/>
    <xf numFmtId="43" fontId="26" fillId="0" borderId="0" xfId="1" applyFont="1" applyFill="1" applyBorder="1"/>
    <xf numFmtId="43" fontId="26" fillId="0" borderId="23" xfId="1" applyFont="1" applyFill="1" applyBorder="1"/>
    <xf numFmtId="9" fontId="0" fillId="0" borderId="0" xfId="20" applyFont="1" applyFill="1" applyAlignment="1">
      <alignment horizontal="center"/>
    </xf>
    <xf numFmtId="0" fontId="0" fillId="0" borderId="0" xfId="0" applyNumberFormat="1"/>
    <xf numFmtId="0" fontId="1" fillId="4" borderId="6" xfId="6" applyNumberFormat="1" applyBorder="1" applyAlignment="1">
      <alignment horizontal="center"/>
      <protection locked="0"/>
    </xf>
    <xf numFmtId="0" fontId="1" fillId="4" borderId="7" xfId="6" applyNumberFormat="1" applyBorder="1" applyAlignment="1">
      <alignment horizontal="center"/>
      <protection locked="0"/>
    </xf>
    <xf numFmtId="9" fontId="0" fillId="13" borderId="5" xfId="20" applyFont="1" applyFill="1" applyBorder="1" applyAlignment="1">
      <alignment horizontal="center"/>
    </xf>
    <xf numFmtId="9" fontId="0" fillId="0" borderId="0" xfId="20" applyFont="1" applyAlignment="1">
      <alignment horizontal="center"/>
    </xf>
    <xf numFmtId="9" fontId="0" fillId="0" borderId="8" xfId="20" applyFont="1" applyFill="1" applyBorder="1" applyAlignment="1">
      <alignment horizontal="center"/>
    </xf>
    <xf numFmtId="0" fontId="11" fillId="0" borderId="0" xfId="0" applyNumberFormat="1" applyFont="1"/>
    <xf numFmtId="0" fontId="14" fillId="6" borderId="0" xfId="14" applyNumberFormat="1" applyFill="1"/>
    <xf numFmtId="0" fontId="14" fillId="0" borderId="0" xfId="0" applyNumberFormat="1" applyFont="1"/>
    <xf numFmtId="0" fontId="0" fillId="0" borderId="0" xfId="0" applyNumberFormat="1" applyFill="1"/>
    <xf numFmtId="0" fontId="10" fillId="0" borderId="0" xfId="0" applyNumberFormat="1" applyFont="1" applyFill="1"/>
    <xf numFmtId="0" fontId="0" fillId="0" borderId="0" xfId="0" applyNumberFormat="1" applyFill="1" applyAlignment="1">
      <alignment horizontal="left" indent="1"/>
    </xf>
    <xf numFmtId="0" fontId="9" fillId="0" borderId="0" xfId="0" applyNumberFormat="1" applyFont="1" applyFill="1"/>
    <xf numFmtId="0" fontId="0" fillId="0" borderId="5" xfId="0" applyNumberFormat="1" applyFill="1" applyBorder="1" applyAlignment="1">
      <alignment horizontal="center" wrapText="1"/>
    </xf>
    <xf numFmtId="0" fontId="1" fillId="4" borderId="8" xfId="6" applyNumberFormat="1" applyBorder="1" applyAlignment="1">
      <alignment horizontal="center"/>
      <protection locked="0"/>
    </xf>
    <xf numFmtId="0" fontId="1" fillId="6" borderId="5" xfId="14" applyNumberFormat="1" applyFont="1" applyFill="1" applyBorder="1" applyAlignment="1">
      <alignment horizontal="center" wrapText="1"/>
    </xf>
    <xf numFmtId="165" fontId="0" fillId="0" borderId="5" xfId="0" applyNumberFormat="1" applyFill="1" applyBorder="1" applyAlignment="1">
      <alignment horizontal="center"/>
    </xf>
    <xf numFmtId="175" fontId="0" fillId="0" borderId="6" xfId="0" applyNumberFormat="1" applyFill="1" applyBorder="1" applyAlignment="1">
      <alignment horizontal="center"/>
    </xf>
    <xf numFmtId="175" fontId="0" fillId="0" borderId="0" xfId="0" applyNumberFormat="1" applyAlignment="1">
      <alignment horizontal="center"/>
    </xf>
    <xf numFmtId="175" fontId="1" fillId="4" borderId="6" xfId="6" applyNumberFormat="1" applyBorder="1" applyAlignment="1">
      <alignment horizontal="center"/>
      <protection locked="0"/>
    </xf>
    <xf numFmtId="175" fontId="0" fillId="0" borderId="0" xfId="0" applyNumberFormat="1" applyFill="1" applyAlignment="1">
      <alignment horizontal="center"/>
    </xf>
    <xf numFmtId="175" fontId="0" fillId="0" borderId="7" xfId="0" applyNumberFormat="1" applyFill="1" applyBorder="1" applyAlignment="1">
      <alignment horizontal="center"/>
    </xf>
    <xf numFmtId="175" fontId="1" fillId="4" borderId="7" xfId="6" applyNumberFormat="1" applyBorder="1" applyAlignment="1">
      <alignment horizontal="center"/>
      <protection locked="0"/>
    </xf>
    <xf numFmtId="175" fontId="1" fillId="4" borderId="17" xfId="6" applyNumberFormat="1" applyBorder="1" applyAlignment="1">
      <alignment horizontal="center"/>
      <protection locked="0"/>
    </xf>
    <xf numFmtId="0" fontId="0" fillId="0" borderId="25" xfId="0" applyFill="1" applyBorder="1" applyAlignment="1">
      <alignment horizontal="right"/>
    </xf>
    <xf numFmtId="175" fontId="0" fillId="0" borderId="26" xfId="0" applyNumberFormat="1" applyFill="1" applyBorder="1" applyAlignment="1">
      <alignment horizontal="center"/>
    </xf>
    <xf numFmtId="175" fontId="0" fillId="0" borderId="25" xfId="0" applyNumberFormat="1" applyFill="1" applyBorder="1" applyAlignment="1">
      <alignment horizontal="center"/>
    </xf>
    <xf numFmtId="166" fontId="1" fillId="4" borderId="5" xfId="6" applyNumberFormat="1" applyBorder="1" applyAlignment="1">
      <alignment horizontal="center"/>
      <protection locked="0"/>
    </xf>
    <xf numFmtId="0" fontId="29" fillId="0" borderId="0" xfId="0" applyFont="1"/>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9" fillId="0" borderId="0" xfId="0" applyFont="1" applyAlignment="1">
      <alignment horizontal="center"/>
    </xf>
    <xf numFmtId="175" fontId="0" fillId="14" borderId="35" xfId="0" applyNumberFormat="1" applyFill="1" applyBorder="1" applyAlignment="1">
      <alignment horizontal="center"/>
    </xf>
    <xf numFmtId="6" fontId="0" fillId="0" borderId="36" xfId="0" applyNumberFormat="1" applyBorder="1" applyAlignment="1">
      <alignment horizontal="center"/>
    </xf>
    <xf numFmtId="0" fontId="0" fillId="6" borderId="37" xfId="0" applyFill="1" applyBorder="1" applyAlignment="1">
      <alignment horizontal="centerContinuous"/>
    </xf>
    <xf numFmtId="0" fontId="0" fillId="0" borderId="25" xfId="0" applyBorder="1" applyAlignment="1">
      <alignment horizontal="center"/>
    </xf>
    <xf numFmtId="6" fontId="0" fillId="0" borderId="0" xfId="0" applyNumberFormat="1" applyAlignment="1">
      <alignment horizontal="center"/>
    </xf>
    <xf numFmtId="0" fontId="0" fillId="0" borderId="25" xfId="0" applyBorder="1"/>
    <xf numFmtId="0" fontId="29" fillId="0" borderId="0" xfId="0" applyFont="1" applyAlignment="1">
      <alignment horizontal="right"/>
    </xf>
    <xf numFmtId="177" fontId="0" fillId="0" borderId="0" xfId="1" applyNumberFormat="1" applyFont="1"/>
    <xf numFmtId="178" fontId="0" fillId="0" borderId="0" xfId="0" applyNumberFormat="1" applyAlignment="1">
      <alignment horizontal="center"/>
    </xf>
    <xf numFmtId="10" fontId="0" fillId="0" borderId="0" xfId="20" applyNumberFormat="1" applyFont="1" applyAlignment="1">
      <alignment horizontal="center"/>
    </xf>
    <xf numFmtId="165" fontId="0" fillId="0" borderId="0" xfId="20" applyNumberFormat="1" applyFont="1" applyAlignment="1">
      <alignment horizontal="center"/>
    </xf>
    <xf numFmtId="0" fontId="10" fillId="0" borderId="0" xfId="0" applyFont="1" applyAlignment="1">
      <alignment horizontal="left"/>
    </xf>
    <xf numFmtId="0" fontId="0" fillId="0" borderId="0" xfId="0" applyAlignment="1">
      <alignment horizontal="left"/>
    </xf>
    <xf numFmtId="179" fontId="1" fillId="4" borderId="5" xfId="6" applyNumberFormat="1" applyBorder="1" applyAlignment="1">
      <alignment horizontal="center" wrapText="1"/>
      <protection locked="0"/>
    </xf>
    <xf numFmtId="172" fontId="1" fillId="4" borderId="5" xfId="6" applyNumberFormat="1" applyBorder="1" applyAlignment="1">
      <alignment horizontal="center" wrapText="1"/>
      <protection locked="0"/>
    </xf>
    <xf numFmtId="166" fontId="1" fillId="4" borderId="5" xfId="6" applyNumberFormat="1" applyBorder="1" applyAlignment="1">
      <alignment horizontal="center" wrapText="1"/>
      <protection locked="0"/>
    </xf>
    <xf numFmtId="180" fontId="1" fillId="0" borderId="5" xfId="6" applyNumberFormat="1" applyFill="1" applyBorder="1" applyAlignment="1">
      <alignment horizontal="center" wrapText="1"/>
      <protection locked="0"/>
    </xf>
    <xf numFmtId="1" fontId="0" fillId="0" borderId="0" xfId="0" applyNumberFormat="1"/>
    <xf numFmtId="174" fontId="0" fillId="0" borderId="0" xfId="0" applyNumberFormat="1" applyAlignment="1">
      <alignment horizontal="center"/>
    </xf>
    <xf numFmtId="166" fontId="1" fillId="10" borderId="5" xfId="6" applyNumberFormat="1" applyFill="1" applyBorder="1" applyAlignment="1">
      <alignment horizontal="center"/>
      <protection locked="0"/>
    </xf>
    <xf numFmtId="0" fontId="10" fillId="0" borderId="0" xfId="0" applyFont="1" applyFill="1" applyBorder="1" applyAlignment="1">
      <alignment horizontal="center"/>
    </xf>
    <xf numFmtId="0" fontId="28" fillId="0" borderId="0" xfId="0" applyFont="1" applyFill="1" applyBorder="1"/>
    <xf numFmtId="175" fontId="0" fillId="14" borderId="24" xfId="0" applyNumberFormat="1" applyFill="1" applyBorder="1" applyAlignment="1">
      <alignment horizontal="center"/>
    </xf>
    <xf numFmtId="0" fontId="30" fillId="0" borderId="0" xfId="0" applyFont="1"/>
    <xf numFmtId="0" fontId="10" fillId="0" borderId="0" xfId="0" applyFont="1" applyAlignment="1">
      <alignment horizontal="right"/>
    </xf>
    <xf numFmtId="0" fontId="29" fillId="0" borderId="38" xfId="0" applyFont="1" applyBorder="1"/>
    <xf numFmtId="0" fontId="29" fillId="0" borderId="38" xfId="0" applyFont="1" applyBorder="1" applyAlignment="1">
      <alignment horizontal="center"/>
    </xf>
    <xf numFmtId="175" fontId="1" fillId="4" borderId="6" xfId="6" applyNumberFormat="1" applyFont="1" applyBorder="1" applyAlignment="1">
      <alignment horizontal="center"/>
      <protection locked="0"/>
    </xf>
    <xf numFmtId="175" fontId="1" fillId="4" borderId="7" xfId="6" applyNumberFormat="1" applyFont="1" applyBorder="1" applyAlignment="1">
      <alignment horizontal="center"/>
      <protection locked="0"/>
    </xf>
    <xf numFmtId="175" fontId="1" fillId="4" borderId="26" xfId="6" applyNumberFormat="1" applyFont="1" applyBorder="1" applyAlignment="1">
      <alignment horizontal="center"/>
      <protection locked="0"/>
    </xf>
    <xf numFmtId="175" fontId="1" fillId="4" borderId="15" xfId="6" applyNumberFormat="1" applyFont="1" applyBorder="1" applyAlignment="1">
      <alignment horizontal="center"/>
      <protection locked="0"/>
    </xf>
    <xf numFmtId="175" fontId="1" fillId="4" borderId="17" xfId="6" applyNumberFormat="1" applyFont="1" applyBorder="1" applyAlignment="1">
      <alignment horizontal="center"/>
      <protection locked="0"/>
    </xf>
    <xf numFmtId="175" fontId="1" fillId="4" borderId="27" xfId="6" applyNumberFormat="1" applyFont="1" applyBorder="1" applyAlignment="1">
      <alignment horizontal="center"/>
      <protection locked="0"/>
    </xf>
    <xf numFmtId="43" fontId="0" fillId="0" borderId="0" xfId="0" applyNumberFormat="1"/>
    <xf numFmtId="9" fontId="0" fillId="0" borderId="5" xfId="20" applyFont="1" applyBorder="1"/>
    <xf numFmtId="165" fontId="0" fillId="6" borderId="5" xfId="0" applyNumberFormat="1" applyFill="1" applyBorder="1" applyAlignment="1">
      <alignment horizontal="center" wrapText="1"/>
    </xf>
    <xf numFmtId="0" fontId="26" fillId="0" borderId="0" xfId="0" applyFont="1" applyFill="1" applyBorder="1"/>
    <xf numFmtId="175" fontId="26" fillId="0" borderId="0" xfId="0" applyNumberFormat="1" applyFont="1" applyFill="1" applyBorder="1"/>
    <xf numFmtId="3" fontId="0" fillId="0" borderId="2" xfId="0" applyNumberFormat="1" applyBorder="1"/>
    <xf numFmtId="0" fontId="33" fillId="0" borderId="0" xfId="0" applyFont="1"/>
    <xf numFmtId="0" fontId="10" fillId="0" borderId="0" xfId="0" applyFont="1" applyBorder="1" applyAlignment="1">
      <alignment horizontal="center"/>
    </xf>
    <xf numFmtId="0" fontId="0" fillId="0" borderId="0" xfId="0" applyBorder="1" applyAlignment="1">
      <alignment horizontal="center"/>
    </xf>
    <xf numFmtId="0" fontId="32" fillId="15" borderId="5" xfId="0" applyFont="1" applyFill="1" applyBorder="1"/>
    <xf numFmtId="0" fontId="10" fillId="0" borderId="0" xfId="0" applyFont="1" applyBorder="1"/>
    <xf numFmtId="2" fontId="0" fillId="0" borderId="0" xfId="0" applyNumberFormat="1" applyBorder="1" applyAlignment="1">
      <alignment horizontal="center"/>
    </xf>
    <xf numFmtId="0" fontId="10" fillId="0" borderId="0" xfId="0" applyFont="1" applyFill="1" applyBorder="1" applyAlignment="1">
      <alignment horizontal="right"/>
    </xf>
    <xf numFmtId="10" fontId="0" fillId="0" borderId="0" xfId="0" applyNumberFormat="1" applyFill="1" applyBorder="1" applyAlignment="1">
      <alignment horizontal="center"/>
    </xf>
    <xf numFmtId="165" fontId="0" fillId="14" borderId="5" xfId="0" applyNumberFormat="1" applyFill="1" applyBorder="1" applyAlignment="1">
      <alignment horizontal="center"/>
    </xf>
    <xf numFmtId="177" fontId="0" fillId="14" borderId="0" xfId="1" applyNumberFormat="1" applyFont="1" applyFill="1"/>
    <xf numFmtId="43" fontId="0" fillId="14" borderId="0" xfId="1" applyFont="1" applyFill="1"/>
    <xf numFmtId="177" fontId="0" fillId="16" borderId="0" xfId="1" applyNumberFormat="1" applyFont="1" applyFill="1"/>
    <xf numFmtId="178" fontId="0" fillId="16" borderId="0" xfId="0" applyNumberFormat="1" applyFill="1" applyAlignment="1">
      <alignment horizontal="center"/>
    </xf>
    <xf numFmtId="10" fontId="0" fillId="14" borderId="0" xfId="20" applyNumberFormat="1" applyFont="1" applyFill="1" applyAlignment="1">
      <alignment horizontal="center"/>
    </xf>
    <xf numFmtId="178" fontId="0" fillId="14" borderId="0" xfId="0" applyNumberFormat="1" applyFill="1" applyAlignment="1">
      <alignment horizontal="center"/>
    </xf>
    <xf numFmtId="6" fontId="0" fillId="14" borderId="24" xfId="0" applyNumberFormat="1" applyFill="1" applyBorder="1" applyAlignment="1">
      <alignment horizontal="center"/>
    </xf>
    <xf numFmtId="6" fontId="0" fillId="14" borderId="7" xfId="0" applyNumberFormat="1" applyFill="1" applyBorder="1" applyAlignment="1">
      <alignment horizontal="center"/>
    </xf>
    <xf numFmtId="0" fontId="28" fillId="0" borderId="0" xfId="0" applyFont="1"/>
    <xf numFmtId="0" fontId="28" fillId="6" borderId="0" xfId="0" applyFont="1" applyFill="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6" fillId="0" borderId="0" xfId="0" applyFont="1" applyBorder="1" applyAlignment="1">
      <alignment horizontal="center"/>
    </xf>
    <xf numFmtId="0" fontId="28" fillId="0" borderId="0" xfId="0" applyNumberFormat="1" applyFont="1"/>
    <xf numFmtId="0" fontId="0" fillId="0" borderId="0" xfId="0" applyFill="1" applyBorder="1" applyAlignment="1">
      <alignment horizontal="center" wrapText="1"/>
    </xf>
    <xf numFmtId="0" fontId="31" fillId="0" borderId="0" xfId="0" applyFont="1" applyFill="1" applyBorder="1"/>
    <xf numFmtId="0" fontId="27" fillId="0" borderId="0" xfId="0" applyFont="1" applyFill="1" applyBorder="1"/>
    <xf numFmtId="175" fontId="0" fillId="0" borderId="0" xfId="0" applyNumberFormat="1" applyFill="1" applyBorder="1"/>
    <xf numFmtId="175" fontId="27" fillId="0" borderId="0" xfId="0" applyNumberFormat="1" applyFont="1" applyFill="1" applyBorder="1"/>
    <xf numFmtId="177" fontId="27" fillId="0" borderId="0" xfId="1" applyNumberFormat="1" applyFont="1" applyFill="1" applyBorder="1"/>
    <xf numFmtId="3" fontId="32" fillId="0" borderId="0" xfId="6" applyNumberFormat="1" applyFont="1" applyFill="1" applyBorder="1" applyAlignment="1">
      <protection locked="0"/>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0" fillId="0" borderId="2" xfId="0"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29" fillId="0" borderId="2" xfId="0" applyFont="1" applyBorder="1" applyAlignment="1">
      <alignment horizontal="center"/>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9">
    <dxf>
      <fill>
        <patternFill>
          <bgColor rgb="FFDDDDDD"/>
        </patternFill>
      </fill>
    </dxf>
    <dxf>
      <fill>
        <patternFill>
          <bgColor rgb="FFDDDDDD"/>
        </patternFill>
      </fill>
    </dxf>
    <dxf>
      <font>
        <b/>
        <i val="0"/>
        <color rgb="FFFF0000"/>
      </font>
    </dxf>
    <dxf>
      <font>
        <b/>
        <i val="0"/>
        <color rgb="FFFF0000"/>
      </font>
    </dxf>
    <dxf>
      <font>
        <color theme="8" tint="-0.24994659260841701"/>
      </font>
    </dxf>
    <dxf>
      <font>
        <b/>
        <i val="0"/>
        <color rgb="FFFF0000"/>
      </font>
    </dxf>
    <dxf>
      <font>
        <color theme="8" tint="-0.24994659260841701"/>
      </font>
    </dxf>
    <dxf>
      <font>
        <b/>
        <i val="0"/>
        <color rgb="FFFF0000"/>
      </font>
    </dxf>
    <dxf>
      <font>
        <b/>
        <i val="0"/>
        <color rgb="FFFF0000"/>
      </font>
    </dxf>
    <dxf>
      <font>
        <color theme="8" tint="-0.24994659260841701"/>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9933"/>
      <color rgb="FFDDDDDD"/>
      <color rgb="FFFFFFCC"/>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zoomScaleNormal="100" workbookViewId="0"/>
  </sheetViews>
  <sheetFormatPr defaultColWidth="9.09765625" defaultRowHeight="11.5" x14ac:dyDescent="0.25"/>
  <cols>
    <col min="1" max="1" width="2.69921875" style="231"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86"/>
      <c r="C1" s="186"/>
      <c r="D1" s="186"/>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197</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78</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9" t="s">
        <v>79</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9"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15" customHeight="1" x14ac:dyDescent="0.25">
      <c r="B12" s="10"/>
      <c r="C12" s="379" t="s">
        <v>207</v>
      </c>
      <c r="D12" s="380"/>
      <c r="E12" s="380"/>
      <c r="F12" s="17"/>
      <c r="G12" s="17"/>
      <c r="H12"/>
      <c r="I12" s="17"/>
      <c r="J12" s="7"/>
      <c r="K12" s="7"/>
      <c r="L12" s="7"/>
      <c r="M12" s="7"/>
      <c r="N12" s="7"/>
      <c r="O12" s="7"/>
      <c r="P12" s="7"/>
      <c r="Q12" s="7"/>
      <c r="R12" s="7"/>
      <c r="S12" s="7"/>
      <c r="T12" s="7"/>
      <c r="U12" s="7"/>
      <c r="V12" s="7"/>
      <c r="W12" s="7"/>
      <c r="X12" s="7"/>
      <c r="Y12" s="7"/>
      <c r="Z12" s="7"/>
      <c r="AA12" s="7"/>
      <c r="AB12" s="7"/>
      <c r="AC12" s="7"/>
    </row>
    <row r="13" spans="2:29" s="251" customFormat="1" x14ac:dyDescent="0.25">
      <c r="B13" s="10"/>
      <c r="C13" s="249"/>
      <c r="D13" s="250"/>
      <c r="E13" s="250"/>
      <c r="F13" s="17"/>
      <c r="G13" s="17"/>
      <c r="H13"/>
      <c r="I13" s="17"/>
    </row>
    <row r="14" spans="2:29" s="251" customFormat="1" ht="35.4" customHeight="1" x14ac:dyDescent="0.25">
      <c r="B14" s="10"/>
      <c r="C14" s="379" t="s">
        <v>240</v>
      </c>
      <c r="D14" s="380"/>
      <c r="E14" s="380"/>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212</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6" customFormat="1" ht="37.65" customHeight="1" x14ac:dyDescent="0.25">
      <c r="A18" s="231"/>
      <c r="B18" s="10"/>
      <c r="C18" s="379"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380"/>
      <c r="E18" s="380"/>
      <c r="F18" s="17"/>
      <c r="G18" s="17"/>
      <c r="H18"/>
      <c r="I18" s="17"/>
    </row>
    <row r="19" spans="1:29" s="86" customFormat="1" ht="6" customHeight="1" x14ac:dyDescent="0.25">
      <c r="A19" s="231"/>
      <c r="B19" s="10"/>
      <c r="C19" s="20"/>
      <c r="D19" s="21"/>
      <c r="E19" s="17"/>
      <c r="F19" s="17"/>
      <c r="G19" s="17"/>
      <c r="H19"/>
      <c r="I19" s="17"/>
    </row>
    <row r="20" spans="1:29" s="157" customFormat="1" ht="37.65" customHeight="1" x14ac:dyDescent="0.25">
      <c r="A20" s="231"/>
      <c r="B20" s="166"/>
      <c r="C20" s="379"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380"/>
      <c r="E20" s="380"/>
      <c r="F20" s="17"/>
      <c r="G20" s="17"/>
      <c r="H20"/>
      <c r="I20" s="17"/>
    </row>
    <row r="21" spans="1:29" s="241" customFormat="1" x14ac:dyDescent="0.25">
      <c r="B21" s="166"/>
      <c r="C21" s="238"/>
      <c r="D21" s="239"/>
      <c r="E21" s="239"/>
      <c r="F21" s="17"/>
      <c r="G21" s="17"/>
      <c r="H21"/>
      <c r="I21" s="17"/>
    </row>
    <row r="22" spans="1:29" s="241" customFormat="1" ht="14" x14ac:dyDescent="0.3">
      <c r="B22" s="166"/>
      <c r="C22" s="18" t="s">
        <v>213</v>
      </c>
      <c r="D22" s="18"/>
      <c r="E22" s="22"/>
      <c r="F22" s="17"/>
      <c r="G22" s="17"/>
      <c r="H22"/>
      <c r="I22" s="17"/>
    </row>
    <row r="23" spans="1:29" s="157" customFormat="1" x14ac:dyDescent="0.25">
      <c r="A23" s="231"/>
      <c r="B23" s="10"/>
      <c r="C23" s="156"/>
      <c r="D23" s="21"/>
      <c r="E23" s="17"/>
      <c r="F23" s="17"/>
      <c r="G23" s="17"/>
      <c r="H23"/>
      <c r="I23" s="17"/>
    </row>
    <row r="24" spans="1:29" s="157" customFormat="1" x14ac:dyDescent="0.25">
      <c r="A24" s="231"/>
      <c r="B24" s="10"/>
      <c r="C24" s="9" t="s">
        <v>217</v>
      </c>
      <c r="D24" s="21"/>
      <c r="E24" s="17"/>
      <c r="F24" s="17"/>
      <c r="G24" s="17"/>
      <c r="H24"/>
      <c r="I24" s="17"/>
    </row>
    <row r="25" spans="1:29" s="157" customFormat="1" ht="6" customHeight="1" x14ac:dyDescent="0.25">
      <c r="A25" s="231"/>
      <c r="B25" s="10"/>
      <c r="C25" s="156"/>
      <c r="D25" s="21"/>
      <c r="E25" s="17"/>
      <c r="F25" s="17"/>
      <c r="G25" s="17"/>
      <c r="H25"/>
      <c r="I25" s="17"/>
    </row>
    <row r="26" spans="1:29" s="86" customFormat="1" ht="15" customHeight="1" x14ac:dyDescent="0.25">
      <c r="A26" s="231"/>
      <c r="B26" s="10"/>
      <c r="C26" s="381" t="s">
        <v>80</v>
      </c>
      <c r="D26" s="382"/>
      <c r="E26" s="382"/>
      <c r="F26" s="17"/>
      <c r="G26" s="17"/>
      <c r="H26" s="17"/>
      <c r="I26" s="17"/>
    </row>
    <row r="27" spans="1:29" s="86" customFormat="1" ht="6" customHeight="1" x14ac:dyDescent="0.25">
      <c r="A27" s="231"/>
      <c r="B27" s="10"/>
      <c r="C27" s="20"/>
      <c r="D27" s="21"/>
      <c r="E27" s="17"/>
      <c r="F27" s="17"/>
      <c r="G27" s="17"/>
      <c r="H27" s="17"/>
      <c r="I27" s="17"/>
    </row>
    <row r="28" spans="1:29" s="86" customFormat="1" ht="15" customHeight="1" x14ac:dyDescent="0.25">
      <c r="A28" s="231"/>
      <c r="B28" s="10"/>
      <c r="C28" s="167" t="s">
        <v>101</v>
      </c>
      <c r="D28" s="90" t="str">
        <f ca="1">MID(CELL("filename",'General inputs'!$A$1),FIND("]",CELL("filename",'General inputs'!$A$1))+1,255)</f>
        <v>General inputs</v>
      </c>
      <c r="E28" s="17"/>
      <c r="F28" s="17"/>
      <c r="G28" s="17"/>
      <c r="H28" s="17"/>
      <c r="I28" s="17"/>
    </row>
    <row r="29" spans="1:29" s="86" customFormat="1" ht="15" customHeight="1" x14ac:dyDescent="0.25">
      <c r="A29" s="231"/>
      <c r="B29" s="10"/>
      <c r="C29" s="167" t="s">
        <v>101</v>
      </c>
      <c r="D29" s="17" t="str">
        <f ca="1">MID(CELL("filename",'Pre-1996 assets'!$A$1),FIND("]",CELL("filename",'Pre-1996 assets'!$A$1))+1,255)</f>
        <v>Pre-1996 assets</v>
      </c>
      <c r="E29" s="17"/>
      <c r="F29" s="17"/>
      <c r="G29" s="17"/>
      <c r="H29" s="17"/>
      <c r="I29" s="17"/>
    </row>
    <row r="30" spans="1:29" s="86" customFormat="1" ht="15" customHeight="1" x14ac:dyDescent="0.25">
      <c r="A30" s="231"/>
      <c r="B30" s="10"/>
      <c r="C30" s="167" t="s">
        <v>101</v>
      </c>
      <c r="D30" s="17" t="str">
        <f ca="1">MID(CELL("filename",'Post-1996 commissioned assets'!$A$1),FIND("]",CELL("filename",'Post-1996 commissioned assets'!$A$1))+1,255)</f>
        <v>Post-1996 commissioned assets</v>
      </c>
      <c r="E30" s="17"/>
      <c r="F30" s="17"/>
      <c r="G30" s="17"/>
      <c r="H30" s="17"/>
      <c r="I30" s="17"/>
    </row>
    <row r="31" spans="1:29" s="86" customFormat="1" ht="15" customHeight="1" x14ac:dyDescent="0.25">
      <c r="A31" s="231"/>
      <c r="B31" s="10"/>
      <c r="C31" s="167" t="s">
        <v>101</v>
      </c>
      <c r="D31" s="17" t="str">
        <f ca="1">MID(CELL("filename",'Uncommissioned assets'!$A$1),FIND("]",CELL("filename",'Uncommissioned assets'!$A$1))+1,255)</f>
        <v>Uncommissioned assets</v>
      </c>
      <c r="E31" s="17"/>
      <c r="F31" s="17"/>
      <c r="G31" s="17"/>
      <c r="H31" s="17"/>
      <c r="I31" s="17"/>
    </row>
    <row r="32" spans="1:29" s="86" customFormat="1" ht="15" customHeight="1" x14ac:dyDescent="0.25">
      <c r="A32" s="231"/>
      <c r="B32" s="10"/>
      <c r="C32" s="167" t="s">
        <v>101</v>
      </c>
      <c r="D32" s="17" t="str">
        <f ca="1">MID(CELL("filename",'ET inputs'!$A$1),FIND("]",CELL("filename",'ET inputs'!$A$1))+1,255)</f>
        <v>ET inputs</v>
      </c>
      <c r="E32" s="17"/>
      <c r="F32" s="17"/>
      <c r="G32" s="17"/>
      <c r="H32" s="17"/>
      <c r="I32" s="17"/>
    </row>
    <row r="33" spans="1:9" s="86" customFormat="1" ht="15" customHeight="1" x14ac:dyDescent="0.25">
      <c r="A33" s="231"/>
      <c r="B33" s="10"/>
      <c r="C33" s="20"/>
      <c r="D33" s="17"/>
      <c r="E33" s="17"/>
      <c r="F33" s="17"/>
      <c r="G33" s="17"/>
      <c r="H33" s="17"/>
      <c r="I33" s="17"/>
    </row>
    <row r="34" spans="1:9" s="86" customFormat="1" x14ac:dyDescent="0.25">
      <c r="A34" s="231"/>
      <c r="B34" s="10"/>
      <c r="C34" s="9" t="s">
        <v>69</v>
      </c>
      <c r="F34" s="17"/>
      <c r="G34" s="17"/>
      <c r="H34" s="17"/>
      <c r="I34" s="17"/>
    </row>
    <row r="35" spans="1:9" s="92" customFormat="1" ht="6" customHeight="1" x14ac:dyDescent="0.25">
      <c r="A35" s="231"/>
      <c r="B35" s="10"/>
      <c r="C35" s="91"/>
      <c r="D35" s="52"/>
      <c r="E35" s="52"/>
      <c r="F35" s="17"/>
      <c r="G35" s="17"/>
      <c r="H35" s="17"/>
      <c r="I35" s="17"/>
    </row>
    <row r="36" spans="1:9" s="86" customFormat="1" ht="15" customHeight="1" x14ac:dyDescent="0.25">
      <c r="A36" s="231"/>
      <c r="B36" s="10"/>
      <c r="C36" s="379" t="s">
        <v>102</v>
      </c>
      <c r="D36" s="380"/>
      <c r="E36" s="380"/>
      <c r="F36" s="17"/>
      <c r="G36" s="17"/>
      <c r="H36" s="17"/>
      <c r="I36" s="17"/>
    </row>
    <row r="37" spans="1:9" s="86" customFormat="1" ht="6" customHeight="1" x14ac:dyDescent="0.25">
      <c r="A37" s="231"/>
      <c r="B37" s="10"/>
      <c r="C37" s="156"/>
      <c r="D37" s="21"/>
      <c r="E37" s="17"/>
      <c r="F37" s="17"/>
      <c r="G37" s="17"/>
      <c r="H37" s="17"/>
      <c r="I37" s="17"/>
    </row>
    <row r="38" spans="1:9" s="86" customFormat="1" ht="15" customHeight="1" x14ac:dyDescent="0.25">
      <c r="A38" s="231"/>
      <c r="B38" s="10"/>
      <c r="C38" s="168" t="s">
        <v>101</v>
      </c>
      <c r="D38" s="17" t="str">
        <f ca="1">MID(CELL("filename",'Reduction amount'!$A$1),FIND("]",CELL("filename",'Reduction amount'!$A$1))+1,255)</f>
        <v>Reduction amount</v>
      </c>
      <c r="E38" s="17"/>
      <c r="F38" s="17"/>
      <c r="G38" s="17"/>
      <c r="H38" s="17"/>
      <c r="I38" s="17"/>
    </row>
    <row r="39" spans="1:9" s="86" customFormat="1" ht="6" customHeight="1" x14ac:dyDescent="0.25">
      <c r="A39" s="231"/>
      <c r="B39" s="10"/>
      <c r="C39" s="20"/>
      <c r="D39" s="21"/>
      <c r="E39" s="17"/>
      <c r="F39" s="17"/>
      <c r="G39" s="17"/>
      <c r="H39" s="17"/>
      <c r="I39" s="17"/>
    </row>
    <row r="40" spans="1:9" s="86" customFormat="1" ht="39" customHeight="1" x14ac:dyDescent="0.25">
      <c r="A40" s="231"/>
      <c r="B40" s="10"/>
      <c r="C40" s="379"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380"/>
      <c r="E40" s="380"/>
      <c r="F40" s="17"/>
      <c r="G40" s="17"/>
      <c r="H40" s="17"/>
      <c r="I40" s="17"/>
    </row>
    <row r="41" spans="1:9" s="86" customFormat="1" ht="6" customHeight="1" x14ac:dyDescent="0.25">
      <c r="A41" s="231"/>
      <c r="B41" s="10"/>
      <c r="C41" s="20"/>
      <c r="D41" s="17"/>
      <c r="E41" s="17"/>
      <c r="F41" s="17"/>
      <c r="G41" s="17"/>
      <c r="H41" s="17"/>
      <c r="I41" s="17"/>
    </row>
    <row r="42" spans="1:9" s="86" customFormat="1" ht="15" customHeight="1" x14ac:dyDescent="0.25">
      <c r="A42" s="231"/>
      <c r="B42" s="10"/>
      <c r="C42" s="156"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7" customFormat="1" ht="15" customHeight="1" x14ac:dyDescent="0.25">
      <c r="A43" s="231"/>
      <c r="B43" s="10"/>
      <c r="C43" s="156"/>
      <c r="D43" s="21"/>
      <c r="E43" s="17"/>
      <c r="F43" s="17"/>
      <c r="G43" s="17"/>
      <c r="H43" s="17"/>
      <c r="I43" s="17"/>
    </row>
    <row r="44" spans="1:9" s="157" customFormat="1" ht="15" customHeight="1" x14ac:dyDescent="0.25">
      <c r="A44" s="231"/>
      <c r="B44" s="10"/>
      <c r="C44" s="9" t="s">
        <v>103</v>
      </c>
      <c r="D44" s="17"/>
      <c r="E44" s="17"/>
      <c r="F44" s="17"/>
      <c r="G44" s="17"/>
      <c r="H44" s="17"/>
      <c r="I44" s="17"/>
    </row>
    <row r="45" spans="1:9" s="157" customFormat="1" ht="6" customHeight="1" x14ac:dyDescent="0.25">
      <c r="A45" s="231"/>
      <c r="B45" s="10"/>
      <c r="C45" s="9"/>
      <c r="D45" s="17"/>
      <c r="E45" s="17"/>
      <c r="F45" s="17"/>
      <c r="G45" s="17"/>
      <c r="H45" s="17"/>
      <c r="I45" s="17"/>
    </row>
    <row r="46" spans="1:9" s="157" customFormat="1" ht="15" customHeight="1" x14ac:dyDescent="0.25">
      <c r="A46" s="231"/>
      <c r="B46" s="10"/>
      <c r="C46" s="379" t="s">
        <v>104</v>
      </c>
      <c r="D46" s="380"/>
      <c r="E46" s="380"/>
      <c r="F46" s="17"/>
      <c r="G46" s="17"/>
      <c r="H46" s="17"/>
      <c r="I46" s="17"/>
    </row>
    <row r="47" spans="1:9" s="157" customFormat="1" ht="6" customHeight="1" x14ac:dyDescent="0.25">
      <c r="A47" s="231"/>
      <c r="B47" s="10"/>
      <c r="C47" s="154"/>
      <c r="D47" s="155"/>
      <c r="E47" s="155"/>
      <c r="F47" s="17"/>
      <c r="G47" s="17"/>
      <c r="H47" s="17"/>
      <c r="I47" s="17"/>
    </row>
    <row r="48" spans="1:9" s="157" customFormat="1" ht="15" customHeight="1" x14ac:dyDescent="0.25">
      <c r="A48" s="231"/>
      <c r="B48" s="10"/>
      <c r="C48" s="168" t="s">
        <v>101</v>
      </c>
      <c r="D48" s="17" t="str">
        <f ca="1">MID(CELL("filename",'Headwork assets'!$A$1),FIND("]",CELL("filename",'Headwork assets'!$A$1))+1,255)</f>
        <v>Headwork assets</v>
      </c>
      <c r="E48" s="17"/>
      <c r="F48" s="17"/>
      <c r="G48" s="17"/>
      <c r="H48" s="17"/>
      <c r="I48" s="17"/>
    </row>
    <row r="49" spans="1:9" s="157" customFormat="1" ht="6" customHeight="1" x14ac:dyDescent="0.25">
      <c r="A49" s="231"/>
      <c r="B49" s="10"/>
      <c r="C49" s="168"/>
      <c r="D49" s="17"/>
      <c r="E49" s="17"/>
      <c r="F49" s="17"/>
      <c r="G49" s="17"/>
      <c r="H49" s="17"/>
      <c r="I49" s="17"/>
    </row>
    <row r="50" spans="1:9" s="157" customFormat="1" ht="15" customHeight="1" x14ac:dyDescent="0.25">
      <c r="A50" s="231"/>
      <c r="B50" s="10"/>
      <c r="C50" s="381" t="s">
        <v>105</v>
      </c>
      <c r="D50" s="382"/>
      <c r="E50" s="382"/>
      <c r="F50" s="17"/>
      <c r="G50" s="17"/>
      <c r="H50" s="17"/>
      <c r="I50" s="17"/>
    </row>
    <row r="51" spans="1:9" s="157" customFormat="1" ht="6" customHeight="1" x14ac:dyDescent="0.25">
      <c r="A51" s="231"/>
      <c r="B51" s="10"/>
      <c r="C51" s="156"/>
      <c r="F51" s="17"/>
      <c r="G51" s="17"/>
      <c r="H51" s="17"/>
      <c r="I51" s="17"/>
    </row>
    <row r="52" spans="1:9" s="157" customFormat="1" ht="24" customHeight="1" x14ac:dyDescent="0.25">
      <c r="A52" s="231"/>
      <c r="B52" s="10"/>
      <c r="C52" s="379" t="s">
        <v>84</v>
      </c>
      <c r="D52" s="380"/>
      <c r="E52" s="380"/>
      <c r="F52" s="17"/>
      <c r="G52" s="17"/>
      <c r="H52" s="17"/>
      <c r="I52" s="17"/>
    </row>
    <row r="53" spans="1:9" s="157" customFormat="1" ht="15" customHeight="1" x14ac:dyDescent="0.25">
      <c r="A53" s="231"/>
      <c r="B53" s="10"/>
      <c r="C53" s="154"/>
      <c r="D53" s="155"/>
      <c r="E53" s="155"/>
      <c r="F53" s="17"/>
      <c r="G53" s="17"/>
      <c r="H53" s="17"/>
      <c r="I53" s="17"/>
    </row>
    <row r="54" spans="1:9" s="157" customFormat="1" ht="15" customHeight="1" x14ac:dyDescent="0.25">
      <c r="A54" s="231"/>
      <c r="B54" s="10"/>
      <c r="C54" s="15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5"/>
      <c r="E54" s="155"/>
      <c r="F54" s="17"/>
      <c r="G54" s="17"/>
      <c r="H54" s="17"/>
      <c r="I54" s="17"/>
    </row>
    <row r="55" spans="1:9" s="157" customFormat="1" ht="15" customHeight="1" x14ac:dyDescent="0.25">
      <c r="A55" s="231"/>
      <c r="B55" s="10"/>
      <c r="C55" s="154"/>
      <c r="D55" s="155"/>
      <c r="E55" s="155"/>
      <c r="F55" s="17"/>
      <c r="G55" s="17"/>
      <c r="H55" s="17"/>
      <c r="I55" s="17"/>
    </row>
    <row r="56" spans="1:9" s="241" customFormat="1" ht="15" customHeight="1" x14ac:dyDescent="0.25">
      <c r="B56" s="10"/>
      <c r="C56" s="9" t="s">
        <v>214</v>
      </c>
      <c r="D56" s="17"/>
      <c r="E56" s="17"/>
      <c r="F56" s="17"/>
      <c r="G56" s="17"/>
      <c r="H56" s="17"/>
      <c r="I56" s="17"/>
    </row>
    <row r="57" spans="1:9" s="241" customFormat="1" ht="6" customHeight="1" x14ac:dyDescent="0.25">
      <c r="B57" s="10"/>
      <c r="C57" s="9"/>
      <c r="D57" s="17"/>
      <c r="E57" s="17"/>
      <c r="F57" s="17"/>
      <c r="G57" s="17"/>
      <c r="H57" s="17"/>
      <c r="I57" s="17"/>
    </row>
    <row r="58" spans="1:9" s="241" customFormat="1" ht="15" customHeight="1" x14ac:dyDescent="0.25">
      <c r="B58" s="10"/>
      <c r="C58" s="379" t="s">
        <v>215</v>
      </c>
      <c r="D58" s="380"/>
      <c r="E58" s="380"/>
      <c r="F58" s="17"/>
      <c r="G58" s="17"/>
      <c r="H58" s="17"/>
      <c r="I58" s="17"/>
    </row>
    <row r="59" spans="1:9" s="241" customFormat="1" ht="6" customHeight="1" x14ac:dyDescent="0.25">
      <c r="B59" s="10"/>
      <c r="C59" s="238"/>
      <c r="D59" s="239"/>
      <c r="E59" s="239"/>
      <c r="F59" s="17"/>
      <c r="G59" s="17"/>
      <c r="H59" s="17"/>
      <c r="I59" s="17"/>
    </row>
    <row r="60" spans="1:9" s="241" customFormat="1" ht="15" customHeight="1" x14ac:dyDescent="0.25">
      <c r="B60" s="10"/>
      <c r="C60" s="168" t="s">
        <v>101</v>
      </c>
      <c r="D60" s="17" t="str">
        <f ca="1">MID(CELL("filename",'Scheme cost allocation'!$A$1),FIND("]",CELL("filename",'Scheme cost allocation'!$A$1))+1,255)</f>
        <v>Scheme cost allocation</v>
      </c>
      <c r="E60" s="17"/>
      <c r="F60" s="17"/>
      <c r="G60" s="17"/>
      <c r="H60" s="17"/>
      <c r="I60" s="17"/>
    </row>
    <row r="61" spans="1:9" s="241" customFormat="1" ht="6" customHeight="1" x14ac:dyDescent="0.25">
      <c r="B61" s="10"/>
      <c r="C61" s="168"/>
      <c r="D61" s="17"/>
      <c r="E61" s="17"/>
      <c r="F61" s="17"/>
      <c r="G61" s="17"/>
      <c r="H61" s="17"/>
      <c r="I61" s="17"/>
    </row>
    <row r="62" spans="1:9" s="241" customFormat="1" ht="15" customHeight="1" x14ac:dyDescent="0.25">
      <c r="B62" s="10"/>
      <c r="C62" s="381" t="s">
        <v>216</v>
      </c>
      <c r="D62" s="382"/>
      <c r="E62" s="382"/>
      <c r="F62" s="17"/>
      <c r="G62" s="17"/>
      <c r="H62" s="17"/>
      <c r="I62" s="17"/>
    </row>
    <row r="63" spans="1:9" s="241" customFormat="1" ht="6" customHeight="1" x14ac:dyDescent="0.25">
      <c r="B63" s="10"/>
      <c r="C63" s="240"/>
      <c r="F63" s="17"/>
      <c r="G63" s="17"/>
      <c r="H63" s="17"/>
      <c r="I63" s="17"/>
    </row>
    <row r="64" spans="1:9" s="241" customFormat="1" ht="24" customHeight="1" x14ac:dyDescent="0.25">
      <c r="B64" s="10"/>
      <c r="C64" s="379" t="s">
        <v>84</v>
      </c>
      <c r="D64" s="380"/>
      <c r="E64" s="380"/>
      <c r="F64" s="17"/>
      <c r="G64" s="17"/>
      <c r="H64" s="17"/>
      <c r="I64" s="17"/>
    </row>
    <row r="65" spans="1:9" s="241" customFormat="1" ht="6" customHeight="1" x14ac:dyDescent="0.25">
      <c r="B65" s="10"/>
      <c r="C65" s="238"/>
      <c r="D65" s="239"/>
      <c r="E65" s="239"/>
      <c r="F65" s="17"/>
      <c r="G65" s="17"/>
      <c r="H65" s="17"/>
      <c r="I65" s="17"/>
    </row>
    <row r="66" spans="1:9" s="241" customFormat="1" ht="15" customHeight="1" x14ac:dyDescent="0.25">
      <c r="B66" s="10"/>
      <c r="C66" s="240"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39"/>
      <c r="E66" s="239"/>
      <c r="F66" s="17"/>
      <c r="G66" s="17"/>
      <c r="H66" s="17"/>
      <c r="I66" s="17"/>
    </row>
    <row r="67" spans="1:9" s="241" customFormat="1" ht="15" customHeight="1" x14ac:dyDescent="0.25">
      <c r="B67" s="10"/>
      <c r="C67" s="238"/>
      <c r="D67" s="239"/>
      <c r="E67" s="239"/>
      <c r="F67" s="17"/>
      <c r="G67" s="17"/>
      <c r="H67" s="17"/>
      <c r="I67" s="17"/>
    </row>
    <row r="68" spans="1:9" s="157" customFormat="1" ht="15" customHeight="1" x14ac:dyDescent="0.25">
      <c r="A68" s="231"/>
      <c r="B68" s="10"/>
      <c r="C68" s="9" t="s">
        <v>193</v>
      </c>
      <c r="D68" s="9"/>
      <c r="E68" s="169"/>
      <c r="F68" s="17"/>
      <c r="G68" s="17"/>
      <c r="H68" s="17"/>
      <c r="I68" s="17"/>
    </row>
    <row r="69" spans="1:9" s="157" customFormat="1" ht="6" customHeight="1" x14ac:dyDescent="0.25">
      <c r="A69" s="231"/>
      <c r="B69" s="10"/>
      <c r="C69" s="9"/>
      <c r="D69" s="9"/>
      <c r="E69" s="169"/>
      <c r="F69" s="17"/>
      <c r="G69" s="17"/>
      <c r="H69" s="17"/>
      <c r="I69" s="17"/>
    </row>
    <row r="70" spans="1:9" s="157" customFormat="1" ht="15" customHeight="1" x14ac:dyDescent="0.25">
      <c r="A70" s="231"/>
      <c r="B70" s="10"/>
      <c r="C70" s="170" t="s">
        <v>194</v>
      </c>
      <c r="D70" s="9"/>
      <c r="E70" s="169"/>
      <c r="F70" s="17"/>
      <c r="G70" s="17"/>
      <c r="H70" s="17"/>
      <c r="I70" s="17"/>
    </row>
    <row r="71" spans="1:9" s="157" customFormat="1" ht="6" customHeight="1" x14ac:dyDescent="0.25">
      <c r="A71" s="231"/>
      <c r="B71" s="10"/>
      <c r="C71" s="170"/>
      <c r="D71" s="9"/>
      <c r="E71" s="169"/>
      <c r="F71" s="17"/>
      <c r="G71" s="17"/>
      <c r="H71" s="17"/>
      <c r="I71" s="17"/>
    </row>
    <row r="72" spans="1:9" s="86" customFormat="1" x14ac:dyDescent="0.25">
      <c r="A72" s="231"/>
      <c r="B72" s="10"/>
      <c r="C72" s="168" t="s">
        <v>101</v>
      </c>
      <c r="D72" s="90" t="str">
        <f ca="1">MID(CELL("filename",'MP Calculations'!A8),FIND("]",CELL("filename",'MP Calculations'!A8))+1,255)</f>
        <v>MP Calculations</v>
      </c>
      <c r="E72" s="169"/>
      <c r="F72" s="17"/>
      <c r="G72" s="17"/>
      <c r="H72" s="17"/>
      <c r="I72" s="17"/>
    </row>
    <row r="73" spans="1:9" s="86" customFormat="1" x14ac:dyDescent="0.25">
      <c r="A73" s="231"/>
      <c r="B73" s="10"/>
      <c r="C73" s="168" t="s">
        <v>101</v>
      </c>
      <c r="D73" s="90" t="str">
        <f ca="1">MID(CELL("filename",'Summary of result'!A11),FIND("]",CELL("filename",'Summary of result'!A11))+1,255)</f>
        <v>Summary of result</v>
      </c>
      <c r="E73" s="169"/>
      <c r="F73" s="17"/>
      <c r="G73" s="17"/>
      <c r="H73" s="17"/>
      <c r="I73" s="17"/>
    </row>
    <row r="74" spans="1:9" s="157" customFormat="1" ht="6" customHeight="1" x14ac:dyDescent="0.25">
      <c r="A74" s="231"/>
      <c r="B74" s="10"/>
      <c r="C74" s="168"/>
      <c r="D74" s="90"/>
      <c r="E74" s="169"/>
      <c r="F74" s="17"/>
      <c r="G74" s="17"/>
      <c r="H74" s="17"/>
      <c r="I74" s="17"/>
    </row>
    <row r="75" spans="1:9" s="92" customFormat="1" x14ac:dyDescent="0.25">
      <c r="A75" s="231"/>
      <c r="B75" s="10"/>
      <c r="C75" s="379" t="s">
        <v>198</v>
      </c>
      <c r="D75" s="380"/>
      <c r="E75" s="380"/>
      <c r="F75" s="17"/>
      <c r="G75" s="17"/>
      <c r="H75" s="17"/>
      <c r="I75" s="17"/>
    </row>
    <row r="76" spans="1:9" s="86" customFormat="1" ht="15" customHeight="1" x14ac:dyDescent="0.25">
      <c r="A76" s="231"/>
      <c r="B76" s="10"/>
      <c r="C76" s="156"/>
      <c r="D76" s="21"/>
      <c r="E76" s="17"/>
      <c r="F76" s="17"/>
      <c r="G76" s="17"/>
      <c r="H76" s="17"/>
      <c r="I76" s="17"/>
    </row>
    <row r="77" spans="1:9" s="157" customFormat="1" ht="15" customHeight="1" x14ac:dyDescent="0.25">
      <c r="A77" s="231"/>
      <c r="B77" s="10"/>
      <c r="C77" s="9" t="s">
        <v>106</v>
      </c>
      <c r="D77" s="21"/>
      <c r="E77" s="17"/>
      <c r="F77" s="17"/>
      <c r="G77" s="17"/>
      <c r="H77" s="17"/>
      <c r="I77" s="17"/>
    </row>
    <row r="78" spans="1:9" s="157" customFormat="1" ht="6" customHeight="1" x14ac:dyDescent="0.25">
      <c r="A78" s="231"/>
      <c r="B78" s="10"/>
      <c r="C78" s="156"/>
      <c r="D78" s="21"/>
      <c r="E78" s="17"/>
      <c r="F78" s="17"/>
      <c r="G78" s="17"/>
      <c r="H78" s="17"/>
      <c r="I78" s="17"/>
    </row>
    <row r="79" spans="1:9" s="157" customFormat="1" ht="15" customHeight="1" x14ac:dyDescent="0.25">
      <c r="A79" s="231"/>
      <c r="B79" s="10"/>
      <c r="C79" s="17" t="s">
        <v>107</v>
      </c>
      <c r="D79" s="21"/>
      <c r="E79" s="17"/>
      <c r="F79" s="17"/>
      <c r="G79" s="17"/>
      <c r="H79" s="17"/>
      <c r="I79" s="17"/>
    </row>
    <row r="80" spans="1:9" s="157" customFormat="1" ht="6" customHeight="1" x14ac:dyDescent="0.25">
      <c r="A80" s="231"/>
      <c r="B80" s="10"/>
      <c r="C80" s="17"/>
      <c r="D80" s="21"/>
      <c r="E80" s="17"/>
      <c r="F80" s="17"/>
      <c r="G80" s="17"/>
      <c r="H80" s="17"/>
      <c r="I80" s="17"/>
    </row>
    <row r="81" spans="1:29" s="86" customFormat="1" ht="15" customHeight="1" x14ac:dyDescent="0.25">
      <c r="A81" s="231"/>
      <c r="B81" s="10"/>
      <c r="C81" s="168" t="s">
        <v>101</v>
      </c>
      <c r="D81" s="90" t="str">
        <f ca="1">MID(CELL("filename",'Asset exclusions'!A14),FIND("]",CELL("filename",'Asset exclusions'!A14))+1,255)</f>
        <v>Asset exclusions</v>
      </c>
      <c r="E81" s="17"/>
      <c r="F81" s="17"/>
      <c r="G81" s="17"/>
      <c r="H81" s="17"/>
      <c r="I81" s="17"/>
    </row>
    <row r="82" spans="1:29" s="86" customFormat="1" ht="15" customHeight="1" x14ac:dyDescent="0.25">
      <c r="A82" s="231"/>
      <c r="B82" s="10"/>
      <c r="C82" s="21"/>
      <c r="D82" s="21"/>
      <c r="E82" s="17"/>
      <c r="F82" s="17"/>
      <c r="G82" s="17"/>
      <c r="H82" s="17"/>
      <c r="I82" s="17"/>
    </row>
    <row r="83" spans="1:29" s="172" customFormat="1" ht="15" customHeight="1" x14ac:dyDescent="0.25">
      <c r="A83" s="231"/>
      <c r="B83" s="10"/>
      <c r="C83" s="169" t="s">
        <v>195</v>
      </c>
      <c r="D83" s="21"/>
      <c r="E83" s="17"/>
      <c r="F83" s="17"/>
      <c r="G83" s="17"/>
      <c r="H83" s="17"/>
      <c r="I83" s="17"/>
    </row>
    <row r="84" spans="1:29" s="172" customFormat="1" ht="15" customHeight="1" x14ac:dyDescent="0.25">
      <c r="A84" s="231"/>
      <c r="B84" s="10"/>
      <c r="C84" s="168" t="s">
        <v>101</v>
      </c>
      <c r="D84" s="174" t="s">
        <v>113</v>
      </c>
      <c r="F84" s="17"/>
      <c r="G84" s="17"/>
      <c r="H84" s="17"/>
      <c r="I84" s="17"/>
    </row>
    <row r="85" spans="1:29" s="251" customFormat="1" ht="15" customHeight="1" x14ac:dyDescent="0.25">
      <c r="B85" s="10"/>
      <c r="C85" s="168" t="s">
        <v>101</v>
      </c>
      <c r="D85" s="252" t="s">
        <v>235</v>
      </c>
      <c r="F85" s="17"/>
      <c r="G85" s="17"/>
      <c r="H85" s="17"/>
      <c r="I85" s="17"/>
    </row>
    <row r="86" spans="1:29" s="251" customFormat="1" ht="15" customHeight="1" x14ac:dyDescent="0.25">
      <c r="B86" s="10"/>
      <c r="C86" s="168"/>
      <c r="D86" s="252"/>
      <c r="F86" s="17"/>
      <c r="G86" s="17"/>
      <c r="H86" s="17"/>
      <c r="I86" s="17"/>
    </row>
    <row r="87" spans="1:29" s="251" customFormat="1" ht="15" customHeight="1" x14ac:dyDescent="0.25">
      <c r="B87" s="10"/>
      <c r="C87" s="17" t="s">
        <v>241</v>
      </c>
      <c r="D87" s="252"/>
      <c r="F87" s="17"/>
      <c r="G87" s="17"/>
      <c r="H87" s="17"/>
      <c r="I87" s="17"/>
    </row>
    <row r="88" spans="1:29" s="251" customFormat="1" ht="15" customHeight="1" x14ac:dyDescent="0.25">
      <c r="B88" s="10"/>
      <c r="C88" s="17"/>
      <c r="D88" s="252"/>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7" customFormat="1" ht="15" customHeight="1" x14ac:dyDescent="0.25">
      <c r="A95" s="231"/>
      <c r="B95" s="10"/>
      <c r="C95" s="151" t="s">
        <v>99</v>
      </c>
      <c r="D95" s="152"/>
      <c r="E95" s="152"/>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81</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234</v>
      </c>
    </row>
    <row r="5" spans="3:7" x14ac:dyDescent="0.25">
      <c r="C5" s="58" t="s">
        <v>222</v>
      </c>
      <c r="D5" s="58" t="s">
        <v>223</v>
      </c>
      <c r="E5" s="58" t="s">
        <v>224</v>
      </c>
      <c r="F5" s="58" t="s">
        <v>225</v>
      </c>
      <c r="G5" s="58" t="s">
        <v>230</v>
      </c>
    </row>
    <row r="6" spans="3:7" ht="34.5" x14ac:dyDescent="0.25">
      <c r="C6" s="243" t="s">
        <v>226</v>
      </c>
      <c r="D6" s="243" t="s">
        <v>231</v>
      </c>
      <c r="E6" s="243" t="s">
        <v>227</v>
      </c>
      <c r="F6" s="246" t="s">
        <v>228</v>
      </c>
      <c r="G6" s="247">
        <v>43678</v>
      </c>
    </row>
    <row r="7" spans="3:7" ht="23" x14ac:dyDescent="0.25">
      <c r="C7" s="243" t="s">
        <v>226</v>
      </c>
      <c r="D7" s="243" t="s">
        <v>232</v>
      </c>
      <c r="E7" s="243" t="s">
        <v>229</v>
      </c>
      <c r="F7" s="246" t="s">
        <v>228</v>
      </c>
      <c r="G7" s="247">
        <v>43678</v>
      </c>
    </row>
    <row r="8" spans="3:7" ht="46" x14ac:dyDescent="0.25">
      <c r="C8" s="245" t="s">
        <v>237</v>
      </c>
      <c r="D8" s="245" t="s">
        <v>233</v>
      </c>
      <c r="E8" s="245" t="s">
        <v>269</v>
      </c>
      <c r="F8" s="246" t="s">
        <v>228</v>
      </c>
      <c r="G8" s="247">
        <v>43678</v>
      </c>
    </row>
    <row r="9" spans="3:7" x14ac:dyDescent="0.25">
      <c r="C9" s="244"/>
      <c r="D9" s="244"/>
      <c r="E9" s="244"/>
      <c r="F9" s="246"/>
      <c r="G9" s="247"/>
    </row>
    <row r="10" spans="3:7" x14ac:dyDescent="0.25">
      <c r="C10" s="244"/>
      <c r="D10" s="244"/>
      <c r="E10" s="244"/>
      <c r="F10" s="246"/>
      <c r="G10" s="247"/>
    </row>
    <row r="11" spans="3:7" x14ac:dyDescent="0.25">
      <c r="C11" s="244"/>
      <c r="D11" s="244"/>
      <c r="E11" s="244"/>
      <c r="F11" s="246"/>
      <c r="G11" s="247"/>
    </row>
    <row r="12" spans="3:7" x14ac:dyDescent="0.25">
      <c r="C12" s="244"/>
      <c r="D12" s="244"/>
      <c r="E12" s="244"/>
      <c r="F12" s="246"/>
      <c r="G12" s="247"/>
    </row>
    <row r="13" spans="3:7" x14ac:dyDescent="0.25">
      <c r="C13" s="244"/>
      <c r="D13" s="244"/>
      <c r="E13" s="244"/>
      <c r="F13" s="246"/>
      <c r="G13" s="247"/>
    </row>
    <row r="14" spans="3:7" x14ac:dyDescent="0.25">
      <c r="C14" s="244"/>
      <c r="D14" s="244"/>
      <c r="E14" s="244"/>
      <c r="F14" s="246"/>
      <c r="G14" s="247"/>
    </row>
    <row r="15" spans="3:7" x14ac:dyDescent="0.25">
      <c r="C15" s="244"/>
      <c r="D15" s="244"/>
      <c r="E15" s="244"/>
      <c r="F15" s="246"/>
      <c r="G15" s="247"/>
    </row>
    <row r="16" spans="3:7" x14ac:dyDescent="0.25">
      <c r="C16" s="244"/>
      <c r="D16" s="244"/>
      <c r="E16" s="244"/>
      <c r="F16" s="246"/>
      <c r="G16" s="247"/>
    </row>
    <row r="17" spans="3:7" x14ac:dyDescent="0.25">
      <c r="C17" s="244"/>
      <c r="D17" s="244"/>
      <c r="E17" s="244"/>
      <c r="F17" s="246"/>
      <c r="G17" s="247"/>
    </row>
    <row r="18" spans="3:7" x14ac:dyDescent="0.25">
      <c r="C18" s="244"/>
      <c r="D18" s="244"/>
      <c r="E18" s="244"/>
      <c r="F18" s="246"/>
      <c r="G18" s="247"/>
    </row>
    <row r="19" spans="3:7" x14ac:dyDescent="0.25">
      <c r="C19" s="244"/>
      <c r="D19" s="244"/>
      <c r="E19" s="244"/>
      <c r="F19" s="246"/>
      <c r="G19" s="247"/>
    </row>
    <row r="20" spans="3:7" x14ac:dyDescent="0.25">
      <c r="C20" s="244"/>
      <c r="D20" s="244"/>
      <c r="E20" s="244"/>
      <c r="F20" s="246"/>
      <c r="G20" s="247"/>
    </row>
    <row r="21" spans="3:7" x14ac:dyDescent="0.25">
      <c r="C21" s="244"/>
      <c r="D21" s="244"/>
      <c r="E21" s="244"/>
      <c r="F21" s="246"/>
      <c r="G21" s="247"/>
    </row>
    <row r="22" spans="3:7" x14ac:dyDescent="0.25">
      <c r="C22" s="244"/>
      <c r="D22" s="244"/>
      <c r="E22" s="244"/>
      <c r="F22" s="246"/>
      <c r="G22" s="247"/>
    </row>
    <row r="23" spans="3:7" x14ac:dyDescent="0.25">
      <c r="C23" s="244"/>
      <c r="D23" s="244"/>
      <c r="E23" s="244"/>
      <c r="F23" s="246"/>
      <c r="G23" s="2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J8" sqref="J8"/>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30" t="s">
        <v>191</v>
      </c>
    </row>
    <row r="5" spans="1:17" hidden="1" outlineLevel="1" x14ac:dyDescent="0.25">
      <c r="D5" t="s">
        <v>242</v>
      </c>
      <c r="Q5" s="252" t="s">
        <v>235</v>
      </c>
    </row>
    <row r="6" spans="1:17" hidden="1" outlineLevel="1" x14ac:dyDescent="0.25">
      <c r="Q6" s="252"/>
    </row>
    <row r="7" spans="1:17" hidden="1" outlineLevel="1" x14ac:dyDescent="0.25"/>
    <row r="8" spans="1:17" collapsed="1" x14ac:dyDescent="0.25">
      <c r="D8" s="2" t="str">
        <f>"The maximum price for the new development area '"&amp;'General inputs'!H7&amp;"' is:"</f>
        <v>The maximum price for the new development area 'Potts Hill Drinking Water' is:</v>
      </c>
      <c r="J8" s="85">
        <f>G19</f>
        <v>0</v>
      </c>
      <c r="K8" t="str">
        <f>"per ET ($"&amp;'General inputs'!$I$40&amp;")."</f>
        <v>per ET ($2022-23).</v>
      </c>
    </row>
    <row r="10" spans="1:17" x14ac:dyDescent="0.25">
      <c r="A10" s="149"/>
      <c r="B10" s="149"/>
      <c r="C10" s="2"/>
      <c r="D10" s="150" t="s">
        <v>100</v>
      </c>
      <c r="E10" s="2"/>
      <c r="F10" s="2"/>
      <c r="G10" s="2"/>
      <c r="H10" s="2"/>
      <c r="J10" s="216">
        <f>IF($J$8&lt;=0,0,IF('General inputs'!$H$42='General inputs'!$L$37,'MP Calculations'!F22,IF('General inputs'!$H$42='General inputs'!$L$38,'MP Calculations'!F22*1000,'MP Calculations'!F22*1000000)))</f>
        <v>0</v>
      </c>
      <c r="K10" s="2" t="s">
        <v>87</v>
      </c>
      <c r="L10" s="2"/>
      <c r="M10" s="2"/>
    </row>
    <row r="12" spans="1:17" x14ac:dyDescent="0.25">
      <c r="G12" s="2"/>
    </row>
    <row r="13" spans="1:17" x14ac:dyDescent="0.25">
      <c r="D13" s="150" t="s">
        <v>192</v>
      </c>
      <c r="G13" s="2"/>
    </row>
    <row r="14" spans="1:17" x14ac:dyDescent="0.25">
      <c r="G14" s="2"/>
    </row>
    <row r="15" spans="1:17" x14ac:dyDescent="0.25">
      <c r="G15" s="2"/>
    </row>
    <row r="17" spans="4:21" x14ac:dyDescent="0.25">
      <c r="D17" t="str">
        <f>"in $, $"&amp;'General inputs'!$I$40&amp;", where:"</f>
        <v>in $, $2022-23, where:</v>
      </c>
    </row>
    <row r="19" spans="4:21" x14ac:dyDescent="0.25">
      <c r="E19" t="s">
        <v>208</v>
      </c>
      <c r="F19" s="48" t="s">
        <v>67</v>
      </c>
      <c r="G19" s="173">
        <f>IF('General inputs'!$H$42='General inputs'!$L$37,'MP Calculations'!C22,IF('General inputs'!$H$42='General inputs'!$L$38,'MP Calculations'!C22*1000,'MP Calculations'!C22*1000000))</f>
        <v>0</v>
      </c>
      <c r="H19" s="48" t="s">
        <v>67</v>
      </c>
      <c r="I19" s="234" t="s">
        <v>243</v>
      </c>
      <c r="J19" s="2"/>
      <c r="K19" s="2"/>
      <c r="L19" s="2"/>
      <c r="M19" s="2"/>
      <c r="N19" s="2"/>
      <c r="O19" s="2"/>
      <c r="P19" s="2"/>
      <c r="Q19" s="2"/>
      <c r="R19" s="2"/>
      <c r="S19" s="2"/>
      <c r="T19" s="2"/>
      <c r="U19" s="2"/>
    </row>
    <row r="20" spans="4:21" ht="13.5" x14ac:dyDescent="0.35">
      <c r="E20" t="s">
        <v>71</v>
      </c>
      <c r="F20" s="48" t="s">
        <v>67</v>
      </c>
      <c r="G20" s="173">
        <f>IF('General inputs'!$H$42='General inputs'!$L$37,'MP Calculations'!H20,IF('General inputs'!$H$42='General inputs'!$L$38,'MP Calculations'!H20*1000,'MP Calculations'!H20*1000000))</f>
        <v>97121838.082064375</v>
      </c>
      <c r="H20" s="48" t="s">
        <v>67</v>
      </c>
      <c r="I20" s="2" t="s">
        <v>171</v>
      </c>
      <c r="J20" s="2"/>
      <c r="K20" s="2"/>
      <c r="L20" s="2"/>
      <c r="M20" s="2"/>
      <c r="N20" s="2"/>
      <c r="O20" s="2"/>
      <c r="P20" s="2"/>
      <c r="Q20" s="2"/>
      <c r="R20" s="2"/>
      <c r="S20" s="2"/>
      <c r="T20" s="2"/>
      <c r="U20" s="2"/>
    </row>
    <row r="21" spans="4:21" ht="13.5" x14ac:dyDescent="0.35">
      <c r="E21" t="s">
        <v>72</v>
      </c>
      <c r="F21" s="48" t="s">
        <v>67</v>
      </c>
      <c r="G21" s="173">
        <f>IF('General inputs'!$H$42='General inputs'!$L$37,SUM('MP Calculations'!I20:K20),IF('General inputs'!$H$42='General inputs'!$L$38,SUM('MP Calculations'!I20:K20)*1000,SUM('MP Calculations'!I20:K20)*1000000))</f>
        <v>234750049.49463561</v>
      </c>
      <c r="H21" s="48" t="s">
        <v>67</v>
      </c>
      <c r="I21" s="2" t="s">
        <v>172</v>
      </c>
      <c r="J21" s="2"/>
      <c r="K21" s="2"/>
      <c r="L21" s="2"/>
      <c r="M21" s="2"/>
      <c r="N21" s="2"/>
      <c r="O21" s="2"/>
      <c r="P21" s="2"/>
      <c r="Q21" s="2"/>
      <c r="R21" s="2"/>
      <c r="S21" s="2"/>
      <c r="T21" s="2"/>
      <c r="U21" s="2"/>
    </row>
    <row r="22" spans="4:21" ht="13.5" x14ac:dyDescent="0.35">
      <c r="E22" t="s">
        <v>266</v>
      </c>
      <c r="F22" s="48" t="s">
        <v>67</v>
      </c>
      <c r="G22" s="84">
        <f>'MP Calculations'!H21</f>
        <v>658637.59065996204</v>
      </c>
      <c r="H22" s="48" t="s">
        <v>67</v>
      </c>
      <c r="I22" s="232" t="s">
        <v>173</v>
      </c>
      <c r="J22" s="233"/>
      <c r="K22" s="233"/>
      <c r="L22" s="233"/>
      <c r="M22" s="233"/>
      <c r="N22" s="233"/>
      <c r="O22" s="233"/>
      <c r="P22" s="233"/>
      <c r="Q22" s="233"/>
      <c r="R22" s="233"/>
      <c r="S22" s="233"/>
      <c r="T22" s="233"/>
      <c r="U22" s="233"/>
    </row>
    <row r="23" spans="4:21" ht="13.5" x14ac:dyDescent="0.35">
      <c r="E23" t="s">
        <v>267</v>
      </c>
      <c r="F23" s="48" t="s">
        <v>67</v>
      </c>
      <c r="G23" s="84">
        <f>'MP Calculations'!J21</f>
        <v>729689.14436731744</v>
      </c>
      <c r="H23" s="48" t="s">
        <v>67</v>
      </c>
      <c r="I23" s="232" t="s">
        <v>174</v>
      </c>
      <c r="J23" s="233"/>
      <c r="K23" s="233"/>
      <c r="L23" s="233"/>
      <c r="M23" s="233"/>
      <c r="N23" s="233"/>
      <c r="O23" s="233"/>
      <c r="P23" s="233"/>
      <c r="Q23" s="233"/>
      <c r="R23" s="233"/>
      <c r="S23" s="233"/>
      <c r="T23" s="233"/>
      <c r="U23" s="233"/>
    </row>
    <row r="24" spans="4:21" ht="13.5" x14ac:dyDescent="0.35">
      <c r="E24" t="s">
        <v>268</v>
      </c>
      <c r="F24" s="48" t="s">
        <v>67</v>
      </c>
      <c r="G24" s="84">
        <f>'MP Calculations'!L21</f>
        <v>198316.74613106111</v>
      </c>
      <c r="H24" s="48" t="s">
        <v>67</v>
      </c>
      <c r="I24" s="232" t="s">
        <v>175</v>
      </c>
      <c r="J24" s="233"/>
      <c r="K24" s="233"/>
      <c r="L24" s="233"/>
      <c r="M24" s="233"/>
      <c r="N24" s="233"/>
      <c r="O24" s="233"/>
      <c r="P24" s="233"/>
      <c r="Q24" s="233"/>
      <c r="R24" s="233"/>
      <c r="S24" s="233"/>
      <c r="T24" s="233"/>
      <c r="U24" s="233"/>
    </row>
    <row r="25" spans="4:21" ht="13.5" x14ac:dyDescent="0.35">
      <c r="E25" t="s">
        <v>73</v>
      </c>
      <c r="F25" s="48" t="s">
        <v>67</v>
      </c>
      <c r="G25" s="173">
        <f>'MP Calculations'!R29</f>
        <v>690835336.39641356</v>
      </c>
      <c r="H25" s="48" t="s">
        <v>67</v>
      </c>
      <c r="I25" s="2" t="s">
        <v>176</v>
      </c>
      <c r="J25" s="2"/>
      <c r="K25" s="2"/>
      <c r="L25" s="2"/>
      <c r="M25" s="2"/>
      <c r="N25" s="2"/>
      <c r="O25" s="2"/>
      <c r="P25" s="2"/>
      <c r="Q25" s="2"/>
      <c r="R25" s="2"/>
      <c r="S25" s="2"/>
      <c r="T25" s="2"/>
      <c r="U25" s="2"/>
    </row>
    <row r="26" spans="4:21" ht="13.5" x14ac:dyDescent="0.35">
      <c r="E26" t="s">
        <v>74</v>
      </c>
      <c r="F26" s="48" t="s">
        <v>67</v>
      </c>
      <c r="G26" s="173">
        <f>'MP Calculations'!U29</f>
        <v>323689091.64014554</v>
      </c>
      <c r="H26" s="48" t="s">
        <v>67</v>
      </c>
      <c r="I26" s="2" t="s">
        <v>177</v>
      </c>
      <c r="J26" s="2"/>
      <c r="K26" s="2"/>
      <c r="L26" s="2"/>
      <c r="M26" s="2"/>
      <c r="N26" s="2"/>
      <c r="O26" s="2"/>
      <c r="P26" s="2"/>
      <c r="Q26" s="2"/>
      <c r="R26" s="2"/>
      <c r="S26" s="2"/>
      <c r="T26" s="2"/>
      <c r="U26" s="2"/>
    </row>
    <row r="27" spans="4:21" x14ac:dyDescent="0.25">
      <c r="E27" t="s">
        <v>75</v>
      </c>
      <c r="F27" s="48" t="s">
        <v>67</v>
      </c>
      <c r="G27" s="39" t="str">
        <f>INDEX('MP Calculations'!$D$39:$D$129,MATCH('General inputs'!$H$38-1,'MP Calculations'!C39:C129))</f>
        <v>2051-52</v>
      </c>
      <c r="H27" s="48" t="s">
        <v>67</v>
      </c>
      <c r="I27" s="2" t="s">
        <v>265</v>
      </c>
      <c r="J27" s="2"/>
      <c r="K27" s="2"/>
      <c r="L27" s="2"/>
      <c r="M27" s="2"/>
      <c r="N27" s="2"/>
      <c r="O27" s="2"/>
      <c r="P27" s="2"/>
      <c r="Q27" s="2"/>
      <c r="R27" s="2"/>
      <c r="S27" s="2"/>
      <c r="T27" s="2"/>
      <c r="U27" s="2"/>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topLeftCell="A3" zoomScale="80" zoomScaleNormal="80" workbookViewId="0">
      <selection activeCell="R19" sqref="R19"/>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62</v>
      </c>
    </row>
    <row r="3" spans="1:25" ht="20" x14ac:dyDescent="0.4">
      <c r="C3" s="72" t="s">
        <v>201</v>
      </c>
    </row>
    <row r="5" spans="1:25" hidden="1" outlineLevel="1" x14ac:dyDescent="0.25"/>
    <row r="6" spans="1:25" ht="15.5" hidden="1" outlineLevel="1" x14ac:dyDescent="0.35">
      <c r="C6" s="3" t="s">
        <v>35</v>
      </c>
      <c r="E6" s="54"/>
    </row>
    <row r="7" spans="1:25" hidden="1" outlineLevel="1" x14ac:dyDescent="0.25">
      <c r="B7" s="66"/>
      <c r="C7" s="53"/>
      <c r="D7" s="53"/>
      <c r="E7" s="53"/>
      <c r="F7" s="53"/>
      <c r="G7" s="53"/>
      <c r="H7" s="53"/>
      <c r="I7" s="53"/>
      <c r="J7" s="53"/>
      <c r="K7" s="67"/>
    </row>
    <row r="8" spans="1:25" hidden="1" outlineLevel="1" x14ac:dyDescent="0.25">
      <c r="B8" s="68"/>
      <c r="C8" s="1"/>
      <c r="D8" s="1"/>
      <c r="F8" s="1"/>
      <c r="G8" s="1"/>
      <c r="H8" s="1"/>
      <c r="I8" s="1"/>
      <c r="J8" s="62" t="s">
        <v>36</v>
      </c>
      <c r="K8" s="69"/>
    </row>
    <row r="9" spans="1:25" hidden="1" outlineLevel="1" x14ac:dyDescent="0.25">
      <c r="A9" s="74">
        <v>1</v>
      </c>
      <c r="B9" s="68"/>
      <c r="C9" s="93" t="str">
        <f>"Table "&amp;A9&amp;":  Calculation of maximum price ("&amp;'General inputs'!H42&amp;", $"&amp;'General inputs'!I40&amp;")"</f>
        <v>Table 1:  Calculation of maximum price ($, $2022-23)</v>
      </c>
      <c r="D9" s="94"/>
      <c r="E9" s="94"/>
      <c r="F9" s="93"/>
      <c r="G9" s="93"/>
      <c r="H9" s="93"/>
      <c r="I9" s="93"/>
      <c r="J9" s="93">
        <f>ROW(C17)</f>
        <v>17</v>
      </c>
      <c r="K9" s="95"/>
      <c r="L9" s="94"/>
      <c r="M9" s="94"/>
      <c r="N9" s="94"/>
      <c r="O9" s="94"/>
      <c r="P9" s="94"/>
      <c r="Q9" s="94"/>
      <c r="R9" s="94"/>
      <c r="U9" s="94"/>
      <c r="V9" s="94"/>
      <c r="W9" s="94"/>
      <c r="X9" s="94"/>
      <c r="Y9" s="94"/>
    </row>
    <row r="10" spans="1:25" hidden="1" outlineLevel="1" x14ac:dyDescent="0.25">
      <c r="A10" s="104">
        <f>A9+1</f>
        <v>2</v>
      </c>
      <c r="B10" s="105"/>
      <c r="C10" s="93" t="str">
        <f>"Table "&amp;A10&amp;":  Key variables used in maximum price calculation ("&amp;'General inputs'!H42&amp;", $"&amp;'General inputs'!I40&amp;")"</f>
        <v>Table 2:  Key variables used in maximum price calculation ($, $2022-23)</v>
      </c>
      <c r="D10" s="94"/>
      <c r="E10" s="94"/>
      <c r="F10" s="93"/>
      <c r="G10" s="93"/>
      <c r="H10" s="93"/>
      <c r="I10" s="93"/>
      <c r="J10" s="93">
        <f>ROW(C26)</f>
        <v>26</v>
      </c>
      <c r="K10" s="95"/>
      <c r="L10" s="94"/>
      <c r="M10" s="94"/>
      <c r="N10" s="94"/>
      <c r="O10" s="94"/>
      <c r="P10" s="94"/>
      <c r="Q10" s="94"/>
      <c r="R10" s="94"/>
      <c r="U10" s="94"/>
      <c r="V10" s="94"/>
      <c r="W10" s="94"/>
      <c r="X10" s="94"/>
      <c r="Y10" s="94"/>
    </row>
    <row r="11" spans="1:25" hidden="1" outlineLevel="1" x14ac:dyDescent="0.25">
      <c r="A11" s="104">
        <f>A10+1</f>
        <v>3</v>
      </c>
      <c r="B11" s="105"/>
      <c r="C11" s="93" t="str">
        <f>"Table "&amp;A11&amp;":  Annual calculation over analysis horizon ("&amp;'General inputs'!H42&amp;", $"&amp;'General inputs'!I40&amp;")"</f>
        <v>Table 3:  Annual calculation over analysis horizon ($, $2022-23)</v>
      </c>
      <c r="D11" s="94"/>
      <c r="E11" s="94"/>
      <c r="F11" s="93"/>
      <c r="G11" s="93"/>
      <c r="H11" s="93"/>
      <c r="I11" s="93"/>
      <c r="J11" s="93">
        <f>ROW(C35)</f>
        <v>35</v>
      </c>
      <c r="K11" s="95"/>
      <c r="L11" s="94"/>
      <c r="M11" s="94"/>
      <c r="N11" s="94"/>
      <c r="O11" s="94"/>
      <c r="P11" s="94"/>
      <c r="Q11" s="94"/>
      <c r="R11" s="94"/>
      <c r="S11" s="94"/>
      <c r="T11" s="94"/>
      <c r="U11" s="94"/>
      <c r="V11" s="94"/>
      <c r="W11" s="94"/>
      <c r="X11" s="94"/>
      <c r="Y11" s="94"/>
    </row>
    <row r="12" spans="1:25" hidden="1" outlineLevel="1" x14ac:dyDescent="0.25">
      <c r="A12" s="94"/>
      <c r="B12" s="106"/>
      <c r="C12" s="96"/>
      <c r="D12" s="96"/>
      <c r="E12" s="96"/>
      <c r="F12" s="96"/>
      <c r="G12" s="96"/>
      <c r="H12" s="96"/>
      <c r="I12" s="96"/>
      <c r="J12" s="96"/>
      <c r="K12" s="97"/>
      <c r="L12" s="94"/>
      <c r="M12" s="94"/>
      <c r="N12" s="94"/>
      <c r="O12" s="94"/>
      <c r="P12" s="94"/>
      <c r="Q12" s="94"/>
      <c r="R12" s="94"/>
      <c r="S12" s="94"/>
      <c r="T12" s="94"/>
      <c r="U12" s="94"/>
      <c r="V12" s="94"/>
      <c r="W12" s="94"/>
      <c r="X12" s="94"/>
      <c r="Y12" s="94"/>
    </row>
    <row r="13" spans="1:25" hidden="1" outlineLevel="1" x14ac:dyDescent="0.25">
      <c r="A13" s="94"/>
      <c r="B13" s="93"/>
      <c r="C13" s="93"/>
      <c r="D13" s="93"/>
      <c r="E13" s="98"/>
      <c r="F13" s="93"/>
      <c r="G13" s="93"/>
      <c r="H13" s="93"/>
      <c r="I13" s="93"/>
      <c r="J13" s="93"/>
      <c r="K13" s="93"/>
      <c r="L13" s="94"/>
      <c r="M13" s="94"/>
      <c r="N13" s="94"/>
      <c r="O13" s="94"/>
      <c r="P13" s="94"/>
      <c r="Q13" s="94"/>
      <c r="R13" s="94"/>
      <c r="S13" s="94"/>
      <c r="T13" s="94"/>
      <c r="U13" s="94"/>
      <c r="V13" s="94"/>
      <c r="W13" s="94"/>
      <c r="X13" s="94"/>
      <c r="Y13" s="94"/>
    </row>
    <row r="14" spans="1:25" hidden="1" outlineLevel="1" x14ac:dyDescent="0.25">
      <c r="A14" s="94"/>
      <c r="B14" s="177" t="str">
        <f>"Note:  an input is required in "&amp;ADDRESS(ROW($G$22),COLUMN($G$22))&amp;" to incorporate the Headwork costs per ET into the maximum price."</f>
        <v>Note:  an input is required in $G$22 to incorporate the Headwork costs per ET into the maximum price.</v>
      </c>
      <c r="C14" s="93"/>
      <c r="D14" s="93"/>
      <c r="E14" s="93"/>
      <c r="F14" s="93"/>
      <c r="G14" s="93"/>
      <c r="H14" s="93"/>
      <c r="I14" s="93"/>
      <c r="J14" s="93"/>
      <c r="K14" s="93"/>
      <c r="L14" s="94"/>
      <c r="M14" s="94"/>
      <c r="N14" s="94"/>
      <c r="O14" s="94"/>
      <c r="P14" s="94"/>
      <c r="Q14" s="94"/>
      <c r="R14" s="94"/>
      <c r="S14" s="94"/>
      <c r="T14" s="94"/>
      <c r="U14" s="94"/>
      <c r="V14" s="94"/>
      <c r="W14" s="94"/>
      <c r="X14" s="94"/>
      <c r="Y14" s="94"/>
    </row>
    <row r="15" spans="1:25" hidden="1" outlineLevel="1" x14ac:dyDescent="0.25">
      <c r="A15" s="94"/>
      <c r="B15" s="177" t="str">
        <f>"Note:  an input is required in "&amp;ADDRESS(ROW($F$22),COLUMN($F$22))&amp;" to incorporate the Scheme cost allocation per ET into the maximum price."</f>
        <v>Note:  an input is required in $F$22 to incorporate the Scheme cost allocation per ET into the maximum price.</v>
      </c>
      <c r="C15" s="93"/>
      <c r="D15" s="93"/>
      <c r="E15" s="93"/>
      <c r="F15" s="93"/>
      <c r="G15" s="93"/>
      <c r="H15" s="93"/>
      <c r="I15" s="93"/>
      <c r="J15" s="93"/>
      <c r="K15" s="93"/>
      <c r="L15" s="94"/>
      <c r="M15" s="94"/>
      <c r="N15" s="94"/>
      <c r="O15" s="94"/>
      <c r="P15" s="94"/>
      <c r="Q15" s="94"/>
      <c r="R15" s="94"/>
      <c r="S15" s="94"/>
      <c r="T15" s="94"/>
      <c r="U15" s="94"/>
      <c r="V15" s="94"/>
      <c r="W15" s="94"/>
      <c r="X15" s="94"/>
      <c r="Y15" s="94"/>
    </row>
    <row r="16" spans="1:25" collapsed="1" x14ac:dyDescent="0.25">
      <c r="A16" s="94"/>
      <c r="B16" s="94"/>
      <c r="C16" s="94"/>
      <c r="D16" s="94"/>
      <c r="F16" s="94"/>
      <c r="G16" s="94"/>
      <c r="H16" s="94"/>
      <c r="I16" s="94"/>
      <c r="J16" s="94"/>
      <c r="K16" s="94"/>
      <c r="L16" s="94"/>
      <c r="M16" s="94"/>
      <c r="N16" s="94"/>
      <c r="O16" s="94"/>
      <c r="P16" s="94"/>
      <c r="Q16" s="94"/>
      <c r="R16" s="94"/>
      <c r="S16" s="94"/>
      <c r="T16" s="94"/>
      <c r="U16" s="94"/>
      <c r="V16" s="94"/>
      <c r="W16" s="94"/>
      <c r="X16" s="94"/>
      <c r="Y16" s="94"/>
    </row>
    <row r="17" spans="1:25" ht="18" x14ac:dyDescent="0.4">
      <c r="A17" s="94"/>
      <c r="B17" s="94"/>
      <c r="C17" s="99" t="str">
        <f>C9</f>
        <v>Table 1:  Calculation of maximum price ($, $2022-23)</v>
      </c>
      <c r="D17" s="94"/>
      <c r="E17" s="96"/>
      <c r="F17" s="94"/>
      <c r="G17" s="94"/>
      <c r="H17" s="94"/>
      <c r="I17" s="94"/>
      <c r="J17" s="94"/>
      <c r="K17" s="94"/>
      <c r="L17" s="94"/>
      <c r="M17" s="94"/>
      <c r="N17" s="94"/>
      <c r="O17" s="94"/>
      <c r="P17" s="94"/>
      <c r="Q17" s="94"/>
      <c r="R17" s="94"/>
      <c r="S17" s="94"/>
      <c r="T17" s="94"/>
      <c r="U17" s="94"/>
      <c r="V17" s="94"/>
      <c r="W17" s="94"/>
      <c r="X17" s="94"/>
      <c r="Y17" s="94"/>
    </row>
    <row r="18" spans="1:25" x14ac:dyDescent="0.25">
      <c r="A18" s="94"/>
      <c r="B18" s="107"/>
      <c r="C18" s="191"/>
      <c r="D18" s="175"/>
      <c r="E18" s="175"/>
      <c r="F18" s="191"/>
      <c r="G18" s="191"/>
      <c r="H18" s="191"/>
      <c r="I18" s="175"/>
      <c r="J18" s="191"/>
      <c r="K18" s="191"/>
      <c r="L18" s="98"/>
      <c r="M18" s="100"/>
      <c r="N18" s="94"/>
      <c r="O18" s="94"/>
      <c r="P18" s="94"/>
      <c r="Q18" s="94"/>
      <c r="R18" s="94"/>
      <c r="S18" s="94"/>
      <c r="T18" s="94"/>
      <c r="U18" s="94"/>
      <c r="V18" s="94"/>
      <c r="W18" s="94"/>
      <c r="X18" s="94"/>
      <c r="Y18" s="94"/>
    </row>
    <row r="19" spans="1:25" ht="46" x14ac:dyDescent="0.25">
      <c r="A19" s="94"/>
      <c r="B19" s="105"/>
      <c r="C19" s="101" t="s">
        <v>202</v>
      </c>
      <c r="F19" s="199" t="s">
        <v>150</v>
      </c>
      <c r="G19" s="199" t="s">
        <v>220</v>
      </c>
      <c r="H19" s="198" t="s">
        <v>131</v>
      </c>
      <c r="I19" s="200"/>
      <c r="J19" s="198" t="s">
        <v>132</v>
      </c>
      <c r="K19" s="198" t="s">
        <v>133</v>
      </c>
      <c r="L19" s="198" t="s">
        <v>152</v>
      </c>
      <c r="M19" s="95"/>
      <c r="N19" s="94"/>
      <c r="O19" s="94"/>
      <c r="P19" s="94"/>
      <c r="Q19" s="94"/>
      <c r="R19" s="94"/>
      <c r="S19" s="94"/>
      <c r="T19" s="94"/>
      <c r="U19" s="94"/>
      <c r="V19" s="94"/>
      <c r="W19" s="94"/>
      <c r="X19" s="94"/>
      <c r="Y19" s="94"/>
    </row>
    <row r="20" spans="1:25" x14ac:dyDescent="0.25">
      <c r="A20" s="94"/>
      <c r="B20" s="105"/>
      <c r="C20" s="93"/>
      <c r="E20" s="103" t="s">
        <v>149</v>
      </c>
      <c r="F20" s="93"/>
      <c r="H20" s="201">
        <f>K29</f>
        <v>97121838.082064375</v>
      </c>
      <c r="I20" s="203"/>
      <c r="J20" s="204">
        <f>M29</f>
        <v>206262720.40423036</v>
      </c>
      <c r="K20" s="204">
        <f>O29</f>
        <v>28487329.090405256</v>
      </c>
      <c r="L20" s="201">
        <f>R29-U29</f>
        <v>367146244.75626802</v>
      </c>
      <c r="M20" s="95"/>
      <c r="N20" s="94"/>
      <c r="O20" s="94"/>
      <c r="P20" s="94"/>
      <c r="Q20" s="94"/>
      <c r="R20" s="94"/>
      <c r="S20" s="94"/>
      <c r="T20" s="94"/>
      <c r="U20" s="94"/>
      <c r="V20" s="94"/>
      <c r="W20" s="94"/>
      <c r="X20" s="94"/>
      <c r="Y20" s="94"/>
    </row>
    <row r="21" spans="1:25" x14ac:dyDescent="0.25">
      <c r="A21" s="94"/>
      <c r="B21" s="105"/>
      <c r="C21" s="93"/>
      <c r="E21" s="103" t="s">
        <v>22</v>
      </c>
      <c r="F21" s="96"/>
      <c r="H21" s="201">
        <f>F29</f>
        <v>658637.59065996204</v>
      </c>
      <c r="I21" s="203"/>
      <c r="J21" s="204">
        <f>G29</f>
        <v>729689.14436731744</v>
      </c>
      <c r="K21" s="204">
        <f>G29</f>
        <v>729689.14436731744</v>
      </c>
      <c r="L21" s="201">
        <f>H29</f>
        <v>198316.74613106111</v>
      </c>
      <c r="M21" s="95"/>
      <c r="N21" s="94"/>
      <c r="O21" s="94"/>
      <c r="P21" s="94"/>
      <c r="Q21" s="94"/>
      <c r="R21" s="94"/>
      <c r="S21" s="94"/>
      <c r="T21" s="94"/>
      <c r="U21" s="94"/>
      <c r="V21" s="94"/>
      <c r="W21" s="94"/>
      <c r="X21" s="94"/>
      <c r="Y21" s="94"/>
    </row>
    <row r="22" spans="1:25" ht="12" customHeight="1" x14ac:dyDescent="0.25">
      <c r="B22" s="68"/>
      <c r="C22" s="108">
        <f>IF(SUM(F22:K22,-L22)&lt;0,0,SUM(F22:K22,-L22))</f>
        <v>0</v>
      </c>
      <c r="E22" s="103" t="s">
        <v>151</v>
      </c>
      <c r="F22" s="258">
        <f>IFERROR(HLOOKUP('General inputs'!$H$7,'Headwork assets'!$D$21:$H$23,3,FALSE),0)+IFERROR(HLOOKUP('General inputs'!$H$7,'Headwork assets'!$D$28:$K$30,3,FALSE),0)+IFERROR(HLOOKUP('General inputs'!$H$7,'Headwork assets'!$D$35:$H$37,3,FALSE),0)</f>
        <v>0</v>
      </c>
      <c r="G22" s="202"/>
      <c r="H22" s="112">
        <f>H20/H21</f>
        <v>147.45869270040788</v>
      </c>
      <c r="I22" s="206"/>
      <c r="J22" s="205">
        <f>J20/J21</f>
        <v>282.67204191871599</v>
      </c>
      <c r="K22" s="205">
        <f>K20/K21</f>
        <v>39.04036302349737</v>
      </c>
      <c r="L22" s="112">
        <f>L20/L21</f>
        <v>1851.3123673057491</v>
      </c>
      <c r="M22" s="69"/>
      <c r="O22" s="94"/>
      <c r="P22" s="94"/>
      <c r="Q22" s="94"/>
      <c r="R22" s="94"/>
    </row>
    <row r="23" spans="1:25" x14ac:dyDescent="0.25">
      <c r="B23" s="70"/>
      <c r="C23" s="73"/>
      <c r="D23" s="54"/>
      <c r="E23" s="54"/>
      <c r="F23" s="54"/>
      <c r="G23" s="54"/>
      <c r="H23" s="54"/>
      <c r="I23" s="54"/>
      <c r="J23" s="54"/>
      <c r="K23" s="54"/>
      <c r="L23" s="54"/>
      <c r="M23" s="71"/>
      <c r="O23" s="94"/>
      <c r="P23" s="94"/>
      <c r="Q23" s="94"/>
      <c r="R23" s="94"/>
    </row>
    <row r="24" spans="1:25" x14ac:dyDescent="0.25">
      <c r="E24" s="53"/>
    </row>
    <row r="25" spans="1:25" x14ac:dyDescent="0.25">
      <c r="C25" s="52"/>
      <c r="D25" s="65"/>
    </row>
    <row r="26" spans="1:25" ht="18" x14ac:dyDescent="0.4">
      <c r="C26" s="99" t="str">
        <f>C10</f>
        <v>Table 2:  Key variables used in maximum price calculation ($, $2022-23)</v>
      </c>
      <c r="D26" s="109"/>
      <c r="E26" s="94"/>
      <c r="F26" s="94"/>
      <c r="G26" s="94"/>
      <c r="H26" s="94"/>
      <c r="I26" s="94"/>
      <c r="J26" s="94"/>
      <c r="K26" s="94"/>
      <c r="L26" s="94"/>
      <c r="M26" s="94"/>
      <c r="N26" s="94"/>
      <c r="O26" s="94"/>
      <c r="P26" s="94"/>
      <c r="Q26" s="94"/>
      <c r="R26" s="94"/>
      <c r="S26" s="94"/>
      <c r="T26" s="94"/>
      <c r="U26" s="94"/>
      <c r="V26" s="94"/>
      <c r="W26" s="94"/>
      <c r="X26" s="94"/>
      <c r="Y26" s="94"/>
    </row>
    <row r="27" spans="1:25" ht="18" x14ac:dyDescent="0.4">
      <c r="B27" s="66"/>
      <c r="C27" s="110"/>
      <c r="D27" s="111"/>
      <c r="E27" s="98"/>
      <c r="F27" s="98"/>
      <c r="G27" s="98"/>
      <c r="H27" s="98"/>
      <c r="I27" s="98"/>
      <c r="J27" s="98"/>
      <c r="K27" s="98"/>
      <c r="L27" s="98"/>
      <c r="M27" s="98"/>
      <c r="N27" s="98"/>
      <c r="O27" s="98"/>
      <c r="P27" s="98"/>
      <c r="Q27" s="98"/>
      <c r="R27" s="98"/>
      <c r="S27" s="98"/>
      <c r="T27" s="98"/>
      <c r="U27" s="98"/>
      <c r="V27" s="100"/>
      <c r="W27" s="94"/>
    </row>
    <row r="28" spans="1:25" ht="92" x14ac:dyDescent="0.25">
      <c r="B28" s="68"/>
      <c r="C28" s="93"/>
      <c r="D28" s="93"/>
      <c r="E28" s="208" t="s">
        <v>34</v>
      </c>
      <c r="F28" s="208" t="s">
        <v>153</v>
      </c>
      <c r="G28" s="208" t="s">
        <v>154</v>
      </c>
      <c r="H28" s="208" t="s">
        <v>155</v>
      </c>
      <c r="I28" s="209"/>
      <c r="J28" s="209"/>
      <c r="K28" s="208" t="s">
        <v>166</v>
      </c>
      <c r="L28" s="209"/>
      <c r="M28" s="208" t="s">
        <v>167</v>
      </c>
      <c r="N28" s="209"/>
      <c r="O28" s="208" t="s">
        <v>168</v>
      </c>
      <c r="P28" s="209"/>
      <c r="Q28" s="209"/>
      <c r="R28" s="208" t="s">
        <v>170</v>
      </c>
      <c r="S28" s="93"/>
      <c r="T28" s="93"/>
      <c r="U28" s="208" t="s">
        <v>156</v>
      </c>
      <c r="V28" s="95"/>
      <c r="W28" s="94"/>
    </row>
    <row r="29" spans="1:25" x14ac:dyDescent="0.25">
      <c r="B29" s="68"/>
      <c r="D29" s="1"/>
      <c r="E29" s="189">
        <f>SUM(E39:E129)</f>
        <v>571083.10694232699</v>
      </c>
      <c r="F29" s="112">
        <f t="shared" ref="F29:H29" si="0">SUM(F39:F129)</f>
        <v>658637.59065996204</v>
      </c>
      <c r="G29" s="112">
        <f t="shared" si="0"/>
        <v>729689.14436731744</v>
      </c>
      <c r="H29" s="108">
        <f t="shared" si="0"/>
        <v>198316.74613106111</v>
      </c>
      <c r="I29" s="1"/>
      <c r="J29" s="1"/>
      <c r="K29" s="112">
        <f>K39</f>
        <v>97121838.082064375</v>
      </c>
      <c r="L29" s="1"/>
      <c r="M29" s="112">
        <f>SUM(M39:M129)</f>
        <v>206262720.40423036</v>
      </c>
      <c r="N29" s="1"/>
      <c r="O29" s="112">
        <f>SUM(O39:O129)</f>
        <v>28487329.090405256</v>
      </c>
      <c r="P29" s="1"/>
      <c r="Q29" s="1"/>
      <c r="R29" s="112">
        <f>SUM(R39:R129)</f>
        <v>690835336.39641356</v>
      </c>
      <c r="S29" s="1"/>
      <c r="T29" s="1"/>
      <c r="U29" s="112">
        <f>SUM(U39:U129)</f>
        <v>323689091.64014554</v>
      </c>
      <c r="V29" s="69"/>
    </row>
    <row r="30" spans="1:25" x14ac:dyDescent="0.25">
      <c r="B30" s="70"/>
      <c r="C30" s="54"/>
      <c r="D30" s="54"/>
      <c r="E30" s="54"/>
      <c r="F30" s="54"/>
      <c r="G30" s="54"/>
      <c r="H30" s="54"/>
      <c r="I30" s="54"/>
      <c r="J30" s="54"/>
      <c r="K30" s="54"/>
      <c r="L30" s="54"/>
      <c r="M30" s="54"/>
      <c r="N30" s="54"/>
      <c r="O30" s="54"/>
      <c r="P30" s="54"/>
      <c r="Q30" s="54"/>
      <c r="R30" s="54"/>
      <c r="S30" s="54"/>
      <c r="T30" s="54"/>
      <c r="U30" s="54"/>
      <c r="V30" s="71"/>
    </row>
    <row r="32" spans="1:25" x14ac:dyDescent="0.25">
      <c r="K32" s="48" t="s">
        <v>295</v>
      </c>
    </row>
    <row r="33" spans="2:27" x14ac:dyDescent="0.25">
      <c r="B33" s="177"/>
      <c r="C33" s="94"/>
      <c r="D33" s="94"/>
      <c r="E33" s="94"/>
      <c r="F33" s="94"/>
      <c r="G33" s="94"/>
      <c r="H33" s="94"/>
      <c r="I33" s="94"/>
      <c r="J33" s="94" t="s">
        <v>291</v>
      </c>
      <c r="K33" s="293">
        <v>3.7999999999999999E-2</v>
      </c>
      <c r="L33" s="94" t="s">
        <v>292</v>
      </c>
      <c r="M33" s="94"/>
      <c r="N33" s="94"/>
      <c r="O33" s="94"/>
      <c r="P33" s="94"/>
      <c r="Q33" s="94"/>
      <c r="R33" s="94"/>
      <c r="S33" s="94"/>
      <c r="T33" s="94"/>
      <c r="U33" s="94"/>
      <c r="V33" s="94"/>
      <c r="W33" s="94"/>
    </row>
    <row r="34" spans="2:27" x14ac:dyDescent="0.25">
      <c r="B34" s="94"/>
      <c r="C34" s="94"/>
      <c r="D34" s="94"/>
      <c r="E34" s="94"/>
      <c r="F34" s="94"/>
      <c r="G34" s="94"/>
      <c r="H34" s="94"/>
      <c r="I34" s="94"/>
      <c r="J34" s="94" t="s">
        <v>293</v>
      </c>
      <c r="K34" s="293">
        <v>6.0999999999999999E-2</v>
      </c>
      <c r="L34" s="94" t="s">
        <v>292</v>
      </c>
      <c r="M34" s="94"/>
      <c r="N34" s="94"/>
      <c r="O34" s="94"/>
      <c r="P34" s="94"/>
      <c r="Q34" s="94"/>
      <c r="R34" s="94"/>
      <c r="S34" s="94"/>
      <c r="T34" s="94"/>
      <c r="U34" s="94"/>
      <c r="V34" s="94"/>
      <c r="W34" s="94"/>
    </row>
    <row r="35" spans="2:27" ht="18" x14ac:dyDescent="0.4">
      <c r="B35" s="94"/>
      <c r="C35" s="99" t="str">
        <f>C11</f>
        <v>Table 3:  Annual calculation over analysis horizon ($, $2022-23)</v>
      </c>
      <c r="D35" s="217"/>
      <c r="E35" s="217"/>
      <c r="F35" s="217"/>
      <c r="G35" s="217"/>
      <c r="H35" s="217"/>
      <c r="I35" s="217"/>
      <c r="J35" s="94" t="s">
        <v>294</v>
      </c>
      <c r="K35" s="346">
        <v>0.06</v>
      </c>
      <c r="L35" s="217" t="s">
        <v>292</v>
      </c>
      <c r="M35" s="2"/>
      <c r="N35" s="217"/>
      <c r="O35" s="217"/>
      <c r="P35" s="2"/>
      <c r="Q35" s="217"/>
      <c r="R35" s="217"/>
      <c r="S35" s="2"/>
      <c r="T35" s="217"/>
      <c r="U35" s="217"/>
      <c r="V35" s="94"/>
      <c r="W35" s="94"/>
    </row>
    <row r="36" spans="2:27" ht="18" x14ac:dyDescent="0.4">
      <c r="B36" s="107"/>
      <c r="C36" s="110"/>
      <c r="D36" s="218"/>
      <c r="E36" s="191"/>
      <c r="F36" s="191"/>
      <c r="G36" s="191"/>
      <c r="H36" s="191"/>
      <c r="I36" s="191"/>
      <c r="J36" s="191"/>
      <c r="K36" s="98"/>
      <c r="L36" s="191"/>
      <c r="M36" s="98"/>
      <c r="N36" s="98"/>
      <c r="O36" s="98"/>
      <c r="P36" s="98"/>
      <c r="Q36" s="194"/>
      <c r="R36" s="175"/>
      <c r="S36" s="98"/>
      <c r="T36" s="193"/>
      <c r="U36" s="98"/>
      <c r="V36" s="100"/>
      <c r="W36" s="94"/>
    </row>
    <row r="37" spans="2:27" ht="18" x14ac:dyDescent="0.4">
      <c r="B37" s="105"/>
      <c r="C37" s="207"/>
      <c r="D37" s="219"/>
      <c r="E37" s="196" t="s">
        <v>145</v>
      </c>
      <c r="F37" s="192"/>
      <c r="G37" s="192"/>
      <c r="H37" s="192"/>
      <c r="I37" s="192"/>
      <c r="J37" s="196" t="s">
        <v>146</v>
      </c>
      <c r="K37" s="93"/>
      <c r="L37" s="192"/>
      <c r="M37" s="93"/>
      <c r="N37" s="93"/>
      <c r="O37" s="93"/>
      <c r="P37" s="93"/>
      <c r="Q37" s="196" t="s">
        <v>147</v>
      </c>
      <c r="R37" s="176"/>
      <c r="S37" s="93"/>
      <c r="T37" s="196" t="s">
        <v>148</v>
      </c>
      <c r="U37" s="93"/>
      <c r="V37" s="95"/>
      <c r="W37" s="94"/>
    </row>
    <row r="38" spans="2:27" ht="82" x14ac:dyDescent="0.4">
      <c r="B38" s="105"/>
      <c r="C38" s="207"/>
      <c r="D38" s="220" t="s">
        <v>23</v>
      </c>
      <c r="E38" s="195" t="s">
        <v>97</v>
      </c>
      <c r="F38" s="195" t="s">
        <v>164</v>
      </c>
      <c r="G38" s="195" t="s">
        <v>163</v>
      </c>
      <c r="H38" s="34" t="s">
        <v>165</v>
      </c>
      <c r="I38" s="114"/>
      <c r="J38" s="34" t="s">
        <v>134</v>
      </c>
      <c r="K38" s="195" t="s">
        <v>162</v>
      </c>
      <c r="L38" s="34" t="s">
        <v>135</v>
      </c>
      <c r="M38" s="35" t="s">
        <v>161</v>
      </c>
      <c r="N38" s="35" t="s">
        <v>238</v>
      </c>
      <c r="O38" s="35" t="s">
        <v>239</v>
      </c>
      <c r="P38" s="114"/>
      <c r="Q38" s="35" t="s">
        <v>159</v>
      </c>
      <c r="R38" s="35" t="s">
        <v>157</v>
      </c>
      <c r="S38" s="197"/>
      <c r="T38" s="35" t="s">
        <v>160</v>
      </c>
      <c r="U38" s="35" t="s">
        <v>158</v>
      </c>
      <c r="V38" s="95"/>
      <c r="W38" s="94"/>
    </row>
    <row r="39" spans="2:27" ht="12" thickBot="1" x14ac:dyDescent="0.3">
      <c r="B39" s="68"/>
      <c r="C39" s="113">
        <f>IF(D39='General inputs'!$I$16,0,IF(D39&lt;'General inputs'!$I$16,C40-1,C38+1))</f>
        <v>-27</v>
      </c>
      <c r="D39" s="221" t="str">
        <f>RIGHT(YEAR('General inputs'!$H$24),4)&amp;"-"&amp;RIGHT(YEAR('General inputs'!H24),2)+1</f>
        <v>1995-96</v>
      </c>
      <c r="E39" s="116">
        <f>IF(LEFT(D39,4)*1&gt;LEFT('General inputs'!$I$16,4)+'General inputs'!$H$38-1,"",'ET inputs'!D12)</f>
        <v>5310.7201897019977</v>
      </c>
      <c r="F39" s="116">
        <f>IF(LEFT(D39,4)*1&gt;LEFT('General inputs'!$I$16,4)+'General inputs'!$H$38-1,"",E39/(1+'General inputs'!$H$30)^C39)</f>
        <v>11796.644369044498</v>
      </c>
      <c r="G39" s="116">
        <f>IF(LEFT(D39,4)*1&gt;LEFT('General inputs'!$I$16,4)+'General inputs'!$H$38-1,"",E39/(1+'General inputs'!$H$32)^C39)</f>
        <v>16128.048917195056</v>
      </c>
      <c r="H39" s="115" t="str">
        <f>IF(LEFT(D39,4)*1&lt;LEFT('General inputs'!$I$16,4)*1,"",IF(LEFT(D39,4)*1&gt;LEFT('General inputs'!$I$16,4)+'General inputs'!$H$38-1,"",E39/(1+'General inputs'!$H$34)^C39))</f>
        <v/>
      </c>
      <c r="I39" s="93"/>
      <c r="J39" s="116">
        <f>'Pre-1996 assets'!P794*(1+$K$34)*(1+$K$35)</f>
        <v>43723188.580378063</v>
      </c>
      <c r="K39" s="116">
        <f>J39/(1+'General inputs'!$H$30)^C39</f>
        <v>97121838.082064375</v>
      </c>
      <c r="L39" s="222">
        <f>IF(LEFT(D39,4)*1&gt;LEFT('General inputs'!$I$18,4)*1,"",SUMIF('Post-1996 commissioned assets'!$F$22:$F$3002,$D39,'Post-1996 commissioned assets'!$P$22:$P$3002)*(1+$K$34)*(1+$K$35))</f>
        <v>0</v>
      </c>
      <c r="M39" s="222">
        <f>IF(L39="","",L39/(1+'General inputs'!$H$32)^C39)</f>
        <v>0</v>
      </c>
      <c r="N39" s="116" t="str">
        <f>IF(LEFT(D39,4)*1&lt;LEFT('General inputs'!$I$18,4)*1+1,"",SUMIF('Uncommissioned assets'!$F$22:$F$2036,$D39,'Uncommissioned assets'!$P$22:$P$2036))</f>
        <v/>
      </c>
      <c r="O39" s="116" t="str">
        <f>IF(N39="","",N39/(1+'General inputs'!$H$32)^C39)</f>
        <v/>
      </c>
      <c r="P39" s="93"/>
      <c r="Q39" s="50"/>
      <c r="R39" s="115" t="str">
        <f>IF(OR(LEFT(D39,4)*1&lt;LEFT('General inputs'!$I$16,4)*1,LEFT(D39,4)*1&gt;LEFT('General inputs'!$I$16,4)+'General inputs'!$H$38-1),"",Q39/(1+'General inputs'!$H$34)^C39)</f>
        <v/>
      </c>
      <c r="S39" s="93"/>
      <c r="T39" s="50"/>
      <c r="U39" s="115" t="str">
        <f>IF(OR(LEFT(D39,4)*1&lt;LEFT('General inputs'!$I$16,4)*1,LEFT(D39,4)*1&gt;LEFT('General inputs'!$I$16,4)+'General inputs'!$H$38-1),"",T39/(1+'General inputs'!$H$34)^C39)</f>
        <v/>
      </c>
      <c r="V39" s="95"/>
      <c r="W39" s="94"/>
      <c r="X39" s="64"/>
      <c r="Y39" s="64"/>
      <c r="Z39" s="64"/>
      <c r="AA39" s="64"/>
    </row>
    <row r="40" spans="2:27" ht="12" thickTop="1" x14ac:dyDescent="0.25">
      <c r="B40" s="68"/>
      <c r="C40" s="113">
        <f>IF(D40='General inputs'!$I$16,0,IF(D40&lt;'General inputs'!$I$16,C41-1,C39+1))</f>
        <v>-26</v>
      </c>
      <c r="D40" s="113" t="str">
        <f>LEFT(D39,4)+1&amp;"-"&amp;RIGHT(D39,2)+1</f>
        <v>1996-97</v>
      </c>
      <c r="E40" s="115">
        <f>IF(LEFT(D40,4)*1&gt;LEFT('General inputs'!$I$16,4)+'General inputs'!$H$38-1,"",'ET inputs'!D13)</f>
        <v>6199.1174345076779</v>
      </c>
      <c r="F40" s="115">
        <f>IF(LEFT(D40,4)*1&gt;LEFT('General inputs'!$I$16,4)+'General inputs'!$H$38-1,"",E40/(1+'General inputs'!$H$30)^C40)</f>
        <v>13368.962525738034</v>
      </c>
      <c r="G40" s="115">
        <f>IF(LEFT(D40,4)*1&gt;LEFT('General inputs'!$I$16,4)+'General inputs'!$H$38-1,"",E40/(1+'General inputs'!$H$32)^C40)</f>
        <v>18067.18770742547</v>
      </c>
      <c r="H40" s="115" t="str">
        <f>IF(LEFT(D40,4)*1&lt;LEFT('General inputs'!$I$16,4)*1,"",IF(LEFT(D40,4)*1&gt;LEFT('General inputs'!$I$16,4)+'General inputs'!$H$38-1,"",E40/(1+'General inputs'!$H$34)^C40))</f>
        <v/>
      </c>
      <c r="I40" s="93"/>
      <c r="J40" s="153"/>
      <c r="K40" s="153"/>
      <c r="L40" s="115">
        <f>IF(LEFT(D40,4)*1&gt;LEFT('General inputs'!$I$18,4)*1,"",SUMIF('Post-1996 commissioned assets'!$F$22:$F$3002,$D40,'Post-1996 commissioned assets'!$P$22:$P$3002)*(1+$K$34)*(1+$K$35))</f>
        <v>0</v>
      </c>
      <c r="M40" s="115">
        <f>IF(L40="","",L40/(1+'General inputs'!$H$32)^C40)</f>
        <v>0</v>
      </c>
      <c r="N40" s="115" t="str">
        <f>IF(LEFT(D40,4)*1&lt;LEFT('General inputs'!$I$18,4)*1+1,"",SUMIF('Uncommissioned assets'!$F$22:$F$2036,$D40,'Uncommissioned assets'!$P$22:$P$2036))</f>
        <v/>
      </c>
      <c r="O40" s="115" t="str">
        <f>IF(N40="","",N40/(1+'General inputs'!$H$32)^C40)</f>
        <v/>
      </c>
      <c r="P40" s="93"/>
      <c r="Q40" s="50"/>
      <c r="R40" s="115" t="str">
        <f>IF(OR(LEFT(D40,4)*1&lt;LEFT('General inputs'!$I$16,4)*1,LEFT(D40,4)*1&gt;LEFT('General inputs'!$I$16,4)+'General inputs'!$H$38-1),"",Q40/(1+'General inputs'!$H$34)^C40)</f>
        <v/>
      </c>
      <c r="S40" s="93"/>
      <c r="T40" s="50"/>
      <c r="U40" s="115" t="str">
        <f>IF(OR(LEFT(D40,4)*1&lt;LEFT('General inputs'!$I$16,4)*1,LEFT(D40,4)*1&gt;LEFT('General inputs'!$I$16,4)+'General inputs'!$H$38-1),"",T40/(1+'General inputs'!$H$34)^C40)</f>
        <v/>
      </c>
      <c r="V40" s="95"/>
      <c r="W40" s="94"/>
    </row>
    <row r="41" spans="2:27" x14ac:dyDescent="0.25">
      <c r="B41" s="68"/>
      <c r="C41" s="113">
        <f>IF(D41='General inputs'!$I$16,0,IF(D41&lt;'General inputs'!$I$16,C42-1,C40+1))</f>
        <v>-25</v>
      </c>
      <c r="D41" s="113" t="str">
        <f t="shared" ref="D41:D99" si="1">LEFT(D40,4)+1&amp;"-"&amp;RIGHT(D40,2)+1</f>
        <v>1997-98</v>
      </c>
      <c r="E41" s="115">
        <f>IF(LEFT(D41,4)*1&gt;LEFT('General inputs'!$I$16,4)+'General inputs'!$H$38-1,"",'ET inputs'!D14)</f>
        <v>17103.921860885275</v>
      </c>
      <c r="F41" s="115">
        <f>IF(LEFT(D41,4)*1&gt;LEFT('General inputs'!$I$16,4)+'General inputs'!$H$38-1,"",E41/(1+'General inputs'!$H$30)^C41)</f>
        <v>35811.814102851822</v>
      </c>
      <c r="G41" s="115">
        <f>IF(LEFT(D41,4)*1&gt;LEFT('General inputs'!$I$16,4)+'General inputs'!$H$38-1,"",E41/(1+'General inputs'!$H$32)^C41)</f>
        <v>47839.725372351648</v>
      </c>
      <c r="H41" s="115" t="str">
        <f>IF(LEFT(D41,4)*1&lt;LEFT('General inputs'!$I$16,4)*1,"",IF(LEFT(D41,4)*1&gt;LEFT('General inputs'!$I$16,4)+'General inputs'!$H$38-1,"",E41/(1+'General inputs'!$H$34)^C41))</f>
        <v/>
      </c>
      <c r="I41" s="93"/>
      <c r="J41" s="153"/>
      <c r="K41" s="153"/>
      <c r="L41" s="115">
        <f>IF(LEFT(D41,4)*1&gt;LEFT('General inputs'!$I$18,4)*1,"",SUMIF('Post-1996 commissioned assets'!$F$22:$F$3002,$D41,'Post-1996 commissioned assets'!$P$22:$P$3002)*(1+$K$34)*(1+$K$35))</f>
        <v>990503.56772747706</v>
      </c>
      <c r="M41" s="115">
        <f>IF(L41="","",L41/(1+'General inputs'!$H$32)^C41)</f>
        <v>2770441.7177432314</v>
      </c>
      <c r="N41" s="115" t="str">
        <f>IF(LEFT(D41,4)*1&lt;LEFT('General inputs'!$I$18,4)*1+1,"",SUMIF('Uncommissioned assets'!$F$22:$F$2036,$D41,'Uncommissioned assets'!$P$22:$P$2036))</f>
        <v/>
      </c>
      <c r="O41" s="115" t="str">
        <f>IF(N41="","",N41/(1+'General inputs'!$H$32)^C41)</f>
        <v/>
      </c>
      <c r="P41" s="93"/>
      <c r="Q41" s="50"/>
      <c r="R41" s="115" t="str">
        <f>IF(OR(LEFT(D41,4)*1&lt;LEFT('General inputs'!$I$16,4)*1,LEFT(D41,4)*1&gt;LEFT('General inputs'!$I$16,4)+'General inputs'!$H$38-1),"",Q41/(1+'General inputs'!$H$34)^C41)</f>
        <v/>
      </c>
      <c r="S41" s="93"/>
      <c r="T41" s="50"/>
      <c r="U41" s="115" t="str">
        <f>IF(OR(LEFT(D41,4)*1&lt;LEFT('General inputs'!$I$16,4)*1,LEFT(D41,4)*1&gt;LEFT('General inputs'!$I$16,4)+'General inputs'!$H$38-1),"",T41/(1+'General inputs'!$H$34)^C41)</f>
        <v/>
      </c>
      <c r="V41" s="95"/>
      <c r="W41" s="94"/>
      <c r="X41" s="49"/>
      <c r="Y41" s="49"/>
      <c r="Z41" s="49"/>
    </row>
    <row r="42" spans="2:27" ht="12" thickBot="1" x14ac:dyDescent="0.3">
      <c r="B42" s="68"/>
      <c r="C42" s="113">
        <f>IF(D42='General inputs'!$I$16,0,IF(D42&lt;'General inputs'!$I$16,C43-1,C41+1))</f>
        <v>-24</v>
      </c>
      <c r="D42" s="118" t="str">
        <f t="shared" si="1"/>
        <v>1998-99</v>
      </c>
      <c r="E42" s="115">
        <f>IF(LEFT(D42,4)*1&gt;LEFT('General inputs'!$I$16,4)+'General inputs'!$H$38-1,"",'ET inputs'!D15)</f>
        <v>13778.436314363009</v>
      </c>
      <c r="F42" s="115">
        <f>IF(LEFT(D42,4)*1&gt;LEFT('General inputs'!$I$16,4)+'General inputs'!$H$38-1,"",E42/(1+'General inputs'!$H$30)^C42)</f>
        <v>28008.724136077104</v>
      </c>
      <c r="G42" s="115">
        <f>IF(LEFT(D42,4)*1&gt;LEFT('General inputs'!$I$16,4)+'General inputs'!$H$38-1,"",E42/(1+'General inputs'!$H$32)^C42)</f>
        <v>36984.962979704149</v>
      </c>
      <c r="H42" s="115" t="str">
        <f>IF(LEFT(D42,4)*1&lt;LEFT('General inputs'!$I$16,4)*1,"",IF(LEFT(D42,4)*1&gt;LEFT('General inputs'!$I$16,4)+'General inputs'!$H$38-1,"",E42/(1+'General inputs'!$H$34)^C42))</f>
        <v/>
      </c>
      <c r="I42" s="93"/>
      <c r="J42" s="153"/>
      <c r="K42" s="153"/>
      <c r="L42" s="115">
        <f>IF(LEFT(D42,4)*1&gt;LEFT('General inputs'!$I$18,4)*1,"",SUMIF('Post-1996 commissioned assets'!$F$22:$F$3002,$D42,'Post-1996 commissioned assets'!$P$22:$P$3002)*(1+$K$34)*(1+$K$35))</f>
        <v>236122.04024450667</v>
      </c>
      <c r="M42" s="115">
        <f>IF(L42="","",L42/(1+'General inputs'!$H$32)^C42)</f>
        <v>633813.93344554037</v>
      </c>
      <c r="N42" s="115" t="str">
        <f>IF(LEFT(D42,4)*1&lt;LEFT('General inputs'!$I$18,4)*1+1,"",SUMIF('Uncommissioned assets'!$F$22:$F$2036,$D42,'Uncommissioned assets'!$P$22:$P$2036))</f>
        <v/>
      </c>
      <c r="O42" s="115" t="str">
        <f>IF(N42="","",N42/(1+'General inputs'!$H$32)^C42)</f>
        <v/>
      </c>
      <c r="P42" s="93"/>
      <c r="Q42" s="50"/>
      <c r="R42" s="115" t="str">
        <f>IF(OR(LEFT(D42,4)*1&lt;LEFT('General inputs'!$I$16,4)*1,LEFT(D42,4)*1&gt;LEFT('General inputs'!$I$16,4)+'General inputs'!$H$38-1),"",Q42/(1+'General inputs'!$H$34)^C42)</f>
        <v/>
      </c>
      <c r="S42" s="93"/>
      <c r="T42" s="50"/>
      <c r="U42" s="115" t="str">
        <f>IF(OR(LEFT(D42,4)*1&lt;LEFT('General inputs'!$I$16,4)*1,LEFT(D42,4)*1&gt;LEFT('General inputs'!$I$16,4)+'General inputs'!$H$38-1),"",T42/(1+'General inputs'!$H$34)^C42)</f>
        <v/>
      </c>
      <c r="V42" s="95"/>
      <c r="W42" s="94"/>
      <c r="X42" s="49"/>
      <c r="Y42" s="49"/>
      <c r="Z42" s="49"/>
    </row>
    <row r="43" spans="2:27" ht="12.5" thickTop="1" thickBot="1" x14ac:dyDescent="0.3">
      <c r="B43" s="68"/>
      <c r="C43" s="113">
        <f>IF(D43='General inputs'!$I$16,0,IF(D43&lt;'General inputs'!$I$16,C44-1,C42+1))</f>
        <v>-23</v>
      </c>
      <c r="D43" s="119" t="str">
        <f>LEFT(D42,4)+1&amp;"-00"</f>
        <v>1999-00</v>
      </c>
      <c r="E43" s="115">
        <f>IF(LEFT(D43,4)*1&gt;LEFT('General inputs'!$I$16,4)+'General inputs'!$H$38-1,"",'ET inputs'!D16)</f>
        <v>14117.072719060423</v>
      </c>
      <c r="F43" s="115">
        <f>IF(LEFT(D43,4)*1&gt;LEFT('General inputs'!$I$16,4)+'General inputs'!$H$38-1,"",E43/(1+'General inputs'!$H$30)^C43)</f>
        <v>27861.264294931021</v>
      </c>
      <c r="G43" s="115">
        <f>IF(LEFT(D43,4)*1&gt;LEFT('General inputs'!$I$16,4)+'General inputs'!$H$38-1,"",E43/(1+'General inputs'!$H$32)^C43)</f>
        <v>36366.557148776832</v>
      </c>
      <c r="H43" s="115" t="str">
        <f>IF(LEFT(D43,4)*1&lt;LEFT('General inputs'!$I$16,4)*1,"",IF(LEFT(D43,4)*1&gt;LEFT('General inputs'!$I$16,4)+'General inputs'!$H$38-1,"",E43/(1+'General inputs'!$H$34)^C43))</f>
        <v/>
      </c>
      <c r="I43" s="93"/>
      <c r="J43" s="153"/>
      <c r="K43" s="153"/>
      <c r="L43" s="115">
        <f>IF(LEFT(D43,4)*1&gt;LEFT('General inputs'!$I$18,4)*1,"",SUMIF('Post-1996 commissioned assets'!$F$22:$F$3002,$D43,'Post-1996 commissioned assets'!$P$22:$P$3002)*(1+$K$34)*(1+$K$35))</f>
        <v>1523143.2048404315</v>
      </c>
      <c r="M43" s="115">
        <f>IF(L43="","",L43/(1+'General inputs'!$H$32)^C43)</f>
        <v>3923722.3967694687</v>
      </c>
      <c r="N43" s="115" t="str">
        <f>IF(LEFT(D43,4)*1&lt;LEFT('General inputs'!$I$18,4)*1+1,"",SUMIF('Uncommissioned assets'!$F$22:$F$2036,$D43,'Uncommissioned assets'!$P$22:$P$2036))</f>
        <v/>
      </c>
      <c r="O43" s="115" t="str">
        <f>IF(N43="","",N43/(1+'General inputs'!$H$32)^C43)</f>
        <v/>
      </c>
      <c r="P43" s="93"/>
      <c r="Q43" s="50"/>
      <c r="R43" s="115" t="str">
        <f>IF(OR(LEFT(D43,4)*1&lt;LEFT('General inputs'!$I$16,4)*1,LEFT(D43,4)*1&gt;LEFT('General inputs'!$I$16,4)+'General inputs'!$H$38-1),"",Q43/(1+'General inputs'!$H$34)^C43)</f>
        <v/>
      </c>
      <c r="S43" s="93"/>
      <c r="T43" s="50"/>
      <c r="U43" s="115" t="str">
        <f>IF(OR(LEFT(D43,4)*1&lt;LEFT('General inputs'!$I$16,4)*1,LEFT(D43,4)*1&gt;LEFT('General inputs'!$I$16,4)+'General inputs'!$H$38-1),"",T43/(1+'General inputs'!$H$34)^C43)</f>
        <v/>
      </c>
      <c r="V43" s="95"/>
      <c r="W43" s="94"/>
      <c r="X43" s="49"/>
      <c r="Y43" s="49"/>
      <c r="Z43" s="49"/>
    </row>
    <row r="44" spans="2:27" ht="12" thickTop="1" x14ac:dyDescent="0.25">
      <c r="B44" s="68"/>
      <c r="C44" s="113">
        <f>IF(D44='General inputs'!$I$16,0,IF(D44&lt;'General inputs'!$I$16,C45-1,C43+1))</f>
        <v>-22</v>
      </c>
      <c r="D44" s="120" t="str">
        <f>LEFT(D43,4)+1&amp;"-0"&amp;RIGHT(D43,2)+1</f>
        <v>2000-01</v>
      </c>
      <c r="E44" s="115">
        <f>IF(LEFT(D44,4)*1&gt;LEFT('General inputs'!$I$16,4)+'General inputs'!$H$38-1,"",'ET inputs'!D17)</f>
        <v>23118.089882565626</v>
      </c>
      <c r="F44" s="115">
        <f>IF(LEFT(D44,4)*1&gt;LEFT('General inputs'!$I$16,4)+'General inputs'!$H$38-1,"",E44/(1+'General inputs'!$H$30)^C44)</f>
        <v>44296.650830333914</v>
      </c>
      <c r="G44" s="115">
        <f>IF(LEFT(D44,4)*1&gt;LEFT('General inputs'!$I$16,4)+'General inputs'!$H$38-1,"",E44/(1+'General inputs'!$H$32)^C44)</f>
        <v>57153.359712942038</v>
      </c>
      <c r="H44" s="115" t="str">
        <f>IF(LEFT(D44,4)*1&lt;LEFT('General inputs'!$I$16,4)*1,"",IF(LEFT(D44,4)*1&gt;LEFT('General inputs'!$I$16,4)+'General inputs'!$H$38-1,"",E44/(1+'General inputs'!$H$34)^C44))</f>
        <v/>
      </c>
      <c r="I44" s="93"/>
      <c r="J44" s="153"/>
      <c r="K44" s="153"/>
      <c r="L44" s="115">
        <f>IF(LEFT(D44,4)*1&gt;LEFT('General inputs'!$I$18,4)*1,"",SUMIF('Post-1996 commissioned assets'!$F$22:$F$3002,$D44,'Post-1996 commissioned assets'!$P$22:$P$3002)*(1+$K$34)*(1+$K$35))</f>
        <v>2308119.586107689</v>
      </c>
      <c r="M44" s="115">
        <f>IF(L44="","",L44/(1+'General inputs'!$H$32)^C44)</f>
        <v>5706214.9007727467</v>
      </c>
      <c r="N44" s="115" t="str">
        <f>IF(LEFT(D44,4)*1&lt;LEFT('General inputs'!$I$18,4)*1+1,"",SUMIF('Uncommissioned assets'!$F$22:$F$2036,$D44,'Uncommissioned assets'!$P$22:$P$2036))</f>
        <v/>
      </c>
      <c r="O44" s="115" t="str">
        <f>IF(N44="","",N44/(1+'General inputs'!$H$32)^C44)</f>
        <v/>
      </c>
      <c r="P44" s="93"/>
      <c r="Q44" s="50"/>
      <c r="R44" s="115" t="str">
        <f>IF(OR(LEFT(D44,4)*1&lt;LEFT('General inputs'!$I$16,4)*1,LEFT(D44,4)*1&gt;LEFT('General inputs'!$I$16,4)+'General inputs'!$H$38-1),"",Q44/(1+'General inputs'!$H$34)^C44)</f>
        <v/>
      </c>
      <c r="S44" s="93"/>
      <c r="T44" s="50"/>
      <c r="U44" s="115" t="str">
        <f>IF(OR(LEFT(D44,4)*1&lt;LEFT('General inputs'!$I$16,4)*1,LEFT(D44,4)*1&gt;LEFT('General inputs'!$I$16,4)+'General inputs'!$H$38-1),"",T44/(1+'General inputs'!$H$34)^C44)</f>
        <v/>
      </c>
      <c r="V44" s="95"/>
      <c r="W44" s="94"/>
      <c r="X44" s="49"/>
      <c r="Y44" s="49"/>
      <c r="Z44" s="49"/>
    </row>
    <row r="45" spans="2:27" x14ac:dyDescent="0.25">
      <c r="B45" s="68"/>
      <c r="C45" s="113">
        <f>IF(D45='General inputs'!$I$16,0,IF(D45&lt;'General inputs'!$I$16,C46-1,C44+1))</f>
        <v>-21</v>
      </c>
      <c r="D45" s="113" t="str">
        <f t="shared" ref="D45:D52" si="2">LEFT(D44,4)+1&amp;"-0"&amp;RIGHT(D44,2)+1</f>
        <v>2001-02</v>
      </c>
      <c r="E45" s="115">
        <f>IF(LEFT(D45,4)*1&gt;LEFT('General inputs'!$I$16,4)+'General inputs'!$H$38-1,"",'ET inputs'!D18)</f>
        <v>8208.889340560072</v>
      </c>
      <c r="F45" s="115">
        <f>IF(LEFT(D45,4)*1&gt;LEFT('General inputs'!$I$16,4)+'General inputs'!$H$38-1,"",E45/(1+'General inputs'!$H$30)^C45)</f>
        <v>15270.952280007843</v>
      </c>
      <c r="G45" s="115">
        <f>IF(LEFT(D45,4)*1&gt;LEFT('General inputs'!$I$16,4)+'General inputs'!$H$38-1,"",E45/(1+'General inputs'!$H$32)^C45)</f>
        <v>19476.301970928736</v>
      </c>
      <c r="H45" s="115" t="str">
        <f>IF(LEFT(D45,4)*1&lt;LEFT('General inputs'!$I$16,4)*1,"",IF(LEFT(D45,4)*1&gt;LEFT('General inputs'!$I$16,4)+'General inputs'!$H$38-1,"",E45/(1+'General inputs'!$H$34)^C45))</f>
        <v/>
      </c>
      <c r="I45" s="93"/>
      <c r="J45" s="153"/>
      <c r="K45" s="153"/>
      <c r="L45" s="115">
        <f>IF(LEFT(D45,4)*1&gt;LEFT('General inputs'!$I$18,4)*1,"",SUMIF('Post-1996 commissioned assets'!$F$22:$F$3002,$D45,'Post-1996 commissioned assets'!$P$22:$P$3002)*(1+$K$34)*(1+$K$35))</f>
        <v>863334.00798351271</v>
      </c>
      <c r="M45" s="115">
        <f>IF(L45="","",L45/(1+'General inputs'!$H$32)^C45)</f>
        <v>2048334.8165236542</v>
      </c>
      <c r="N45" s="115" t="str">
        <f>IF(LEFT(D45,4)*1&lt;LEFT('General inputs'!$I$18,4)*1+1,"",SUMIF('Uncommissioned assets'!$F$22:$F$2036,$D45,'Uncommissioned assets'!$P$22:$P$2036))</f>
        <v/>
      </c>
      <c r="O45" s="115" t="str">
        <f>IF(N45="","",N45/(1+'General inputs'!$H$32)^C45)</f>
        <v/>
      </c>
      <c r="P45" s="93"/>
      <c r="Q45" s="50"/>
      <c r="R45" s="115" t="str">
        <f>IF(OR(LEFT(D45,4)*1&lt;LEFT('General inputs'!$I$16,4)*1,LEFT(D45,4)*1&gt;LEFT('General inputs'!$I$16,4)+'General inputs'!$H$38-1),"",Q45/(1+'General inputs'!$H$34)^C45)</f>
        <v/>
      </c>
      <c r="S45" s="93"/>
      <c r="T45" s="50"/>
      <c r="U45" s="115" t="str">
        <f>IF(OR(LEFT(D45,4)*1&lt;LEFT('General inputs'!$I$16,4)*1,LEFT(D45,4)*1&gt;LEFT('General inputs'!$I$16,4)+'General inputs'!$H$38-1),"",T45/(1+'General inputs'!$H$34)^C45)</f>
        <v/>
      </c>
      <c r="V45" s="95"/>
      <c r="W45" s="94"/>
      <c r="X45" s="49"/>
      <c r="Y45" s="49"/>
      <c r="Z45" s="49"/>
    </row>
    <row r="46" spans="2:27" x14ac:dyDescent="0.25">
      <c r="B46" s="68"/>
      <c r="C46" s="113">
        <f>IF(D46='General inputs'!$I$16,0,IF(D46&lt;'General inputs'!$I$16,C47-1,C45+1))</f>
        <v>-20</v>
      </c>
      <c r="D46" s="113" t="str">
        <f t="shared" si="2"/>
        <v>2002-03</v>
      </c>
      <c r="E46" s="115">
        <f>IF(LEFT(D46,4)*1&gt;LEFT('General inputs'!$I$16,4)+'General inputs'!$H$38-1,"",'ET inputs'!D19)</f>
        <v>15243.68247515785</v>
      </c>
      <c r="F46" s="115">
        <f>IF(LEFT(D46,4)*1&gt;LEFT('General inputs'!$I$16,4)+'General inputs'!$H$38-1,"",E46/(1+'General inputs'!$H$30)^C46)</f>
        <v>27531.786176115842</v>
      </c>
      <c r="G46" s="115">
        <f>IF(LEFT(D46,4)*1&gt;LEFT('General inputs'!$I$16,4)+'General inputs'!$H$38-1,"",E46/(1+'General inputs'!$H$32)^C46)</f>
        <v>34709.173566410027</v>
      </c>
      <c r="H46" s="115" t="str">
        <f>IF(LEFT(D46,4)*1&lt;LEFT('General inputs'!$I$16,4)*1,"",IF(LEFT(D46,4)*1&gt;LEFT('General inputs'!$I$16,4)+'General inputs'!$H$38-1,"",E46/(1+'General inputs'!$H$34)^C46))</f>
        <v/>
      </c>
      <c r="I46" s="93"/>
      <c r="J46" s="153"/>
      <c r="K46" s="153"/>
      <c r="L46" s="115">
        <f>IF(LEFT(D46,4)*1&gt;LEFT('General inputs'!$I$18,4)*1,"",SUMIF('Post-1996 commissioned assets'!$F$22:$F$3002,$D46,'Post-1996 commissioned assets'!$P$22:$P$3002)*(1+$K$34)*(1+$K$35))</f>
        <v>2135837.7733570309</v>
      </c>
      <c r="M46" s="115">
        <f>IF(L46="","",L46/(1+'General inputs'!$H$32)^C46)</f>
        <v>4863205.7316830363</v>
      </c>
      <c r="N46" s="115" t="str">
        <f>IF(LEFT(D46,4)*1&lt;LEFT('General inputs'!$I$18,4)*1+1,"",SUMIF('Uncommissioned assets'!$F$22:$F$2036,$D46,'Uncommissioned assets'!$P$22:$P$2036))</f>
        <v/>
      </c>
      <c r="O46" s="115" t="str">
        <f>IF(N46="","",N46/(1+'General inputs'!$H$32)^C46)</f>
        <v/>
      </c>
      <c r="P46" s="93"/>
      <c r="Q46" s="50"/>
      <c r="R46" s="115" t="str">
        <f>IF(OR(LEFT(D46,4)*1&lt;LEFT('General inputs'!$I$16,4)*1,LEFT(D46,4)*1&gt;LEFT('General inputs'!$I$16,4)+'General inputs'!$H$38-1),"",Q46/(1+'General inputs'!$H$34)^C46)</f>
        <v/>
      </c>
      <c r="S46" s="93"/>
      <c r="T46" s="50"/>
      <c r="U46" s="115" t="str">
        <f>IF(OR(LEFT(D46,4)*1&lt;LEFT('General inputs'!$I$16,4)*1,LEFT(D46,4)*1&gt;LEFT('General inputs'!$I$16,4)+'General inputs'!$H$38-1),"",T46/(1+'General inputs'!$H$34)^C46)</f>
        <v/>
      </c>
      <c r="V46" s="95"/>
      <c r="W46" s="94"/>
      <c r="X46" s="49"/>
      <c r="Y46" s="49"/>
      <c r="Z46" s="49"/>
    </row>
    <row r="47" spans="2:27" x14ac:dyDescent="0.25">
      <c r="B47" s="68"/>
      <c r="C47" s="113">
        <f>IF(D47='General inputs'!$I$16,0,IF(D47&lt;'General inputs'!$I$16,C48-1,C46+1))</f>
        <v>-19</v>
      </c>
      <c r="D47" s="113" t="str">
        <f t="shared" si="2"/>
        <v>2003-04</v>
      </c>
      <c r="E47" s="115">
        <f>IF(LEFT(D47,4)*1&gt;LEFT('General inputs'!$I$16,4)+'General inputs'!$H$38-1,"",'ET inputs'!D20)</f>
        <v>8784.0700090334249</v>
      </c>
      <c r="F47" s="115">
        <f>IF(LEFT(D47,4)*1&gt;LEFT('General inputs'!$I$16,4)+'General inputs'!$H$38-1,"",E47/(1+'General inputs'!$H$30)^C47)</f>
        <v>15402.91993149313</v>
      </c>
      <c r="G47" s="115">
        <f>IF(LEFT(D47,4)*1&gt;LEFT('General inputs'!$I$16,4)+'General inputs'!$H$38-1,"",E47/(1+'General inputs'!$H$32)^C47)</f>
        <v>19194.749499935715</v>
      </c>
      <c r="H47" s="115" t="str">
        <f>IF(LEFT(D47,4)*1&lt;LEFT('General inputs'!$I$16,4)*1,"",IF(LEFT(D47,4)*1&gt;LEFT('General inputs'!$I$16,4)+'General inputs'!$H$38-1,"",E47/(1+'General inputs'!$H$34)^C47))</f>
        <v/>
      </c>
      <c r="I47" s="93"/>
      <c r="J47" s="153"/>
      <c r="K47" s="153"/>
      <c r="L47" s="115">
        <f>IF(LEFT(D47,4)*1&gt;LEFT('General inputs'!$I$18,4)*1,"",SUMIF('Post-1996 commissioned assets'!$F$22:$F$3002,$D47,'Post-1996 commissioned assets'!$P$22:$P$3002)*(1+$K$34)*(1+$K$35))</f>
        <v>2660328.6759279235</v>
      </c>
      <c r="M47" s="115">
        <f>IF(L47="","",L47/(1+'General inputs'!$H$32)^C47)</f>
        <v>5813289.5650214804</v>
      </c>
      <c r="N47" s="115" t="str">
        <f>IF(LEFT(D47,4)*1&lt;LEFT('General inputs'!$I$18,4)*1+1,"",SUMIF('Uncommissioned assets'!$F$22:$F$2036,$D47,'Uncommissioned assets'!$P$22:$P$2036))</f>
        <v/>
      </c>
      <c r="O47" s="115" t="str">
        <f>IF(N47="","",N47/(1+'General inputs'!$H$32)^C47)</f>
        <v/>
      </c>
      <c r="P47" s="93"/>
      <c r="Q47" s="50"/>
      <c r="R47" s="115" t="str">
        <f>IF(OR(LEFT(D47,4)*1&lt;LEFT('General inputs'!$I$16,4)*1,LEFT(D47,4)*1&gt;LEFT('General inputs'!$I$16,4)+'General inputs'!$H$38-1),"",Q47/(1+'General inputs'!$H$34)^C47)</f>
        <v/>
      </c>
      <c r="S47" s="93"/>
      <c r="T47" s="50"/>
      <c r="U47" s="115" t="str">
        <f>IF(OR(LEFT(D47,4)*1&lt;LEFT('General inputs'!$I$16,4)*1,LEFT(D47,4)*1&gt;LEFT('General inputs'!$I$16,4)+'General inputs'!$H$38-1),"",T47/(1+'General inputs'!$H$34)^C47)</f>
        <v/>
      </c>
      <c r="V47" s="95"/>
      <c r="W47" s="94"/>
      <c r="X47" s="49"/>
      <c r="Y47" s="49"/>
      <c r="Z47" s="49"/>
    </row>
    <row r="48" spans="2:27" x14ac:dyDescent="0.25">
      <c r="B48" s="68"/>
      <c r="C48" s="113">
        <f>IF(D48='General inputs'!$I$16,0,IF(D48&lt;'General inputs'!$I$16,C49-1,C47+1))</f>
        <v>-18</v>
      </c>
      <c r="D48" s="113" t="str">
        <f t="shared" si="2"/>
        <v>2004-05</v>
      </c>
      <c r="E48" s="115">
        <f>IF(LEFT(D48,4)*1&gt;LEFT('General inputs'!$I$16,4)+'General inputs'!$H$38-1,"",'ET inputs'!D21)</f>
        <v>7892.778681120144</v>
      </c>
      <c r="F48" s="115">
        <f>IF(LEFT(D48,4)*1&gt;LEFT('General inputs'!$I$16,4)+'General inputs'!$H$38-1,"",E48/(1+'General inputs'!$H$30)^C48)</f>
        <v>13436.927371788413</v>
      </c>
      <c r="G48" s="115">
        <f>IF(LEFT(D48,4)*1&gt;LEFT('General inputs'!$I$16,4)+'General inputs'!$H$38-1,"",E48/(1+'General inputs'!$H$32)^C48)</f>
        <v>16551.938591490365</v>
      </c>
      <c r="H48" s="115" t="str">
        <f>IF(LEFT(D48,4)*1&lt;LEFT('General inputs'!$I$16,4)*1,"",IF(LEFT(D48,4)*1&gt;LEFT('General inputs'!$I$16,4)+'General inputs'!$H$38-1,"",E48/(1+'General inputs'!$H$34)^C48))</f>
        <v/>
      </c>
      <c r="I48" s="93"/>
      <c r="J48" s="153"/>
      <c r="K48" s="153"/>
      <c r="L48" s="115">
        <f>IF(LEFT(D48,4)*1&gt;LEFT('General inputs'!$I$18,4)*1,"",SUMIF('Post-1996 commissioned assets'!$F$22:$F$3002,$D48,'Post-1996 commissioned assets'!$P$22:$P$3002)*(1+$K$34)*(1+$K$35))</f>
        <v>3640300.9569523404</v>
      </c>
      <c r="M48" s="115">
        <f>IF(L48="","",L48/(1+'General inputs'!$H$32)^C48)</f>
        <v>7634071.6404666109</v>
      </c>
      <c r="N48" s="115" t="str">
        <f>IF(LEFT(D48,4)*1&lt;LEFT('General inputs'!$I$18,4)*1+1,"",SUMIF('Uncommissioned assets'!$F$22:$F$2036,$D48,'Uncommissioned assets'!$P$22:$P$2036))</f>
        <v/>
      </c>
      <c r="O48" s="115" t="str">
        <f>IF(N48="","",N48/(1+'General inputs'!$H$32)^C48)</f>
        <v/>
      </c>
      <c r="P48" s="93"/>
      <c r="Q48" s="121"/>
      <c r="R48" s="115" t="str">
        <f>IF(OR(LEFT(D48,4)*1&lt;LEFT('General inputs'!$I$16,4)*1,LEFT(D48,4)*1&gt;LEFT('General inputs'!$I$16,4)+'General inputs'!$H$38-1),"",Q48/(1+'General inputs'!$H$34)^C48)</f>
        <v/>
      </c>
      <c r="S48" s="93"/>
      <c r="T48" s="121"/>
      <c r="U48" s="115" t="str">
        <f>IF(OR(LEFT(D48,4)*1&lt;LEFT('General inputs'!$I$16,4)*1,LEFT(D48,4)*1&gt;LEFT('General inputs'!$I$16,4)+'General inputs'!$H$38-1),"",T48/(1+'General inputs'!$H$34)^C48)</f>
        <v/>
      </c>
      <c r="V48" s="95"/>
      <c r="W48" s="94"/>
      <c r="X48" s="49"/>
      <c r="Y48" s="49"/>
      <c r="Z48" s="49"/>
    </row>
    <row r="49" spans="1:26" x14ac:dyDescent="0.25">
      <c r="B49" s="68"/>
      <c r="C49" s="113">
        <f>IF(D49='General inputs'!$I$16,0,IF(D49&lt;'General inputs'!$I$16,C50-1,C48+1))</f>
        <v>-17</v>
      </c>
      <c r="D49" s="113" t="str">
        <f t="shared" si="2"/>
        <v>2005-06</v>
      </c>
      <c r="E49" s="115">
        <f>IF(LEFT(D49,4)*1&gt;LEFT('General inputs'!$I$16,4)+'General inputs'!$H$38-1,"",'ET inputs'!D22)</f>
        <v>7059.2592592592591</v>
      </c>
      <c r="F49" s="115">
        <f>IF(LEFT(D49,4)*1&gt;LEFT('General inputs'!$I$16,4)+'General inputs'!$H$38-1,"",E49/(1+'General inputs'!$H$30)^C49)</f>
        <v>11667.8799522591</v>
      </c>
      <c r="G49" s="115">
        <f>IF(LEFT(D49,4)*1&gt;LEFT('General inputs'!$I$16,4)+'General inputs'!$H$38-1,"",E49/(1+'General inputs'!$H$32)^C49)</f>
        <v>14207.260856493998</v>
      </c>
      <c r="H49" s="115" t="str">
        <f>IF(LEFT(D49,4)*1&lt;LEFT('General inputs'!$I$16,4)*1,"",IF(LEFT(D49,4)*1&gt;LEFT('General inputs'!$I$16,4)+'General inputs'!$H$38-1,"",E49/(1+'General inputs'!$H$34)^C49))</f>
        <v/>
      </c>
      <c r="I49" s="93"/>
      <c r="J49" s="153"/>
      <c r="K49" s="153"/>
      <c r="L49" s="115">
        <f>IF(LEFT(D49,4)*1&gt;LEFT('General inputs'!$I$18,4)*1,"",SUMIF('Post-1996 commissioned assets'!$F$22:$F$3002,$D49,'Post-1996 commissioned assets'!$P$22:$P$3002)*(1+$K$34)*(1+$K$35))</f>
        <v>3624393.7111870465</v>
      </c>
      <c r="M49" s="115">
        <f>IF(L49="","",L49/(1+'General inputs'!$H$32)^C49)</f>
        <v>7294349.8758641658</v>
      </c>
      <c r="N49" s="115" t="str">
        <f>IF(LEFT(D49,4)*1&lt;LEFT('General inputs'!$I$18,4)*1+1,"",SUMIF('Uncommissioned assets'!$F$22:$F$2036,$D49,'Uncommissioned assets'!$P$22:$P$2036))</f>
        <v/>
      </c>
      <c r="O49" s="115" t="str">
        <f>IF(N49="","",N49/(1+'General inputs'!$H$32)^C49)</f>
        <v/>
      </c>
      <c r="P49" s="93"/>
      <c r="Q49" s="121"/>
      <c r="R49" s="115" t="str">
        <f>IF(OR(LEFT(D49,4)*1&lt;LEFT('General inputs'!$I$16,4)*1,LEFT(D49,4)*1&gt;LEFT('General inputs'!$I$16,4)+'General inputs'!$H$38-1),"",Q49/(1+'General inputs'!$H$34)^C49)</f>
        <v/>
      </c>
      <c r="S49" s="93"/>
      <c r="T49" s="121"/>
      <c r="U49" s="115" t="str">
        <f>IF(OR(LEFT(D49,4)*1&lt;LEFT('General inputs'!$I$16,4)*1,LEFT(D49,4)*1&gt;LEFT('General inputs'!$I$16,4)+'General inputs'!$H$38-1),"",T49/(1+'General inputs'!$H$34)^C49)</f>
        <v/>
      </c>
      <c r="V49" s="95"/>
      <c r="W49" s="94"/>
      <c r="X49" s="49"/>
      <c r="Y49" s="49"/>
      <c r="Z49" s="49"/>
    </row>
    <row r="50" spans="1:26" x14ac:dyDescent="0.25">
      <c r="B50" s="68"/>
      <c r="C50" s="113">
        <f>IF(D50='General inputs'!$I$16,0,IF(D50&lt;'General inputs'!$I$16,C51-1,C49+1))</f>
        <v>-16</v>
      </c>
      <c r="D50" s="113" t="str">
        <f t="shared" si="2"/>
        <v>2006-07</v>
      </c>
      <c r="E50" s="115">
        <f>IF(LEFT(D50,4)*1&gt;LEFT('General inputs'!$I$16,4)+'General inputs'!$H$38-1,"",'ET inputs'!D23)</f>
        <v>3934.6332429990966</v>
      </c>
      <c r="F50" s="115">
        <f>IF(LEFT(D50,4)*1&gt;LEFT('General inputs'!$I$16,4)+'General inputs'!$H$38-1,"",E50/(1+'General inputs'!$H$30)^C50)</f>
        <v>6313.9313005327931</v>
      </c>
      <c r="G50" s="115">
        <f>IF(LEFT(D50,4)*1&gt;LEFT('General inputs'!$I$16,4)+'General inputs'!$H$38-1,"",E50/(1+'General inputs'!$H$32)^C50)</f>
        <v>7599.547963315511</v>
      </c>
      <c r="H50" s="115" t="str">
        <f>IF(LEFT(D50,4)*1&lt;LEFT('General inputs'!$I$16,4)*1,"",IF(LEFT(D50,4)*1&gt;LEFT('General inputs'!$I$16,4)+'General inputs'!$H$38-1,"",E50/(1+'General inputs'!$H$34)^C50))</f>
        <v/>
      </c>
      <c r="I50" s="93"/>
      <c r="J50" s="153"/>
      <c r="K50" s="153"/>
      <c r="L50" s="115">
        <f>IF(LEFT(D50,4)*1&gt;LEFT('General inputs'!$I$18,4)*1,"",SUMIF('Post-1996 commissioned assets'!$F$22:$F$3002,$D50,'Post-1996 commissioned assets'!$P$22:$P$3002)*(1+$K$34)*(1+$K$35))</f>
        <v>3110244.773577509</v>
      </c>
      <c r="M50" s="115">
        <f>IF(L50="","",L50/(1+'General inputs'!$H$32)^C50)</f>
        <v>6007282.7312456826</v>
      </c>
      <c r="N50" s="115" t="str">
        <f>IF(LEFT(D50,4)*1&lt;LEFT('General inputs'!$I$18,4)*1+1,"",SUMIF('Uncommissioned assets'!$F$22:$F$2036,$D50,'Uncommissioned assets'!$P$22:$P$2036))</f>
        <v/>
      </c>
      <c r="O50" s="115" t="str">
        <f>IF(N50="","",N50/(1+'General inputs'!$H$32)^C50)</f>
        <v/>
      </c>
      <c r="P50" s="93"/>
      <c r="Q50" s="121"/>
      <c r="R50" s="115" t="str">
        <f>IF(OR(LEFT(D50,4)*1&lt;LEFT('General inputs'!$I$16,4)*1,LEFT(D50,4)*1&gt;LEFT('General inputs'!$I$16,4)+'General inputs'!$H$38-1),"",Q50/(1+'General inputs'!$H$34)^C50)</f>
        <v/>
      </c>
      <c r="S50" s="93"/>
      <c r="T50" s="121"/>
      <c r="U50" s="115" t="str">
        <f>IF(OR(LEFT(D50,4)*1&lt;LEFT('General inputs'!$I$16,4)*1,LEFT(D50,4)*1&gt;LEFT('General inputs'!$I$16,4)+'General inputs'!$H$38-1),"",T50/(1+'General inputs'!$H$34)^C50)</f>
        <v/>
      </c>
      <c r="V50" s="95"/>
      <c r="W50" s="94"/>
      <c r="X50" s="49"/>
      <c r="Y50" s="49"/>
      <c r="Z50" s="49"/>
    </row>
    <row r="51" spans="1:26" x14ac:dyDescent="0.25">
      <c r="B51" s="68"/>
      <c r="C51" s="113">
        <f>IF(D51='General inputs'!$I$16,0,IF(D51&lt;'General inputs'!$I$16,C52-1,C50+1))</f>
        <v>-15</v>
      </c>
      <c r="D51" s="113" t="str">
        <f t="shared" si="2"/>
        <v>2007-08</v>
      </c>
      <c r="E51" s="115">
        <f>IF(LEFT(D51,4)*1&gt;LEFT('General inputs'!$I$16,4)+'General inputs'!$H$38-1,"",'ET inputs'!D24)</f>
        <v>5028.4141824751578</v>
      </c>
      <c r="F51" s="115">
        <f>IF(LEFT(D51,4)*1&gt;LEFT('General inputs'!$I$16,4)+'General inputs'!$H$38-1,"",E51/(1+'General inputs'!$H$30)^C51)</f>
        <v>7834.1054534694667</v>
      </c>
      <c r="G51" s="115">
        <f>IF(LEFT(D51,4)*1&gt;LEFT('General inputs'!$I$16,4)+'General inputs'!$H$38-1,"",E51/(1+'General inputs'!$H$32)^C51)</f>
        <v>9320.6634566240464</v>
      </c>
      <c r="H51" s="115" t="str">
        <f>IF(LEFT(D51,4)*1&lt;LEFT('General inputs'!$I$16,4)*1,"",IF(LEFT(D51,4)*1&gt;LEFT('General inputs'!$I$16,4)+'General inputs'!$H$38-1,"",E51/(1+'General inputs'!$H$34)^C51))</f>
        <v/>
      </c>
      <c r="I51" s="93"/>
      <c r="J51" s="153"/>
      <c r="K51" s="153"/>
      <c r="L51" s="115">
        <f>IF(LEFT(D51,4)*1&gt;LEFT('General inputs'!$I$18,4)*1,"",SUMIF('Post-1996 commissioned assets'!$F$22:$F$3002,$D51,'Post-1996 commissioned assets'!$P$22:$P$3002)*(1+$K$34)*(1+$K$35))</f>
        <v>8770800.6395744514</v>
      </c>
      <c r="M51" s="115">
        <f>IF(L51="","",L51/(1+'General inputs'!$H$32)^C51)</f>
        <v>16257547.218669329</v>
      </c>
      <c r="N51" s="115" t="str">
        <f>IF(LEFT(D51,4)*1&lt;LEFT('General inputs'!$I$18,4)*1+1,"",SUMIF('Uncommissioned assets'!$F$22:$F$2036,$D51,'Uncommissioned assets'!$P$22:$P$2036))</f>
        <v/>
      </c>
      <c r="O51" s="115" t="str">
        <f>IF(N51="","",N51/(1+'General inputs'!$H$32)^C51)</f>
        <v/>
      </c>
      <c r="P51" s="93"/>
      <c r="Q51" s="121"/>
      <c r="R51" s="115" t="str">
        <f>IF(OR(LEFT(D51,4)*1&lt;LEFT('General inputs'!$I$16,4)*1,LEFT(D51,4)*1&gt;LEFT('General inputs'!$I$16,4)+'General inputs'!$H$38-1),"",Q51/(1+'General inputs'!$H$34)^C51)</f>
        <v/>
      </c>
      <c r="S51" s="93"/>
      <c r="T51" s="121"/>
      <c r="U51" s="115" t="str">
        <f>IF(OR(LEFT(D51,4)*1&lt;LEFT('General inputs'!$I$16,4)*1,LEFT(D51,4)*1&gt;LEFT('General inputs'!$I$16,4)+'General inputs'!$H$38-1),"",T51/(1+'General inputs'!$H$34)^C51)</f>
        <v/>
      </c>
      <c r="V51" s="95"/>
      <c r="W51" s="94"/>
      <c r="X51" s="49"/>
      <c r="Y51" s="49"/>
      <c r="Z51" s="49"/>
    </row>
    <row r="52" spans="1:26" ht="12" thickBot="1" x14ac:dyDescent="0.3">
      <c r="B52" s="68"/>
      <c r="C52" s="113">
        <f>IF(D52='General inputs'!$I$16,0,IF(D52&lt;'General inputs'!$I$16,C53-1,C51+1))</f>
        <v>-14</v>
      </c>
      <c r="D52" s="118" t="str">
        <f t="shared" si="2"/>
        <v>2008-09</v>
      </c>
      <c r="E52" s="115">
        <f>IF(LEFT(D52,4)*1&gt;LEFT('General inputs'!$I$16,4)+'General inputs'!$H$38-1,"",'ET inputs'!D25)</f>
        <v>9946.3062330624653</v>
      </c>
      <c r="F52" s="115">
        <f>IF(LEFT(D52,4)*1&gt;LEFT('General inputs'!$I$16,4)+'General inputs'!$H$38-1,"",E52/(1+'General inputs'!$H$30)^C52)</f>
        <v>15044.680608392631</v>
      </c>
      <c r="G52" s="115">
        <f>IF(LEFT(D52,4)*1&gt;LEFT('General inputs'!$I$16,4)+'General inputs'!$H$38-1,"",E52/(1+'General inputs'!$H$32)^C52)</f>
        <v>17693.342803321651</v>
      </c>
      <c r="H52" s="115" t="str">
        <f>IF(LEFT(D52,4)*1&lt;LEFT('General inputs'!$I$16,4)*1,"",IF(LEFT(D52,4)*1&gt;LEFT('General inputs'!$I$16,4)+'General inputs'!$H$38-1,"",E52/(1+'General inputs'!$H$34)^C52))</f>
        <v/>
      </c>
      <c r="I52" s="93"/>
      <c r="J52" s="153"/>
      <c r="K52" s="153"/>
      <c r="L52" s="115">
        <f>IF(LEFT(D52,4)*1&gt;LEFT('General inputs'!$I$18,4)*1,"",SUMIF('Post-1996 commissioned assets'!$F$22:$F$3002,$D52,'Post-1996 commissioned assets'!$P$22:$P$3002)*(1+$K$34)*(1+$K$35))</f>
        <v>16586801.663784284</v>
      </c>
      <c r="M52" s="115">
        <f>IF(L52="","",L52/(1+'General inputs'!$H$32)^C52)</f>
        <v>29506025.751801137</v>
      </c>
      <c r="N52" s="115" t="str">
        <f>IF(LEFT(D52,4)*1&lt;LEFT('General inputs'!$I$18,4)*1+1,"",SUMIF('Uncommissioned assets'!$F$22:$F$2036,$D52,'Uncommissioned assets'!$P$22:$P$2036))</f>
        <v/>
      </c>
      <c r="O52" s="115" t="str">
        <f>IF(N52="","",N52/(1+'General inputs'!$H$32)^C52)</f>
        <v/>
      </c>
      <c r="P52" s="93"/>
      <c r="Q52" s="121"/>
      <c r="R52" s="115" t="str">
        <f>IF(OR(LEFT(D52,4)*1&lt;LEFT('General inputs'!$I$16,4)*1,LEFT(D52,4)*1&gt;LEFT('General inputs'!$I$16,4)+'General inputs'!$H$38-1),"",Q52/(1+'General inputs'!$H$34)^C52)</f>
        <v/>
      </c>
      <c r="S52" s="93"/>
      <c r="T52" s="121"/>
      <c r="U52" s="115" t="str">
        <f>IF(OR(LEFT(D52,4)*1&lt;LEFT('General inputs'!$I$16,4)*1,LEFT(D52,4)*1&gt;LEFT('General inputs'!$I$16,4)+'General inputs'!$H$38-1),"",T52/(1+'General inputs'!$H$34)^C52)</f>
        <v/>
      </c>
      <c r="V52" s="95"/>
      <c r="W52" s="94"/>
      <c r="X52" s="49"/>
      <c r="Y52" s="49"/>
      <c r="Z52" s="49"/>
    </row>
    <row r="53" spans="1:26" ht="12" thickTop="1" x14ac:dyDescent="0.25">
      <c r="B53" s="68"/>
      <c r="C53" s="113">
        <f>IF(D53='General inputs'!$I$16,0,IF(D53&lt;'General inputs'!$I$16,C54-1,C52+1))</f>
        <v>-13</v>
      </c>
      <c r="D53" s="120" t="str">
        <f t="shared" si="1"/>
        <v>2009-10</v>
      </c>
      <c r="E53" s="115">
        <f>IF(LEFT(D53,4)*1&gt;LEFT('General inputs'!$I$16,4)+'General inputs'!$H$38-1,"",'ET inputs'!D26)</f>
        <v>6438.6770551037498</v>
      </c>
      <c r="F53" s="115">
        <f>IF(LEFT(D53,4)*1&gt;LEFT('General inputs'!$I$16,4)+'General inputs'!$H$38-1,"",E53/(1+'General inputs'!$H$30)^C53)</f>
        <v>9455.4143254468891</v>
      </c>
      <c r="G53" s="115">
        <f>IF(LEFT(D53,4)*1&gt;LEFT('General inputs'!$I$16,4)+'General inputs'!$H$38-1,"",E53/(1+'General inputs'!$H$32)^C53)</f>
        <v>10992.00682177542</v>
      </c>
      <c r="H53" s="115" t="str">
        <f>IF(LEFT(D53,4)*1&lt;LEFT('General inputs'!$I$16,4)*1,"",IF(LEFT(D53,4)*1&gt;LEFT('General inputs'!$I$16,4)+'General inputs'!$H$38-1,"",E53/(1+'General inputs'!$H$34)^C53))</f>
        <v/>
      </c>
      <c r="I53" s="93"/>
      <c r="J53" s="153"/>
      <c r="K53" s="153"/>
      <c r="L53" s="115">
        <f>IF(LEFT(D53,4)*1&gt;LEFT('General inputs'!$I$18,4)*1,"",SUMIF('Post-1996 commissioned assets'!$F$22:$F$3002,$D53,'Post-1996 commissioned assets'!$P$22:$P$3002)*(1+$K$34)*(1+$K$35))</f>
        <v>19066595.921861056</v>
      </c>
      <c r="M53" s="115">
        <f>IF(L53="","",L53/(1+'General inputs'!$H$32)^C53)</f>
        <v>32550188.594255414</v>
      </c>
      <c r="N53" s="115" t="str">
        <f>IF(LEFT(D53,4)*1&lt;LEFT('General inputs'!$I$18,4)*1+1,"",SUMIF('Uncommissioned assets'!$F$22:$F$2036,$D53,'Uncommissioned assets'!$P$22:$P$2036))</f>
        <v/>
      </c>
      <c r="O53" s="115" t="str">
        <f>IF(N53="","",N53/(1+'General inputs'!$H$32)^C53)</f>
        <v/>
      </c>
      <c r="P53" s="93"/>
      <c r="Q53" s="121"/>
      <c r="R53" s="115" t="str">
        <f>IF(OR(LEFT(D53,4)*1&lt;LEFT('General inputs'!$I$16,4)*1,LEFT(D53,4)*1&gt;LEFT('General inputs'!$I$16,4)+'General inputs'!$H$38-1),"",Q53/(1+'General inputs'!$H$34)^C53)</f>
        <v/>
      </c>
      <c r="S53" s="93"/>
      <c r="T53" s="121"/>
      <c r="U53" s="115" t="str">
        <f>IF(OR(LEFT(D53,4)*1&lt;LEFT('General inputs'!$I$16,4)*1,LEFT(D53,4)*1&gt;LEFT('General inputs'!$I$16,4)+'General inputs'!$H$38-1),"",T53/(1+'General inputs'!$H$34)^C53)</f>
        <v/>
      </c>
      <c r="V53" s="95"/>
      <c r="W53" s="94"/>
      <c r="X53" s="49"/>
      <c r="Y53" s="49"/>
      <c r="Z53" s="49"/>
    </row>
    <row r="54" spans="1:26" x14ac:dyDescent="0.25">
      <c r="B54" s="68"/>
      <c r="C54" s="113">
        <f>IF(D54='General inputs'!$I$16,0,IF(D54&lt;'General inputs'!$I$16,C55-1,C53+1))</f>
        <v>-12</v>
      </c>
      <c r="D54" s="113" t="str">
        <f t="shared" si="1"/>
        <v>2010-11</v>
      </c>
      <c r="E54" s="115">
        <f>IF(LEFT(D54,4)*1&gt;LEFT('General inputs'!$I$16,4)+'General inputs'!$H$38-1,"",'ET inputs'!D27)</f>
        <v>4213.0916892502264</v>
      </c>
      <c r="F54" s="115">
        <f>IF(LEFT(D54,4)*1&gt;LEFT('General inputs'!$I$16,4)+'General inputs'!$H$38-1,"",E54/(1+'General inputs'!$H$30)^C54)</f>
        <v>6006.861343229667</v>
      </c>
      <c r="G54" s="115">
        <f>IF(LEFT(D54,4)*1&gt;LEFT('General inputs'!$I$16,4)+'General inputs'!$H$38-1,"",E54/(1+'General inputs'!$H$32)^C54)</f>
        <v>6902.6132110598255</v>
      </c>
      <c r="H54" s="115" t="str">
        <f>IF(LEFT(D54,4)*1&lt;LEFT('General inputs'!$I$16,4)*1,"",IF(LEFT(D54,4)*1&gt;LEFT('General inputs'!$I$16,4)+'General inputs'!$H$38-1,"",E54/(1+'General inputs'!$H$34)^C54))</f>
        <v/>
      </c>
      <c r="I54" s="93"/>
      <c r="J54" s="153"/>
      <c r="K54" s="153"/>
      <c r="L54" s="115">
        <f>IF(LEFT(D54,4)*1&gt;LEFT('General inputs'!$I$18,4)*1,"",SUMIF('Post-1996 commissioned assets'!$F$22:$F$3002,$D54,'Post-1996 commissioned assets'!$P$22:$P$3002)*(1+$K$34)*(1+$K$35))</f>
        <v>5293649.8530039396</v>
      </c>
      <c r="M54" s="115">
        <f>IF(L54="","",L54/(1+'General inputs'!$H$32)^C54)</f>
        <v>8672969.9007743783</v>
      </c>
      <c r="N54" s="115" t="str">
        <f>IF(LEFT(D54,4)*1&lt;LEFT('General inputs'!$I$18,4)*1+1,"",SUMIF('Uncommissioned assets'!$F$22:$F$2036,$D54,'Uncommissioned assets'!$P$22:$P$2036))</f>
        <v/>
      </c>
      <c r="O54" s="115" t="str">
        <f>IF(N54="","",N54/(1+'General inputs'!$H$32)^C54)</f>
        <v/>
      </c>
      <c r="P54" s="93"/>
      <c r="Q54" s="121"/>
      <c r="R54" s="115" t="str">
        <f>IF(OR(LEFT(D54,4)*1&lt;LEFT('General inputs'!$I$16,4)*1,LEFT(D54,4)*1&gt;LEFT('General inputs'!$I$16,4)+'General inputs'!$H$38-1),"",Q54/(1+'General inputs'!$H$34)^C54)</f>
        <v/>
      </c>
      <c r="S54" s="93"/>
      <c r="T54" s="121"/>
      <c r="U54" s="115" t="str">
        <f>IF(OR(LEFT(D54,4)*1&lt;LEFT('General inputs'!$I$16,4)*1,LEFT(D54,4)*1&gt;LEFT('General inputs'!$I$16,4)+'General inputs'!$H$38-1),"",T54/(1+'General inputs'!$H$34)^C54)</f>
        <v/>
      </c>
      <c r="V54" s="95"/>
      <c r="W54" s="94"/>
      <c r="X54" s="49"/>
      <c r="Y54" s="49"/>
      <c r="Z54" s="49"/>
    </row>
    <row r="55" spans="1:26" x14ac:dyDescent="0.25">
      <c r="B55" s="68"/>
      <c r="C55" s="113">
        <f>IF(D55='General inputs'!$I$16,0,IF(D55&lt;'General inputs'!$I$16,C56-1,C54+1))</f>
        <v>-11</v>
      </c>
      <c r="D55" s="113" t="str">
        <f t="shared" si="1"/>
        <v>2011-12</v>
      </c>
      <c r="E55" s="115">
        <f>IF(LEFT(D55,4)*1&gt;LEFT('General inputs'!$I$16,4)+'General inputs'!$H$38-1,"",'ET inputs'!D28)</f>
        <v>12374.993676603433</v>
      </c>
      <c r="F55" s="115">
        <f>IF(LEFT(D55,4)*1&gt;LEFT('General inputs'!$I$16,4)+'General inputs'!$H$38-1,"",E55/(1+'General inputs'!$H$30)^C55)</f>
        <v>17129.885397155307</v>
      </c>
      <c r="G55" s="115">
        <f>IF(LEFT(D55,4)*1&gt;LEFT('General inputs'!$I$16,4)+'General inputs'!$H$38-1,"",E55/(1+'General inputs'!$H$32)^C55)</f>
        <v>19457.627919174025</v>
      </c>
      <c r="H55" s="115" t="str">
        <f>IF(LEFT(D55,4)*1&lt;LEFT('General inputs'!$I$16,4)*1,"",IF(LEFT(D55,4)*1&gt;LEFT('General inputs'!$I$16,4)+'General inputs'!$H$38-1,"",E55/(1+'General inputs'!$H$34)^C55))</f>
        <v/>
      </c>
      <c r="I55" s="93"/>
      <c r="J55" s="153"/>
      <c r="K55" s="153"/>
      <c r="L55" s="115">
        <f>IF(LEFT(D55,4)*1&gt;LEFT('General inputs'!$I$18,4)*1,"",SUMIF('Post-1996 commissioned assets'!$F$22:$F$3002,$D55,'Post-1996 commissioned assets'!$P$22:$P$3002)*(1+$K$34)*(1+$K$35))</f>
        <v>15836068.561623707</v>
      </c>
      <c r="M55" s="115">
        <f>IF(L55="","",L55/(1+'General inputs'!$H$32)^C55)</f>
        <v>24899594.927241743</v>
      </c>
      <c r="N55" s="115" t="str">
        <f>IF(LEFT(D55,4)*1&lt;LEFT('General inputs'!$I$18,4)*1+1,"",SUMIF('Uncommissioned assets'!$F$22:$F$2036,$D55,'Uncommissioned assets'!$P$22:$P$2036))</f>
        <v/>
      </c>
      <c r="O55" s="115" t="str">
        <f>IF(N55="","",N55/(1+'General inputs'!$H$32)^C55)</f>
        <v/>
      </c>
      <c r="P55" s="93"/>
      <c r="Q55" s="121"/>
      <c r="R55" s="115" t="str">
        <f>IF(OR(LEFT(D55,4)*1&lt;LEFT('General inputs'!$I$16,4)*1,LEFT(D55,4)*1&gt;LEFT('General inputs'!$I$16,4)+'General inputs'!$H$38-1),"",Q55/(1+'General inputs'!$H$34)^C55)</f>
        <v/>
      </c>
      <c r="S55" s="93"/>
      <c r="T55" s="121"/>
      <c r="U55" s="115" t="str">
        <f>IF(OR(LEFT(D55,4)*1&lt;LEFT('General inputs'!$I$16,4)*1,LEFT(D55,4)*1&gt;LEFT('General inputs'!$I$16,4)+'General inputs'!$H$38-1),"",T55/(1+'General inputs'!$H$34)^C55)</f>
        <v/>
      </c>
      <c r="V55" s="95"/>
      <c r="W55" s="94"/>
      <c r="X55" s="49"/>
      <c r="Y55" s="49"/>
      <c r="Z55" s="49"/>
    </row>
    <row r="56" spans="1:26" x14ac:dyDescent="0.25">
      <c r="B56" s="68"/>
      <c r="C56" s="113">
        <f>IF(D56='General inputs'!$I$16,0,IF(D56&lt;'General inputs'!$I$16,C57-1,C55+1))</f>
        <v>-10</v>
      </c>
      <c r="D56" s="113" t="str">
        <f t="shared" si="1"/>
        <v>2012-13</v>
      </c>
      <c r="E56" s="115">
        <f>IF(LEFT(D56,4)*1&gt;LEFT('General inputs'!$I$16,4)+'General inputs'!$H$38-1,"",'ET inputs'!D29)</f>
        <v>9712.2484191508574</v>
      </c>
      <c r="F56" s="115">
        <f>IF(LEFT(D56,4)*1&gt;LEFT('General inputs'!$I$16,4)+'General inputs'!$H$38-1,"",E56/(1+'General inputs'!$H$30)^C56)</f>
        <v>13052.44973075589</v>
      </c>
      <c r="G56" s="115">
        <f>IF(LEFT(D56,4)*1&gt;LEFT('General inputs'!$I$16,4)+'General inputs'!$H$38-1,"",E56/(1+'General inputs'!$H$32)^C56)</f>
        <v>14655.37622384249</v>
      </c>
      <c r="H56" s="115" t="str">
        <f>IF(LEFT(D56,4)*1&lt;LEFT('General inputs'!$I$16,4)*1,"",IF(LEFT(D56,4)*1&gt;LEFT('General inputs'!$I$16,4)+'General inputs'!$H$38-1,"",E56/(1+'General inputs'!$H$34)^C56))</f>
        <v/>
      </c>
      <c r="I56" s="93"/>
      <c r="J56" s="153"/>
      <c r="K56" s="153"/>
      <c r="L56" s="115">
        <f>IF(LEFT(D56,4)*1&gt;LEFT('General inputs'!$I$18,4)*1,"",SUMIF('Post-1996 commissioned assets'!$F$22:$F$3002,$D56,'Post-1996 commissioned assets'!$P$22:$P$3002)*(1+$K$34)*(1+$K$35))</f>
        <v>2475792.0511349933</v>
      </c>
      <c r="M56" s="115">
        <f>IF(L56="","",L56/(1+'General inputs'!$H$32)^C56)</f>
        <v>3735866.5466007809</v>
      </c>
      <c r="N56" s="115" t="str">
        <f>IF(LEFT(D56,4)*1&lt;LEFT('General inputs'!$I$18,4)*1+1,"",SUMIF('Uncommissioned assets'!$F$22:$F$2036,$D56,'Uncommissioned assets'!$P$22:$P$2036))</f>
        <v/>
      </c>
      <c r="O56" s="115" t="str">
        <f>IF(N56="","",N56/(1+'General inputs'!$H$32)^C56)</f>
        <v/>
      </c>
      <c r="P56" s="93"/>
      <c r="Q56" s="121"/>
      <c r="R56" s="115" t="str">
        <f>IF(OR(LEFT(D56,4)*1&lt;LEFT('General inputs'!$I$16,4)*1,LEFT(D56,4)*1&gt;LEFT('General inputs'!$I$16,4)+'General inputs'!$H$38-1),"",Q56/(1+'General inputs'!$H$34)^C56)</f>
        <v/>
      </c>
      <c r="S56" s="93"/>
      <c r="T56" s="121"/>
      <c r="U56" s="115" t="str">
        <f>IF(OR(LEFT(D56,4)*1&lt;LEFT('General inputs'!$I$16,4)*1,LEFT(D56,4)*1&gt;LEFT('General inputs'!$I$16,4)+'General inputs'!$H$38-1),"",T56/(1+'General inputs'!$H$34)^C56)</f>
        <v/>
      </c>
      <c r="V56" s="95"/>
      <c r="W56" s="94"/>
      <c r="X56" s="49"/>
      <c r="Y56" s="49"/>
      <c r="Z56" s="49"/>
    </row>
    <row r="57" spans="1:26" x14ac:dyDescent="0.25">
      <c r="B57" s="68"/>
      <c r="C57" s="113">
        <f>IF(D57='General inputs'!$I$16,0,IF(D57&lt;'General inputs'!$I$16,C58-1,C56+1))</f>
        <v>-9</v>
      </c>
      <c r="D57" s="113" t="str">
        <f t="shared" si="1"/>
        <v>2013-14</v>
      </c>
      <c r="E57" s="115">
        <f>IF(LEFT(D57,4)*1&gt;LEFT('General inputs'!$I$16,4)+'General inputs'!$H$38-1,"",'ET inputs'!D30)</f>
        <v>9393.8233965674335</v>
      </c>
      <c r="F57" s="115">
        <f>IF(LEFT(D57,4)*1&gt;LEFT('General inputs'!$I$16,4)+'General inputs'!$H$38-1,"",E57/(1+'General inputs'!$H$30)^C57)</f>
        <v>12256.808861468937</v>
      </c>
      <c r="G57" s="115">
        <f>IF(LEFT(D57,4)*1&gt;LEFT('General inputs'!$I$16,4)+'General inputs'!$H$38-1,"",E57/(1+'General inputs'!$H$32)^C57)</f>
        <v>13603.537616941536</v>
      </c>
      <c r="H57" s="115" t="str">
        <f>IF(LEFT(D57,4)*1&lt;LEFT('General inputs'!$I$16,4)*1,"",IF(LEFT(D57,4)*1&gt;LEFT('General inputs'!$I$16,4)+'General inputs'!$H$38-1,"",E57/(1+'General inputs'!$H$34)^C57))</f>
        <v/>
      </c>
      <c r="I57" s="93"/>
      <c r="J57" s="153"/>
      <c r="K57" s="153"/>
      <c r="L57" s="115">
        <f>IF(LEFT(D57,4)*1&gt;LEFT('General inputs'!$I$18,4)*1,"",SUMIF('Post-1996 commissioned assets'!$F$22:$F$3002,$D57,'Post-1996 commissioned assets'!$P$22:$P$3002)*(1+$K$34)*(1+$K$35))</f>
        <v>9728234.4940568916</v>
      </c>
      <c r="M57" s="115">
        <f>IF(L57="","",L57/(1+'General inputs'!$H$32)^C57)</f>
        <v>14087810.500534689</v>
      </c>
      <c r="N57" s="115" t="str">
        <f>IF(LEFT(D57,4)*1&lt;LEFT('General inputs'!$I$18,4)*1+1,"",SUMIF('Uncommissioned assets'!$F$22:$F$2036,$D57,'Uncommissioned assets'!$P$22:$P$2036))</f>
        <v/>
      </c>
      <c r="O57" s="115" t="str">
        <f>IF(N57="","",N57/(1+'General inputs'!$H$32)^C57)</f>
        <v/>
      </c>
      <c r="P57" s="93"/>
      <c r="Q57" s="121"/>
      <c r="R57" s="115" t="str">
        <f>IF(OR(LEFT(D57,4)*1&lt;LEFT('General inputs'!$I$16,4)*1,LEFT(D57,4)*1&gt;LEFT('General inputs'!$I$16,4)+'General inputs'!$H$38-1),"",Q57/(1+'General inputs'!$H$34)^C57)</f>
        <v/>
      </c>
      <c r="S57" s="93"/>
      <c r="T57" s="121"/>
      <c r="U57" s="115" t="str">
        <f>IF(OR(LEFT(D57,4)*1&lt;LEFT('General inputs'!$I$16,4)*1,LEFT(D57,4)*1&gt;LEFT('General inputs'!$I$16,4)+'General inputs'!$H$38-1),"",T57/(1+'General inputs'!$H$34)^C57)</f>
        <v/>
      </c>
      <c r="V57" s="95"/>
      <c r="W57" s="94"/>
      <c r="X57" s="49"/>
      <c r="Y57" s="49"/>
      <c r="Z57" s="49"/>
    </row>
    <row r="58" spans="1:26" x14ac:dyDescent="0.25">
      <c r="B58" s="68"/>
      <c r="C58" s="113">
        <f>IF(D58='General inputs'!$I$16,0,IF(D58&lt;'General inputs'!$I$16,C59-1,C57+1))</f>
        <v>-8</v>
      </c>
      <c r="D58" s="113" t="str">
        <f t="shared" si="1"/>
        <v>2014-15</v>
      </c>
      <c r="E58" s="115">
        <f>IF(LEFT(D58,4)*1&gt;LEFT('General inputs'!$I$16,4)+'General inputs'!$H$38-1,"",'ET inputs'!D31)</f>
        <v>10026.015808491418</v>
      </c>
      <c r="F58" s="115">
        <f>IF(LEFT(D58,4)*1&gt;LEFT('General inputs'!$I$16,4)+'General inputs'!$H$38-1,"",E58/(1+'General inputs'!$H$30)^C58)</f>
        <v>12700.656861716199</v>
      </c>
      <c r="G58" s="115">
        <f>IF(LEFT(D58,4)*1&gt;LEFT('General inputs'!$I$16,4)+'General inputs'!$H$38-1,"",E58/(1+'General inputs'!$H$32)^C58)</f>
        <v>13933.81810161154</v>
      </c>
      <c r="H58" s="115" t="str">
        <f>IF(LEFT(D58,4)*1&lt;LEFT('General inputs'!$I$16,4)*1,"",IF(LEFT(D58,4)*1&gt;LEFT('General inputs'!$I$16,4)+'General inputs'!$H$38-1,"",E58/(1+'General inputs'!$H$34)^C58))</f>
        <v/>
      </c>
      <c r="I58" s="93"/>
      <c r="J58" s="153"/>
      <c r="K58" s="153"/>
      <c r="L58" s="115">
        <f>IF(LEFT(D58,4)*1&gt;LEFT('General inputs'!$I$18,4)*1,"",SUMIF('Post-1996 commissioned assets'!$F$22:$F$3002,$D58,'Post-1996 commissioned assets'!$P$22:$P$3002)*(1+$K$34)*(1+$K$35))</f>
        <v>1415825.112845198</v>
      </c>
      <c r="M58" s="115">
        <f>IF(L58="","",L58/(1+'General inputs'!$H$32)^C58)</f>
        <v>1967665.9166416184</v>
      </c>
      <c r="N58" s="115" t="str">
        <f>IF(LEFT(D58,4)*1&lt;LEFT('General inputs'!$I$18,4)*1+1,"",SUMIF('Uncommissioned assets'!$F$22:$F$2036,$D58,'Uncommissioned assets'!$P$22:$P$2036))</f>
        <v/>
      </c>
      <c r="O58" s="115" t="str">
        <f>IF(N58="","",N58/(1+'General inputs'!$H$32)^C58)</f>
        <v/>
      </c>
      <c r="P58" s="93"/>
      <c r="Q58" s="121"/>
      <c r="R58" s="115" t="str">
        <f>IF(OR(LEFT(D58,4)*1&lt;LEFT('General inputs'!$I$16,4)*1,LEFT(D58,4)*1&gt;LEFT('General inputs'!$I$16,4)+'General inputs'!$H$38-1),"",Q58/(1+'General inputs'!$H$34)^C58)</f>
        <v/>
      </c>
      <c r="S58" s="93"/>
      <c r="T58" s="121"/>
      <c r="U58" s="115" t="str">
        <f>IF(OR(LEFT(D58,4)*1&lt;LEFT('General inputs'!$I$16,4)*1,LEFT(D58,4)*1&gt;LEFT('General inputs'!$I$16,4)+'General inputs'!$H$38-1),"",T58/(1+'General inputs'!$H$34)^C58)</f>
        <v/>
      </c>
      <c r="V58" s="95"/>
      <c r="W58" s="94"/>
      <c r="X58" s="49"/>
      <c r="Y58" s="49"/>
      <c r="Z58" s="49"/>
    </row>
    <row r="59" spans="1:26" x14ac:dyDescent="0.25">
      <c r="B59" s="68"/>
      <c r="C59" s="113">
        <f>IF(D59='General inputs'!$I$16,0,IF(D59&lt;'General inputs'!$I$16,C60-1,C58+1))</f>
        <v>-7</v>
      </c>
      <c r="D59" s="113" t="str">
        <f t="shared" si="1"/>
        <v>2015-16</v>
      </c>
      <c r="E59" s="115">
        <f>IF(LEFT(D59,4)*1&gt;LEFT('General inputs'!$I$16,4)+'General inputs'!$H$38-1,"",'ET inputs'!D32)</f>
        <v>9127.8297199638</v>
      </c>
      <c r="F59" s="115">
        <f>IF(LEFT(D59,4)*1&gt;LEFT('General inputs'!$I$16,4)+'General inputs'!$H$38-1,"",E59/(1+'General inputs'!$H$30)^C59)</f>
        <v>11226.079220631887</v>
      </c>
      <c r="G59" s="115">
        <f>IF(LEFT(D59,4)*1&gt;LEFT('General inputs'!$I$16,4)+'General inputs'!$H$38-1,"",E59/(1+'General inputs'!$H$32)^C59)</f>
        <v>12174.231684861234</v>
      </c>
      <c r="H59" s="115" t="str">
        <f>IF(LEFT(D59,4)*1&lt;LEFT('General inputs'!$I$16,4)*1,"",IF(LEFT(D59,4)*1&gt;LEFT('General inputs'!$I$16,4)+'General inputs'!$H$38-1,"",E59/(1+'General inputs'!$H$34)^C59))</f>
        <v/>
      </c>
      <c r="I59" s="93"/>
      <c r="J59" s="153"/>
      <c r="K59" s="153"/>
      <c r="L59" s="115">
        <f>IF(LEFT(D59,4)*1&gt;LEFT('General inputs'!$I$18,4)*1,"",SUMIF('Post-1996 commissioned assets'!$F$22:$F$3002,$D59,'Post-1996 commissioned assets'!$P$22:$P$3002)*(1+$K$34)*(1+$K$35))</f>
        <v>3364511.0522667374</v>
      </c>
      <c r="M59" s="115">
        <f>IF(L59="","",L59/(1+'General inputs'!$H$32)^C59)</f>
        <v>4487412.4861231493</v>
      </c>
      <c r="N59" s="115" t="str">
        <f>IF(LEFT(D59,4)*1&lt;LEFT('General inputs'!$I$18,4)*1+1,"",SUMIF('Uncommissioned assets'!$F$22:$F$2036,$D59,'Uncommissioned assets'!$P$22:$P$2036))</f>
        <v/>
      </c>
      <c r="O59" s="115" t="str">
        <f>IF(N59="","",N59/(1+'General inputs'!$H$32)^C59)</f>
        <v/>
      </c>
      <c r="P59" s="93"/>
      <c r="Q59" s="121"/>
      <c r="R59" s="115" t="str">
        <f>IF(OR(LEFT(D59,4)*1&lt;LEFT('General inputs'!$I$16,4)*1,LEFT(D59,4)*1&gt;LEFT('General inputs'!$I$16,4)+'General inputs'!$H$38-1),"",Q59/(1+'General inputs'!$H$34)^C59)</f>
        <v/>
      </c>
      <c r="S59" s="93"/>
      <c r="T59" s="121"/>
      <c r="U59" s="115" t="str">
        <f>IF(OR(LEFT(D59,4)*1&lt;LEFT('General inputs'!$I$16,4)*1,LEFT(D59,4)*1&gt;LEFT('General inputs'!$I$16,4)+'General inputs'!$H$38-1),"",T59/(1+'General inputs'!$H$34)^C59)</f>
        <v/>
      </c>
      <c r="V59" s="95"/>
      <c r="W59" s="94"/>
      <c r="X59" s="49"/>
      <c r="Y59" s="49"/>
      <c r="Z59" s="49"/>
    </row>
    <row r="60" spans="1:26" x14ac:dyDescent="0.25">
      <c r="B60" s="68"/>
      <c r="C60" s="113">
        <f>IF(D60='General inputs'!$I$16,0,IF(D60&lt;'General inputs'!$I$16,C61-1,C59+1))</f>
        <v>-6</v>
      </c>
      <c r="D60" s="113" t="str">
        <f t="shared" si="1"/>
        <v>2016-17</v>
      </c>
      <c r="E60" s="115">
        <f>IF(LEFT(D60,4)*1&gt;LEFT('General inputs'!$I$16,4)+'General inputs'!$H$38-1,"",'ET inputs'!D33)</f>
        <v>18749.756097561007</v>
      </c>
      <c r="F60" s="115">
        <f>IF(LEFT(D60,4)*1&gt;LEFT('General inputs'!$I$16,4)+'General inputs'!$H$38-1,"",E60/(1+'General inputs'!$H$30)^C60)</f>
        <v>22388.18932765134</v>
      </c>
      <c r="G60" s="115">
        <f>IF(LEFT(D60,4)*1&gt;LEFT('General inputs'!$I$16,4)+'General inputs'!$H$38-1,"",E60/(1+'General inputs'!$H$32)^C60)</f>
        <v>23999.485777689079</v>
      </c>
      <c r="H60" s="115" t="str">
        <f>IF(LEFT(D60,4)*1&lt;LEFT('General inputs'!$I$16,4)*1,"",IF(LEFT(D60,4)*1&gt;LEFT('General inputs'!$I$16,4)+'General inputs'!$H$38-1,"",E60/(1+'General inputs'!$H$34)^C60))</f>
        <v/>
      </c>
      <c r="I60" s="93"/>
      <c r="J60" s="153"/>
      <c r="K60" s="153"/>
      <c r="L60" s="115">
        <f>IF(LEFT(D60,4)*1&gt;LEFT('General inputs'!$I$18,4)*1,"",SUMIF('Post-1996 commissioned assets'!$F$22:$F$3002,$D60,'Post-1996 commissioned assets'!$P$22:$P$3002)*(1+$K$34)*(1+$K$35))</f>
        <v>4752024.0348986322</v>
      </c>
      <c r="M60" s="115">
        <f>IF(L60="","",L60/(1+'General inputs'!$H$32)^C60)</f>
        <v>6082539.5619744444</v>
      </c>
      <c r="N60" s="115" t="str">
        <f>IF(LEFT(D60,4)*1&lt;LEFT('General inputs'!$I$18,4)*1+1,"",SUMIF('Uncommissioned assets'!$F$22:$F$2036,$D60,'Uncommissioned assets'!$P$22:$P$2036))</f>
        <v/>
      </c>
      <c r="O60" s="115" t="str">
        <f>IF(N60="","",N60/(1+'General inputs'!$H$32)^C60)</f>
        <v/>
      </c>
      <c r="P60" s="93"/>
      <c r="Q60" s="121"/>
      <c r="R60" s="115" t="str">
        <f>IF(OR(LEFT(D60,4)*1&lt;LEFT('General inputs'!$I$16,4)*1,LEFT(D60,4)*1&gt;LEFT('General inputs'!$I$16,4)+'General inputs'!$H$38-1),"",Q60/(1+'General inputs'!$H$34)^C60)</f>
        <v/>
      </c>
      <c r="S60" s="93"/>
      <c r="T60" s="121"/>
      <c r="U60" s="115" t="str">
        <f>IF(OR(LEFT(D60,4)*1&lt;LEFT('General inputs'!$I$16,4)*1,LEFT(D60,4)*1&gt;LEFT('General inputs'!$I$16,4)+'General inputs'!$H$38-1),"",T60/(1+'General inputs'!$H$34)^C60)</f>
        <v/>
      </c>
      <c r="V60" s="95"/>
      <c r="W60" s="94"/>
      <c r="X60" s="49"/>
      <c r="Y60" s="49"/>
      <c r="Z60" s="49"/>
    </row>
    <row r="61" spans="1:26" x14ac:dyDescent="0.25">
      <c r="B61" s="68"/>
      <c r="C61" s="113">
        <f>IF(D61='General inputs'!$I$16,0,IF(D61&lt;'General inputs'!$I$16,C62-1,C60+1))</f>
        <v>-5</v>
      </c>
      <c r="D61" s="113" t="str">
        <f t="shared" si="1"/>
        <v>2017-18</v>
      </c>
      <c r="E61" s="115">
        <f>IF(LEFT(D61,4)*1&gt;LEFT('General inputs'!$I$16,4)+'General inputs'!$H$38-1,"",'ET inputs'!D34)</f>
        <v>16634.003613369434</v>
      </c>
      <c r="F61" s="115">
        <f>IF(LEFT(D61,4)*1&gt;LEFT('General inputs'!$I$16,4)+'General inputs'!$H$38-1,"",E61/(1+'General inputs'!$H$30)^C61)</f>
        <v>19283.369140791703</v>
      </c>
      <c r="G61" s="115">
        <f>IF(LEFT(D61,4)*1&gt;LEFT('General inputs'!$I$16,4)+'General inputs'!$H$38-1,"",E61/(1+'General inputs'!$H$32)^C61)</f>
        <v>20433.152970244897</v>
      </c>
      <c r="H61" s="115" t="str">
        <f>IF(LEFT(D61,4)*1&lt;LEFT('General inputs'!$I$16,4)*1,"",IF(LEFT(D61,4)*1&gt;LEFT('General inputs'!$I$16,4)+'General inputs'!$H$38-1,"",E61/(1+'General inputs'!$H$34)^C61))</f>
        <v/>
      </c>
      <c r="I61" s="93"/>
      <c r="J61" s="153"/>
      <c r="K61" s="153"/>
      <c r="L61" s="115">
        <f>IF(LEFT(D61,4)*1&gt;LEFT('General inputs'!$I$18,4)*1,"",SUMIF('Post-1996 commissioned assets'!$F$22:$F$3002,$D61,'Post-1996 commissioned assets'!$P$22:$P$3002)*(1+$K$34)*(1+$K$35))</f>
        <v>5622125.8284968184</v>
      </c>
      <c r="M61" s="115">
        <f>IF(L61="","",L61/(1+'General inputs'!$H$32)^C61)</f>
        <v>6906200.0791744646</v>
      </c>
      <c r="N61" s="115" t="str">
        <f>IF(LEFT(D61,4)*1&lt;LEFT('General inputs'!$I$18,4)*1+1,"",SUMIF('Uncommissioned assets'!$F$22:$F$2036,$D61,'Uncommissioned assets'!$P$22:$P$2036))</f>
        <v/>
      </c>
      <c r="O61" s="115" t="str">
        <f>IF(N61="","",N61/(1+'General inputs'!$H$32)^C61)</f>
        <v/>
      </c>
      <c r="P61" s="93"/>
      <c r="Q61" s="121"/>
      <c r="R61" s="115" t="str">
        <f>IF(OR(LEFT(D61,4)*1&lt;LEFT('General inputs'!$I$16,4)*1,LEFT(D61,4)*1&gt;LEFT('General inputs'!$I$16,4)+'General inputs'!$H$38-1),"",Q61/(1+'General inputs'!$H$34)^C61)</f>
        <v/>
      </c>
      <c r="S61" s="93"/>
      <c r="T61" s="121"/>
      <c r="U61" s="115" t="str">
        <f>IF(OR(LEFT(D61,4)*1&lt;LEFT('General inputs'!$I$16,4)*1,LEFT(D61,4)*1&gt;LEFT('General inputs'!$I$16,4)+'General inputs'!$H$38-1),"",T61/(1+'General inputs'!$H$34)^C61)</f>
        <v/>
      </c>
      <c r="V61" s="95"/>
      <c r="W61" s="94"/>
    </row>
    <row r="62" spans="1:26" x14ac:dyDescent="0.25">
      <c r="A62" s="94"/>
      <c r="B62" s="105"/>
      <c r="C62" s="113">
        <f>IF(D62='General inputs'!$I$16,0,IF(D62&lt;'General inputs'!$I$16,C63-1,C61+1))</f>
        <v>-4</v>
      </c>
      <c r="D62" s="113" t="str">
        <f t="shared" si="1"/>
        <v>2018-19</v>
      </c>
      <c r="E62" s="115">
        <f>IF(LEFT(D62,4)*1&gt;LEFT('General inputs'!$I$16,4)+'General inputs'!$H$38-1,"",'ET inputs'!D35)</f>
        <v>11104.832429990967</v>
      </c>
      <c r="F62" s="115">
        <f>IF(LEFT(D62,4)*1&gt;LEFT('General inputs'!$I$16,4)+'General inputs'!$H$38-1,"",E62/(1+'General inputs'!$H$30)^C62)</f>
        <v>12498.58673352854</v>
      </c>
      <c r="G62" s="115">
        <f>IF(LEFT(D62,4)*1&gt;LEFT('General inputs'!$I$16,4)+'General inputs'!$H$38-1,"",E62/(1+'General inputs'!$H$32)^C62)</f>
        <v>13091.303318831426</v>
      </c>
      <c r="H62" s="115" t="str">
        <f>IF(LEFT(D62,4)*1&lt;LEFT('General inputs'!$I$16,4)*1,"",IF(LEFT(D62,4)*1&gt;LEFT('General inputs'!$I$16,4)+'General inputs'!$H$38-1,"",E62/(1+'General inputs'!$H$34)^C62))</f>
        <v/>
      </c>
      <c r="I62" s="93"/>
      <c r="J62" s="153"/>
      <c r="K62" s="153"/>
      <c r="L62" s="115">
        <f>IF(LEFT(D62,4)*1&gt;LEFT('General inputs'!$I$18,4)*1,"",SUMIF('Post-1996 commissioned assets'!$F$22:$F$3002,$D62,'Post-1996 commissioned assets'!$P$22:$P$3002)*(1+$K$34)*(1+$K$35))</f>
        <v>2558607.1639711857</v>
      </c>
      <c r="M62" s="115">
        <f>IF(L62="","",L62/(1+'General inputs'!$H$32)^C62)</f>
        <v>3016299.6756997518</v>
      </c>
      <c r="N62" s="115" t="str">
        <f>IF(LEFT(D62,4)*1&lt;LEFT('General inputs'!$I$18,4)*1+1,"",SUMIF('Uncommissioned assets'!$F$22:$F$2036,$D62,'Uncommissioned assets'!$P$22:$P$2036))</f>
        <v/>
      </c>
      <c r="O62" s="115" t="str">
        <f>IF(N62="","",N62/(1+'General inputs'!$H$32)^C62)</f>
        <v/>
      </c>
      <c r="P62" s="93"/>
      <c r="Q62" s="121"/>
      <c r="R62" s="115" t="str">
        <f>IF(OR(LEFT(D62,4)*1&lt;LEFT('General inputs'!$I$16,4)*1,LEFT(D62,4)*1&gt;LEFT('General inputs'!$I$16,4)+'General inputs'!$H$38-1),"",Q62/(1+'General inputs'!$H$34)^C62)</f>
        <v/>
      </c>
      <c r="S62" s="93"/>
      <c r="T62" s="121"/>
      <c r="U62" s="115" t="str">
        <f>IF(OR(LEFT(D62,4)*1&lt;LEFT('General inputs'!$I$16,4)*1,LEFT(D62,4)*1&gt;LEFT('General inputs'!$I$16,4)+'General inputs'!$H$38-1),"",T62/(1+'General inputs'!$H$34)^C62)</f>
        <v/>
      </c>
      <c r="V62" s="95"/>
      <c r="W62" s="94"/>
    </row>
    <row r="63" spans="1:26" x14ac:dyDescent="0.25">
      <c r="B63" s="68"/>
      <c r="C63" s="113">
        <f>IF(D63='General inputs'!$I$16,0,IF(D63&lt;'General inputs'!$I$16,C64-1,C62+1))</f>
        <v>-3</v>
      </c>
      <c r="D63" s="113" t="str">
        <f t="shared" si="1"/>
        <v>2019-20</v>
      </c>
      <c r="E63" s="115">
        <f>IF(LEFT(D63,4)*1&gt;LEFT('General inputs'!$I$16,4)+'General inputs'!$H$38-1,"",'ET inputs'!D36)</f>
        <v>13033.327913279132</v>
      </c>
      <c r="F63" s="115">
        <f>IF(LEFT(D63,4)*1&gt;LEFT('General inputs'!$I$16,4)+'General inputs'!$H$38-1,"",E63/(1+'General inputs'!$H$30)^C63)</f>
        <v>14241.869310693766</v>
      </c>
      <c r="G63" s="115">
        <f>IF(LEFT(D63,4)*1&gt;LEFT('General inputs'!$I$16,4)+'General inputs'!$H$38-1,"",E63/(1+'General inputs'!$H$32)^C63)</f>
        <v>14745.465214867818</v>
      </c>
      <c r="H63" s="115" t="str">
        <f>IF(LEFT(D63,4)*1&lt;LEFT('General inputs'!$I$16,4)*1,"",IF(LEFT(D63,4)*1&gt;LEFT('General inputs'!$I$16,4)+'General inputs'!$H$38-1,"",E63/(1+'General inputs'!$H$34)^C63))</f>
        <v/>
      </c>
      <c r="I63" s="93"/>
      <c r="J63" s="153"/>
      <c r="K63" s="153"/>
      <c r="L63" s="115">
        <f>IF(LEFT(D63,4)*1&gt;LEFT('General inputs'!$I$18,4)*1,"",SUMIF('Post-1996 commissioned assets'!$F$22:$F$3002,$D63,'Post-1996 commissioned assets'!$P$22:$P$3002)*(1+$K$34)*(1+$K$35))</f>
        <v>4652717.4028666755</v>
      </c>
      <c r="M63" s="115">
        <f>IF(L63="","",L63/(1+'General inputs'!$H$32)^C63)</f>
        <v>5263926.6866507921</v>
      </c>
      <c r="N63" s="115" t="str">
        <f>IF(LEFT(D63,4)*1&lt;LEFT('General inputs'!$I$18,4)*1+1,"",SUMIF('Uncommissioned assets'!$F$22:$F$2036,$D63,'Uncommissioned assets'!$P$22:$P$2036))</f>
        <v/>
      </c>
      <c r="O63" s="115" t="str">
        <f>IF(N63="","",N63/(1+'General inputs'!$H$32)^C63)</f>
        <v/>
      </c>
      <c r="P63" s="93"/>
      <c r="Q63" s="121"/>
      <c r="R63" s="115" t="str">
        <f>IF(OR(LEFT(D63,4)*1&lt;LEFT('General inputs'!$I$16,4)*1,LEFT(D63,4)*1&gt;LEFT('General inputs'!$I$16,4)+'General inputs'!$H$38-1),"",Q63/(1+'General inputs'!$H$34)^C63)</f>
        <v/>
      </c>
      <c r="S63" s="93"/>
      <c r="T63" s="121"/>
      <c r="U63" s="115" t="str">
        <f>IF(OR(LEFT(D63,4)*1&lt;LEFT('General inputs'!$I$16,4)*1,LEFT(D63,4)*1&gt;LEFT('General inputs'!$I$16,4)+'General inputs'!$H$38-1),"",T63/(1+'General inputs'!$H$34)^C63)</f>
        <v/>
      </c>
      <c r="V63" s="95"/>
      <c r="W63" s="94"/>
    </row>
    <row r="64" spans="1:26" x14ac:dyDescent="0.25">
      <c r="B64" s="68"/>
      <c r="C64" s="113">
        <f>IF(D64='General inputs'!$I$16,0,IF(D64&lt;'General inputs'!$I$16,C65-1,C63+1))</f>
        <v>-2</v>
      </c>
      <c r="D64" s="113" t="str">
        <f t="shared" si="1"/>
        <v>2020-21</v>
      </c>
      <c r="E64" s="115">
        <f>IF(LEFT(D64,4)*1&gt;LEFT('General inputs'!$I$16,4)+'General inputs'!$H$38-1,"",'ET inputs'!D37)</f>
        <v>8917.0394105692048</v>
      </c>
      <c r="F64" s="115">
        <f>IF(LEFT(D64,4)*1&gt;LEFT('General inputs'!$I$16,4)+'General inputs'!$H$38-1,"",E64/(1+'General inputs'!$H$30)^C64)</f>
        <v>9460.08711067287</v>
      </c>
      <c r="G64" s="115">
        <f>IF(LEFT(D64,4)*1&gt;LEFT('General inputs'!$I$16,4)+'General inputs'!$H$38-1,"",E64/(1+'General inputs'!$H$32)^C64)</f>
        <v>9681.8003785772635</v>
      </c>
      <c r="H64" s="115" t="str">
        <f>IF(LEFT(D64,4)*1&lt;LEFT('General inputs'!$I$16,4)*1,"",IF(LEFT(D64,4)*1&gt;LEFT('General inputs'!$I$16,4)+'General inputs'!$H$38-1,"",E64/(1+'General inputs'!$H$34)^C64))</f>
        <v/>
      </c>
      <c r="I64" s="93"/>
      <c r="J64" s="153"/>
      <c r="K64" s="153"/>
      <c r="L64" s="115">
        <f>IF(LEFT(D64,4)*1&gt;LEFT('General inputs'!$I$18,4)*1,"",SUMIF('Post-1996 commissioned assets'!$F$22:$F$3002,$D64,'Post-1996 commissioned assets'!$P$22:$P$3002)*(1+$K$34)*(1+$K$35))</f>
        <v>1965385.8928396006</v>
      </c>
      <c r="M64" s="115">
        <f>IF(L64="","",L64/(1+'General inputs'!$H$32)^C64)</f>
        <v>2133945.2485530963</v>
      </c>
      <c r="N64" s="115" t="str">
        <f>IF(LEFT(D64,4)*1&lt;LEFT('General inputs'!$I$18,4)*1+1,"",SUMIF('Uncommissioned assets'!$F$22:$F$2036,$D64,'Uncommissioned assets'!$P$22:$P$2036))</f>
        <v/>
      </c>
      <c r="O64" s="115" t="str">
        <f>IF(N64="","",N64/(1+'General inputs'!$H$32)^C64)</f>
        <v/>
      </c>
      <c r="P64" s="93"/>
      <c r="Q64" s="121"/>
      <c r="R64" s="115" t="str">
        <f>IF(OR(LEFT(D64,4)*1&lt;LEFT('General inputs'!$I$16,4)*1,LEFT(D64,4)*1&gt;LEFT('General inputs'!$I$16,4)+'General inputs'!$H$38-1),"",Q64/(1+'General inputs'!$H$34)^C64)</f>
        <v/>
      </c>
      <c r="S64" s="93"/>
      <c r="T64" s="121"/>
      <c r="U64" s="115" t="str">
        <f>IF(OR(LEFT(D64,4)*1&lt;LEFT('General inputs'!$I$16,4)*1,LEFT(D64,4)*1&gt;LEFT('General inputs'!$I$16,4)+'General inputs'!$H$38-1),"",T64/(1+'General inputs'!$H$34)^C64)</f>
        <v/>
      </c>
      <c r="V64" s="95"/>
      <c r="W64" s="94"/>
    </row>
    <row r="65" spans="2:23" x14ac:dyDescent="0.25">
      <c r="B65" s="68"/>
      <c r="C65" s="113">
        <f>IF(D65='General inputs'!$I$16,0,IF(D65&lt;'General inputs'!$I$16,C66-1,C64+1))</f>
        <v>-1</v>
      </c>
      <c r="D65" s="113" t="str">
        <f t="shared" si="1"/>
        <v>2021-22</v>
      </c>
      <c r="E65" s="115">
        <f>IF(LEFT(D65,4)*1&gt;LEFT('General inputs'!$I$16,4)+'General inputs'!$H$38-1,"",'ET inputs'!D38)</f>
        <v>6150.8238482384822</v>
      </c>
      <c r="F65" s="115">
        <f>IF(LEFT(D65,4)*1&gt;LEFT('General inputs'!$I$16,4)+'General inputs'!$H$38-1,"",E65/(1+'General inputs'!$H$30)^C65)</f>
        <v>6335.3485636856367</v>
      </c>
      <c r="G65" s="115">
        <f>IF(LEFT(D65,4)*1&gt;LEFT('General inputs'!$I$16,4)+'General inputs'!$H$38-1,"",E65/(1+'General inputs'!$H$32)^C65)</f>
        <v>6409.1584498644988</v>
      </c>
      <c r="H65" s="115" t="str">
        <f>IF(LEFT(D65,4)*1&lt;LEFT('General inputs'!$I$16,4)*1,"",IF(LEFT(D65,4)*1&gt;LEFT('General inputs'!$I$16,4)+'General inputs'!$H$38-1,"",E65/(1+'General inputs'!$H$34)^C65))</f>
        <v/>
      </c>
      <c r="I65" s="93"/>
      <c r="J65" s="153"/>
      <c r="K65" s="153"/>
      <c r="L65" s="115" t="str">
        <f>IF(LEFT(D65,4)*1&gt;LEFT('General inputs'!$I$18,4)*1,"",SUMIF('Post-1996 commissioned assets'!$F$22:$F$3002,$D65,'Post-1996 commissioned assets'!$P$22:$P$3002)*(1+$K$34)*(1+$K$35))</f>
        <v/>
      </c>
      <c r="M65" s="115" t="str">
        <f>IF(L65="","",L65/(1+'General inputs'!$H$32)^C65)</f>
        <v/>
      </c>
      <c r="N65" s="115">
        <f>IF(LEFT(D65,4)*1&lt;LEFT('General inputs'!$I$18,4)*1+1,"",SUMIF('Uncommissioned assets'!$F$22:$F$2036,$D65,'Uncommissioned assets'!$P$22:$P$2036))</f>
        <v>449237</v>
      </c>
      <c r="O65" s="115">
        <f>IF(N65="","",N65/(1+'General inputs'!$H$32)^C65)</f>
        <v>468104.95400000003</v>
      </c>
      <c r="P65" s="93"/>
      <c r="Q65" s="121"/>
      <c r="R65" s="115" t="str">
        <f>IF(OR(LEFT(D65,4)*1&lt;LEFT('General inputs'!$I$16,4)*1,LEFT(D65,4)*1&gt;LEFT('General inputs'!$I$16,4)+'General inputs'!$H$38-1),"",Q65/(1+'General inputs'!$H$34)^C65)</f>
        <v/>
      </c>
      <c r="S65" s="93"/>
      <c r="T65" s="121"/>
      <c r="U65" s="115" t="str">
        <f>IF(OR(LEFT(D65,4)*1&lt;LEFT('General inputs'!$I$16,4)*1,LEFT(D65,4)*1&gt;LEFT('General inputs'!$I$16,4)+'General inputs'!$H$38-1),"",T65/(1+'General inputs'!$H$34)^C65)</f>
        <v/>
      </c>
      <c r="V65" s="95"/>
      <c r="W65" s="94"/>
    </row>
    <row r="66" spans="2:23" x14ac:dyDescent="0.25">
      <c r="B66" s="68"/>
      <c r="C66" s="113">
        <f>IF(D66='General inputs'!$I$16,0,IF(D66&lt;'General inputs'!$I$16,C67-1,C65+1))</f>
        <v>0</v>
      </c>
      <c r="D66" s="113" t="str">
        <f t="shared" si="1"/>
        <v>2022-23</v>
      </c>
      <c r="E66" s="115">
        <f>IF(LEFT(D66,4)*1&gt;LEFT('General inputs'!$I$16,4)+'General inputs'!$H$38-1,"",'ET inputs'!D39)</f>
        <v>14743.904760497819</v>
      </c>
      <c r="F66" s="115">
        <f>IF(LEFT(D66,4)*1&gt;LEFT('General inputs'!$I$16,4)+'General inputs'!$H$38-1,"",E66/(1+'General inputs'!$H$30)^C66)</f>
        <v>14743.904760497819</v>
      </c>
      <c r="G66" s="115">
        <f>IF(LEFT(D66,4)*1&gt;LEFT('General inputs'!$I$16,4)+'General inputs'!$H$38-1,"",E66/(1+'General inputs'!$H$32)^C66)</f>
        <v>14743.904760497819</v>
      </c>
      <c r="H66" s="115">
        <f>IF(LEFT(D66,4)*1&lt;LEFT('General inputs'!$I$16,4)*1,"",IF(LEFT(D66,4)*1&gt;LEFT('General inputs'!$I$16,4)+'General inputs'!$H$38-1,"",E66/(1+'General inputs'!$H$34)^C66))</f>
        <v>14743.904760497819</v>
      </c>
      <c r="I66" s="93"/>
      <c r="J66" s="153"/>
      <c r="K66" s="153"/>
      <c r="L66" s="115" t="str">
        <f>IF(LEFT(D66,4)*1&gt;LEFT('General inputs'!$I$18,4)*1,"",SUMIF('Post-1996 commissioned assets'!$F$22:$F$3002,$D66,'Post-1996 commissioned assets'!$P$22:$P$3002)*(1+$K$34)*(1+$K$35))</f>
        <v/>
      </c>
      <c r="M66" s="115" t="str">
        <f>IF(L66="","",L66/(1+'General inputs'!$H$32)^C66)</f>
        <v/>
      </c>
      <c r="N66" s="115">
        <f>IF(LEFT(D66,4)*1&lt;LEFT('General inputs'!$I$18,4)*1+1,"",SUMIF('Uncommissioned assets'!$F$22:$F$2036,$D66,'Uncommissioned assets'!$P$22:$P$2036))</f>
        <v>0</v>
      </c>
      <c r="O66" s="115">
        <f>IF(N66="","",N66/(1+'General inputs'!$H$32)^C66)</f>
        <v>0</v>
      </c>
      <c r="P66" s="93"/>
      <c r="Q66" s="121">
        <f>'Reduction amount'!P39</f>
        <v>2449533.5208446481</v>
      </c>
      <c r="R66" s="115">
        <f>IF(OR(LEFT(D66,4)*1&lt;LEFT('General inputs'!$I$16,4)*1,LEFT(D66,4)*1&gt;LEFT('General inputs'!$I$16,4)+'General inputs'!$H$38-1),"",Q66/(1+'General inputs'!$H$34)^C66)</f>
        <v>2449533.5208446481</v>
      </c>
      <c r="S66" s="93"/>
      <c r="T66" s="121">
        <f>'Reduction amount'!J39</f>
        <v>689841.66584106768</v>
      </c>
      <c r="U66" s="115">
        <f>IF(OR(LEFT(D66,4)*1&lt;LEFT('General inputs'!$I$16,4)*1,LEFT(D66,4)*1&gt;LEFT('General inputs'!$I$16,4)+'General inputs'!$H$38-1),"",T66/(1+'General inputs'!$H$34)^C66)</f>
        <v>689841.66584106768</v>
      </c>
      <c r="V66" s="95"/>
      <c r="W66" s="94"/>
    </row>
    <row r="67" spans="2:23" x14ac:dyDescent="0.25">
      <c r="B67" s="68"/>
      <c r="C67" s="113">
        <f>IF(D67='General inputs'!$I$16,0,IF(D67&lt;'General inputs'!$I$16,C68-1,C66+1))</f>
        <v>1</v>
      </c>
      <c r="D67" s="113" t="str">
        <f t="shared" si="1"/>
        <v>2023-24</v>
      </c>
      <c r="E67" s="115">
        <f>IF(LEFT(D67,4)*1&gt;LEFT('General inputs'!$I$16,4)+'General inputs'!$H$38-1,"",'ET inputs'!D40)</f>
        <v>16128.287260330411</v>
      </c>
      <c r="F67" s="115">
        <f>IF(LEFT(D67,4)*1&gt;LEFT('General inputs'!$I$16,4)+'General inputs'!$H$38-1,"",E67/(1+'General inputs'!$H$30)^C67)</f>
        <v>15658.531320709137</v>
      </c>
      <c r="G67" s="115">
        <f>IF(LEFT(D67,4)*1&gt;LEFT('General inputs'!$I$16,4)+'General inputs'!$H$38-1,"",E67/(1+'General inputs'!$H$32)^C67)</f>
        <v>15478.202745038781</v>
      </c>
      <c r="H67" s="115">
        <f>IF(LEFT(D67,4)*1&lt;LEFT('General inputs'!$I$16,4)*1,"",IF(LEFT(D67,4)*1&gt;LEFT('General inputs'!$I$16,4)+'General inputs'!$H$38-1,"",E67/(1+'General inputs'!$H$34)^C67))</f>
        <v>15478.202745038781</v>
      </c>
      <c r="I67" s="93"/>
      <c r="J67" s="153"/>
      <c r="K67" s="153"/>
      <c r="L67" s="115" t="str">
        <f>IF(LEFT(D67,4)*1&gt;LEFT('General inputs'!$I$18,4)*1,"",SUMIF('Post-1996 commissioned assets'!$F$22:$F$3002,$D67,'Post-1996 commissioned assets'!$P$22:$P$3002)*(1+$K$34)*(1+$K$35))</f>
        <v/>
      </c>
      <c r="M67" s="115" t="str">
        <f>IF(L67="","",L67/(1+'General inputs'!$H$32)^C67)</f>
        <v/>
      </c>
      <c r="N67" s="115">
        <f>IF(LEFT(D67,4)*1&lt;LEFT('General inputs'!$I$18,4)*1+1,"",SUMIF('Uncommissioned assets'!$F$22:$F$2036,$D67,'Uncommissioned assets'!$P$22:$P$2036))</f>
        <v>0</v>
      </c>
      <c r="O67" s="115">
        <f>IF(N67="","",N67/(1+'General inputs'!$H$32)^C67)</f>
        <v>0</v>
      </c>
      <c r="P67" s="93"/>
      <c r="Q67" s="121">
        <f>'Reduction amount'!P40</f>
        <v>5984587.6200440237</v>
      </c>
      <c r="R67" s="115">
        <f>IF(OR(LEFT(D67,4)*1&lt;LEFT('General inputs'!$I$16,4)*1,LEFT(D67,4)*1&gt;LEFT('General inputs'!$I$16,4)+'General inputs'!$H$38-1),"",Q67/(1+'General inputs'!$H$34)^C67)</f>
        <v>5743366.2380460883</v>
      </c>
      <c r="S67" s="93"/>
      <c r="T67" s="121">
        <f>'Reduction amount'!J40</f>
        <v>2750430.2394560548</v>
      </c>
      <c r="U67" s="115">
        <f>IF(OR(LEFT(D67,4)*1&lt;LEFT('General inputs'!$I$16,4)*1,LEFT(D67,4)*1&gt;LEFT('General inputs'!$I$16,4)+'General inputs'!$H$38-1),"",T67/(1+'General inputs'!$H$34)^C67)</f>
        <v>2639568.3680000524</v>
      </c>
      <c r="V67" s="95"/>
      <c r="W67" s="94"/>
    </row>
    <row r="68" spans="2:23" x14ac:dyDescent="0.25">
      <c r="B68" s="68"/>
      <c r="C68" s="113">
        <f>IF(D68='General inputs'!$I$16,0,IF(D68&lt;'General inputs'!$I$16,C69-1,C67+1))</f>
        <v>2</v>
      </c>
      <c r="D68" s="113" t="str">
        <f t="shared" si="1"/>
        <v>2024-25</v>
      </c>
      <c r="E68" s="115">
        <f>IF(LEFT(D68,4)*1&gt;LEFT('General inputs'!$I$16,4)+'General inputs'!$H$38-1,"",'ET inputs'!D41)</f>
        <v>15700.896050410603</v>
      </c>
      <c r="F68" s="115">
        <f>IF(LEFT(D68,4)*1&gt;LEFT('General inputs'!$I$16,4)+'General inputs'!$H$38-1,"",E68/(1+'General inputs'!$H$30)^C68)</f>
        <v>14799.600386851356</v>
      </c>
      <c r="G68" s="115">
        <f>IF(LEFT(D68,4)*1&gt;LEFT('General inputs'!$I$16,4)+'General inputs'!$H$38-1,"",E68/(1+'General inputs'!$H$32)^C68)</f>
        <v>14460.689478017875</v>
      </c>
      <c r="H68" s="115">
        <f>IF(LEFT(D68,4)*1&lt;LEFT('General inputs'!$I$16,4)*1,"",IF(LEFT(D68,4)*1&gt;LEFT('General inputs'!$I$16,4)+'General inputs'!$H$38-1,"",E68/(1+'General inputs'!$H$34)^C68))</f>
        <v>14460.689478017875</v>
      </c>
      <c r="I68" s="93"/>
      <c r="J68" s="153"/>
      <c r="K68" s="153"/>
      <c r="L68" s="115" t="str">
        <f>IF(LEFT(D68,4)*1&gt;LEFT('General inputs'!$I$18,4)*1,"",SUMIF('Post-1996 commissioned assets'!$F$22:$F$3002,$D68,'Post-1996 commissioned assets'!$P$22:$P$3002)*(1+$K$34)*(1+$K$35))</f>
        <v/>
      </c>
      <c r="M68" s="115" t="str">
        <f>IF(L68="","",L68/(1+'General inputs'!$H$32)^C68)</f>
        <v/>
      </c>
      <c r="N68" s="115">
        <f>IF(LEFT(D68,4)*1&lt;LEFT('General inputs'!$I$18,4)*1+1,"",SUMIF('Uncommissioned assets'!$F$22:$F$2036,$D68,'Uncommissioned assets'!$P$22:$P$2036))</f>
        <v>0</v>
      </c>
      <c r="O68" s="115">
        <f>IF(N68="","",N68/(1+'General inputs'!$H$32)^C68)</f>
        <v>0</v>
      </c>
      <c r="P68" s="93"/>
      <c r="Q68" s="121">
        <f>'Reduction amount'!P41</f>
        <v>9505411.7479052767</v>
      </c>
      <c r="R68" s="115">
        <f>IF(OR(LEFT(D68,4)*1&lt;LEFT('General inputs'!$I$16,4)*1,LEFT(D68,4)*1&gt;LEFT('General inputs'!$I$16,4)+'General inputs'!$H$38-1),"",Q68/(1+'General inputs'!$H$34)^C68)</f>
        <v>8754583.6368725393</v>
      </c>
      <c r="S68" s="93"/>
      <c r="T68" s="121">
        <f>'Reduction amount'!J41</f>
        <v>4611305.7239626311</v>
      </c>
      <c r="U68" s="115">
        <f>IF(OR(LEFT(D68,4)*1&lt;LEFT('General inputs'!$I$16,4)*1,LEFT(D68,4)*1&gt;LEFT('General inputs'!$I$16,4)+'General inputs'!$H$38-1),"",T68/(1+'General inputs'!$H$34)^C68)</f>
        <v>4247060.801392043</v>
      </c>
      <c r="V68" s="95"/>
      <c r="W68" s="94"/>
    </row>
    <row r="69" spans="2:23" x14ac:dyDescent="0.25">
      <c r="B69" s="68"/>
      <c r="C69" s="113">
        <f>IF(D69='General inputs'!$I$16,0,IF(D69&lt;'General inputs'!$I$16,C70-1,C68+1))</f>
        <v>3</v>
      </c>
      <c r="D69" s="113" t="str">
        <f t="shared" si="1"/>
        <v>2025-26</v>
      </c>
      <c r="E69" s="115">
        <f>IF(LEFT(D69,4)*1&gt;LEFT('General inputs'!$I$16,4)+'General inputs'!$H$38-1,"",'ET inputs'!D42)</f>
        <v>18100.49704004289</v>
      </c>
      <c r="F69" s="115">
        <f>IF(LEFT(D69,4)*1&gt;LEFT('General inputs'!$I$16,4)+'General inputs'!$H$38-1,"",E69/(1+'General inputs'!$H$30)^C69)</f>
        <v>16564.518896341804</v>
      </c>
      <c r="G69" s="115">
        <f>IF(LEFT(D69,4)*1&gt;LEFT('General inputs'!$I$16,4)+'General inputs'!$H$38-1,"",E69/(1+'General inputs'!$H$32)^C69)</f>
        <v>15998.797588179863</v>
      </c>
      <c r="H69" s="115">
        <f>IF(LEFT(D69,4)*1&lt;LEFT('General inputs'!$I$16,4)*1,"",IF(LEFT(D69,4)*1&gt;LEFT('General inputs'!$I$16,4)+'General inputs'!$H$38-1,"",E69/(1+'General inputs'!$H$34)^C69))</f>
        <v>15998.797588179863</v>
      </c>
      <c r="I69" s="93"/>
      <c r="J69" s="153"/>
      <c r="K69" s="153"/>
      <c r="L69" s="115" t="str">
        <f>IF(LEFT(D69,4)*1&gt;LEFT('General inputs'!$I$18,4)*1,"",SUMIF('Post-1996 commissioned assets'!$F$22:$F$3002,$D69,'Post-1996 commissioned assets'!$P$22:$P$3002)*(1+$K$34)*(1+$K$35))</f>
        <v/>
      </c>
      <c r="M69" s="115" t="str">
        <f>IF(L69="","",L69/(1+'General inputs'!$H$32)^C69)</f>
        <v/>
      </c>
      <c r="N69" s="115">
        <f>IF(LEFT(D69,4)*1&lt;LEFT('General inputs'!$I$18,4)*1+1,"",SUMIF('Uncommissioned assets'!$F$22:$F$2036,$D69,'Uncommissioned assets'!$P$22:$P$2036))</f>
        <v>31700000</v>
      </c>
      <c r="O69" s="115">
        <f>IF(N69="","",N69/(1+'General inputs'!$H$32)^C69)</f>
        <v>28019224.136405256</v>
      </c>
      <c r="P69" s="93"/>
      <c r="Q69" s="121">
        <f>'Reduction amount'!P42</f>
        <v>14083664.029379193</v>
      </c>
      <c r="R69" s="115">
        <f>IF(OR(LEFT(D69,4)*1&lt;LEFT('General inputs'!$I$16,4)*1,LEFT(D69,4)*1&gt;LEFT('General inputs'!$I$16,4)+'General inputs'!$H$38-1),"",Q69/(1+'General inputs'!$H$34)^C69)</f>
        <v>12448370.318643659</v>
      </c>
      <c r="S69" s="93"/>
      <c r="T69" s="121">
        <f>'Reduction amount'!J42</f>
        <v>6735133.244397385</v>
      </c>
      <c r="U69" s="115">
        <f>IF(OR(LEFT(D69,4)*1&lt;LEFT('General inputs'!$I$16,4)*1,LEFT(D69,4)*1&gt;LEFT('General inputs'!$I$16,4)+'General inputs'!$H$38-1),"",T69/(1+'General inputs'!$H$34)^C69)</f>
        <v>5953098.043007087</v>
      </c>
      <c r="V69" s="95"/>
      <c r="W69" s="94"/>
    </row>
    <row r="70" spans="2:23" x14ac:dyDescent="0.25">
      <c r="B70" s="68"/>
      <c r="C70" s="113">
        <f>IF(D70='General inputs'!$I$16,0,IF(D70&lt;'General inputs'!$I$16,C71-1,C69+1))</f>
        <v>4</v>
      </c>
      <c r="D70" s="113" t="str">
        <f t="shared" si="1"/>
        <v>2026-27</v>
      </c>
      <c r="E70" s="115">
        <f>IF(LEFT(D70,4)*1&gt;LEFT('General inputs'!$I$16,4)+'General inputs'!$H$38-1,"",'ET inputs'!D43)</f>
        <v>16180.272150142468</v>
      </c>
      <c r="F70" s="115">
        <f>IF(LEFT(D70,4)*1&gt;LEFT('General inputs'!$I$16,4)+'General inputs'!$H$38-1,"",E70/(1+'General inputs'!$H$30)^C70)</f>
        <v>14375.962237152518</v>
      </c>
      <c r="G70" s="115">
        <f>IF(LEFT(D70,4)*1&gt;LEFT('General inputs'!$I$16,4)+'General inputs'!$H$38-1,"",E70/(1+'General inputs'!$H$32)^C70)</f>
        <v>13725.081951200298</v>
      </c>
      <c r="H70" s="115">
        <f>IF(LEFT(D70,4)*1&lt;LEFT('General inputs'!$I$16,4)*1,"",IF(LEFT(D70,4)*1&gt;LEFT('General inputs'!$I$16,4)+'General inputs'!$H$38-1,"",E70/(1+'General inputs'!$H$34)^C70))</f>
        <v>13725.081951200298</v>
      </c>
      <c r="I70" s="93"/>
      <c r="J70" s="153"/>
      <c r="K70" s="153"/>
      <c r="L70" s="115" t="str">
        <f>IF(LEFT(D70,4)*1&gt;LEFT('General inputs'!$I$18,4)*1,"",SUMIF('Post-1996 commissioned assets'!$F$22:$F$3002,$D70,'Post-1996 commissioned assets'!$P$22:$P$3002)*(1+$K$34)*(1+$K$35))</f>
        <v/>
      </c>
      <c r="M70" s="115" t="str">
        <f>IF(L70="","",L70/(1+'General inputs'!$H$32)^C70)</f>
        <v/>
      </c>
      <c r="N70" s="115">
        <f>IF(LEFT(D70,4)*1&lt;LEFT('General inputs'!$I$18,4)*1+1,"",SUMIF('Uncommissioned assets'!$F$22:$F$2036,$D70,'Uncommissioned assets'!$P$22:$P$2036))</f>
        <v>0</v>
      </c>
      <c r="O70" s="115">
        <f>IF(N70="","",N70/(1+'General inputs'!$H$32)^C70)</f>
        <v>0</v>
      </c>
      <c r="P70" s="93"/>
      <c r="Q70" s="121">
        <f>'Reduction amount'!P43</f>
        <v>18350173.272194706</v>
      </c>
      <c r="R70" s="115">
        <f>IF(OR(LEFT(D70,4)*1&lt;LEFT('General inputs'!$I$16,4)*1,LEFT(D70,4)*1&gt;LEFT('General inputs'!$I$16,4)+'General inputs'!$H$38-1),"",Q70/(1+'General inputs'!$H$34)^C70)</f>
        <v>15565722.853269812</v>
      </c>
      <c r="S70" s="93"/>
      <c r="T70" s="121">
        <f>'Reduction amount'!J43</f>
        <v>8900839.1967705935</v>
      </c>
      <c r="U70" s="115">
        <f>IF(OR(LEFT(D70,4)*1&lt;LEFT('General inputs'!$I$16,4)*1,LEFT(D70,4)*1&gt;LEFT('General inputs'!$I$16,4)+'General inputs'!$H$38-1),"",T70/(1+'General inputs'!$H$34)^C70)</f>
        <v>7550228.2209175685</v>
      </c>
      <c r="V70" s="95"/>
      <c r="W70" s="94"/>
    </row>
    <row r="71" spans="2:23" x14ac:dyDescent="0.25">
      <c r="B71" s="68"/>
      <c r="C71" s="113">
        <f>IF(D71='General inputs'!$I$16,0,IF(D71&lt;'General inputs'!$I$16,C72-1,C70+1))</f>
        <v>5</v>
      </c>
      <c r="D71" s="113" t="str">
        <f t="shared" si="1"/>
        <v>2027-28</v>
      </c>
      <c r="E71" s="115">
        <f>IF(LEFT(D71,4)*1&gt;LEFT('General inputs'!$I$16,4)+'General inputs'!$H$38-1,"",'ET inputs'!D44)</f>
        <v>14529.769484818755</v>
      </c>
      <c r="F71" s="115">
        <f>IF(LEFT(D71,4)*1&gt;LEFT('General inputs'!$I$16,4)+'General inputs'!$H$38-1,"",E71/(1+'General inputs'!$H$30)^C71)</f>
        <v>12533.506792681628</v>
      </c>
      <c r="G71" s="115">
        <f>IF(LEFT(D71,4)*1&gt;LEFT('General inputs'!$I$16,4)+'General inputs'!$H$38-1,"",E71/(1+'General inputs'!$H$32)^C71)</f>
        <v>11828.240040284072</v>
      </c>
      <c r="H71" s="115">
        <f>IF(LEFT(D71,4)*1&lt;LEFT('General inputs'!$I$16,4)*1,"",IF(LEFT(D71,4)*1&gt;LEFT('General inputs'!$I$16,4)+'General inputs'!$H$38-1,"",E71/(1+'General inputs'!$H$34)^C71))</f>
        <v>11828.240040284072</v>
      </c>
      <c r="I71" s="93"/>
      <c r="J71" s="153"/>
      <c r="K71" s="153"/>
      <c r="L71" s="115" t="str">
        <f>IF(LEFT(D71,4)*1&gt;LEFT('General inputs'!$I$18,4)*1,"",SUMIF('Post-1996 commissioned assets'!$F$22:$F$3002,$D71,'Post-1996 commissioned assets'!$P$22:$P$3002)*(1+$K$34)*(1+$K$35))</f>
        <v/>
      </c>
      <c r="M71" s="115" t="str">
        <f>IF(L71="","",L71/(1+'General inputs'!$H$32)^C71)</f>
        <v/>
      </c>
      <c r="N71" s="115">
        <f>IF(LEFT(D71,4)*1&lt;LEFT('General inputs'!$I$18,4)*1+1,"",SUMIF('Uncommissioned assets'!$F$22:$F$2036,$D71,'Uncommissioned assets'!$P$22:$P$2036))</f>
        <v>0</v>
      </c>
      <c r="O71" s="115">
        <f>IF(N71="","",N71/(1+'General inputs'!$H$32)^C71)</f>
        <v>0</v>
      </c>
      <c r="P71" s="93"/>
      <c r="Q71" s="121">
        <f>'Reduction amount'!P44</f>
        <v>22161971.06265096</v>
      </c>
      <c r="R71" s="115">
        <f>IF(OR(LEFT(D71,4)*1&lt;LEFT('General inputs'!$I$16,4)*1,LEFT(D71,4)*1&gt;LEFT('General inputs'!$I$16,4)+'General inputs'!$H$38-1),"",Q71/(1+'General inputs'!$H$34)^C71)</f>
        <v>18041381.438897271</v>
      </c>
      <c r="S71" s="93"/>
      <c r="T71" s="121">
        <f>'Reduction amount'!J44</f>
        <v>10814656.438218029</v>
      </c>
      <c r="U71" s="115">
        <f>IF(OR(LEFT(D71,4)*1&lt;LEFT('General inputs'!$I$16,4)*1,LEFT(D71,4)*1&gt;LEFT('General inputs'!$I$16,4)+'General inputs'!$H$38-1),"",T71/(1+'General inputs'!$H$34)^C71)</f>
        <v>8803880.367001025</v>
      </c>
      <c r="V71" s="95"/>
      <c r="W71" s="94"/>
    </row>
    <row r="72" spans="2:23" x14ac:dyDescent="0.25">
      <c r="B72" s="68"/>
      <c r="C72" s="113">
        <f>IF(D72='General inputs'!$I$16,0,IF(D72&lt;'General inputs'!$I$16,C73-1,C71+1))</f>
        <v>6</v>
      </c>
      <c r="D72" s="113" t="str">
        <f t="shared" si="1"/>
        <v>2028-29</v>
      </c>
      <c r="E72" s="115">
        <f>IF(LEFT(D72,4)*1&gt;LEFT('General inputs'!$I$16,4)+'General inputs'!$H$38-1,"",'ET inputs'!D45)</f>
        <v>13043.139905396942</v>
      </c>
      <c r="F72" s="115">
        <f>IF(LEFT(D72,4)*1&gt;LEFT('General inputs'!$I$16,4)+'General inputs'!$H$38-1,"",E72/(1+'General inputs'!$H$30)^C72)</f>
        <v>10923.424328492269</v>
      </c>
      <c r="G72" s="115">
        <f>IF(LEFT(D72,4)*1&gt;LEFT('General inputs'!$I$16,4)+'General inputs'!$H$38-1,"",E72/(1+'General inputs'!$H$32)^C72)</f>
        <v>10190.03882991138</v>
      </c>
      <c r="H72" s="115">
        <f>IF(LEFT(D72,4)*1&lt;LEFT('General inputs'!$I$16,4)*1,"",IF(LEFT(D72,4)*1&gt;LEFT('General inputs'!$I$16,4)+'General inputs'!$H$38-1,"",E72/(1+'General inputs'!$H$34)^C72))</f>
        <v>10190.03882991138</v>
      </c>
      <c r="I72" s="93"/>
      <c r="J72" s="153"/>
      <c r="K72" s="153"/>
      <c r="L72" s="115" t="str">
        <f>IF(LEFT(D72,4)*1&gt;LEFT('General inputs'!$I$18,4)*1,"",SUMIF('Post-1996 commissioned assets'!$F$22:$F$3002,$D72,'Post-1996 commissioned assets'!$P$22:$P$3002)*(1+$K$34)*(1+$K$35))</f>
        <v/>
      </c>
      <c r="M72" s="115" t="str">
        <f>IF(L72="","",L72/(1+'General inputs'!$H$32)^C72)</f>
        <v/>
      </c>
      <c r="N72" s="115">
        <f>IF(LEFT(D72,4)*1&lt;LEFT('General inputs'!$I$18,4)*1+1,"",SUMIF('Uncommissioned assets'!$F$22:$F$2036,$D72,'Uncommissioned assets'!$P$22:$P$2036))</f>
        <v>0</v>
      </c>
      <c r="O72" s="115">
        <f>IF(N72="","",N72/(1+'General inputs'!$H$32)^C72)</f>
        <v>0</v>
      </c>
      <c r="P72" s="93"/>
      <c r="Q72" s="121">
        <f>'Reduction amount'!P45</f>
        <v>25539464.501086023</v>
      </c>
      <c r="R72" s="115">
        <f>IF(OR(LEFT(D72,4)*1&lt;LEFT('General inputs'!$I$16,4)*1,LEFT(D72,4)*1&gt;LEFT('General inputs'!$I$16,4)+'General inputs'!$H$38-1),"",Q72/(1+'General inputs'!$H$34)^C72)</f>
        <v>19952874.602957018</v>
      </c>
      <c r="S72" s="93"/>
      <c r="T72" s="121">
        <f>'Reduction amount'!J45</f>
        <v>12420370.736524031</v>
      </c>
      <c r="U72" s="115">
        <f>IF(OR(LEFT(D72,4)*1&lt;LEFT('General inputs'!$I$16,4)*1,LEFT(D72,4)*1&gt;LEFT('General inputs'!$I$16,4)+'General inputs'!$H$38-1),"",T72/(1+'General inputs'!$H$34)^C72)</f>
        <v>9703496.3210588321</v>
      </c>
      <c r="V72" s="95"/>
      <c r="W72" s="94"/>
    </row>
    <row r="73" spans="2:23" x14ac:dyDescent="0.25">
      <c r="B73" s="68"/>
      <c r="C73" s="113">
        <f>IF(D73='General inputs'!$I$16,0,IF(D73&lt;'General inputs'!$I$16,C74-1,C72+1))</f>
        <v>7</v>
      </c>
      <c r="D73" s="113" t="str">
        <f t="shared" si="1"/>
        <v>2029-30</v>
      </c>
      <c r="E73" s="115">
        <f>IF(LEFT(D73,4)*1&gt;LEFT('General inputs'!$I$16,4)+'General inputs'!$H$38-1,"",'ET inputs'!D46)</f>
        <v>12291.145436169354</v>
      </c>
      <c r="F73" s="115">
        <f>IF(LEFT(D73,4)*1&gt;LEFT('General inputs'!$I$16,4)+'General inputs'!$H$38-1,"",E73/(1+'General inputs'!$H$30)^C73)</f>
        <v>9993.8260188359054</v>
      </c>
      <c r="G73" s="115">
        <f>IF(LEFT(D73,4)*1&gt;LEFT('General inputs'!$I$16,4)+'General inputs'!$H$38-1,"",E73/(1+'General inputs'!$H$32)^C73)</f>
        <v>9215.4877210177601</v>
      </c>
      <c r="H73" s="115">
        <f>IF(LEFT(D73,4)*1&lt;LEFT('General inputs'!$I$16,4)*1,"",IF(LEFT(D73,4)*1&gt;LEFT('General inputs'!$I$16,4)+'General inputs'!$H$38-1,"",E73/(1+'General inputs'!$H$34)^C73))</f>
        <v>9215.4877210177601</v>
      </c>
      <c r="I73" s="93"/>
      <c r="J73" s="153"/>
      <c r="K73" s="153"/>
      <c r="L73" s="115" t="str">
        <f>IF(LEFT(D73,4)*1&gt;LEFT('General inputs'!$I$18,4)*1,"",SUMIF('Post-1996 commissioned assets'!$F$22:$F$3002,$D73,'Post-1996 commissioned assets'!$P$22:$P$3002)*(1+$K$34)*(1+$K$35))</f>
        <v/>
      </c>
      <c r="M73" s="115" t="str">
        <f>IF(L73="","",L73/(1+'General inputs'!$H$32)^C73)</f>
        <v/>
      </c>
      <c r="N73" s="115">
        <f>IF(LEFT(D73,4)*1&lt;LEFT('General inputs'!$I$18,4)*1+1,"",SUMIF('Uncommissioned assets'!$F$22:$F$2036,$D73,'Uncommissioned assets'!$P$22:$P$2036))</f>
        <v>0</v>
      </c>
      <c r="O73" s="115">
        <f>IF(N73="","",N73/(1+'General inputs'!$H$32)^C73)</f>
        <v>0</v>
      </c>
      <c r="P73" s="93"/>
      <c r="Q73" s="121">
        <f>'Reduction amount'!P46</f>
        <v>28704988.930385962</v>
      </c>
      <c r="R73" s="115">
        <f>IF(OR(LEFT(D73,4)*1&lt;LEFT('General inputs'!$I$16,4)*1,LEFT(D73,4)*1&gt;LEFT('General inputs'!$I$16,4)+'General inputs'!$H$38-1),"",Q73/(1+'General inputs'!$H$34)^C73)</f>
        <v>21522035.874824524</v>
      </c>
      <c r="S73" s="93"/>
      <c r="T73" s="121">
        <f>'Reduction amount'!J46</f>
        <v>13944566.157129183</v>
      </c>
      <c r="U73" s="115">
        <f>IF(OR(LEFT(D73,4)*1&lt;LEFT('General inputs'!$I$16,4)*1,LEFT(D73,4)*1&gt;LEFT('General inputs'!$I$16,4)+'General inputs'!$H$38-1),"",T73/(1+'General inputs'!$H$34)^C73)</f>
        <v>10455167.003214132</v>
      </c>
      <c r="V73" s="95"/>
      <c r="W73" s="94"/>
    </row>
    <row r="74" spans="2:23" x14ac:dyDescent="0.25">
      <c r="B74" s="68"/>
      <c r="C74" s="113">
        <f>IF(D74='General inputs'!$I$16,0,IF(D74&lt;'General inputs'!$I$16,C75-1,C73+1))</f>
        <v>8</v>
      </c>
      <c r="D74" s="113" t="str">
        <f t="shared" si="1"/>
        <v>2030-31</v>
      </c>
      <c r="E74" s="115">
        <f>IF(LEFT(D74,4)*1&gt;LEFT('General inputs'!$I$16,4)+'General inputs'!$H$38-1,"",'ET inputs'!D47)</f>
        <v>11496.861429177561</v>
      </c>
      <c r="F74" s="115">
        <f>IF(LEFT(D74,4)*1&gt;LEFT('General inputs'!$I$16,4)+'General inputs'!$H$38-1,"",E74/(1+'General inputs'!$H$30)^C74)</f>
        <v>9075.7285778204805</v>
      </c>
      <c r="G74" s="115">
        <f>IF(LEFT(D74,4)*1&gt;LEFT('General inputs'!$I$16,4)+'General inputs'!$H$38-1,"",E74/(1+'General inputs'!$H$32)^C74)</f>
        <v>8272.5146543744522</v>
      </c>
      <c r="H74" s="115">
        <f>IF(LEFT(D74,4)*1&lt;LEFT('General inputs'!$I$16,4)*1,"",IF(LEFT(D74,4)*1&gt;LEFT('General inputs'!$I$16,4)+'General inputs'!$H$38-1,"",E74/(1+'General inputs'!$H$34)^C74))</f>
        <v>8272.5146543744522</v>
      </c>
      <c r="I74" s="93"/>
      <c r="J74" s="153"/>
      <c r="K74" s="153"/>
      <c r="L74" s="115" t="str">
        <f>IF(LEFT(D74,4)*1&gt;LEFT('General inputs'!$I$18,4)*1,"",SUMIF('Post-1996 commissioned assets'!$F$22:$F$3002,$D74,'Post-1996 commissioned assets'!$P$22:$P$3002)*(1+$K$34)*(1+$K$35))</f>
        <v/>
      </c>
      <c r="M74" s="115" t="str">
        <f>IF(L74="","",L74/(1+'General inputs'!$H$32)^C74)</f>
        <v/>
      </c>
      <c r="N74" s="115">
        <f>IF(LEFT(D74,4)*1&lt;LEFT('General inputs'!$I$18,4)*1+1,"",SUMIF('Uncommissioned assets'!$F$22:$F$2036,$D74,'Uncommissioned assets'!$P$22:$P$2036))</f>
        <v>0</v>
      </c>
      <c r="O74" s="115">
        <f>IF(N74="","",N74/(1+'General inputs'!$H$32)^C74)</f>
        <v>0</v>
      </c>
      <c r="P74" s="93"/>
      <c r="Q74" s="121">
        <f>'Reduction amount'!P47</f>
        <v>31689569.712125041</v>
      </c>
      <c r="R74" s="115">
        <f>IF(OR(LEFT(D74,4)*1&lt;LEFT('General inputs'!$I$16,4)*1,LEFT(D74,4)*1&gt;LEFT('General inputs'!$I$16,4)+'General inputs'!$H$38-1),"",Q74/(1+'General inputs'!$H$34)^C74)</f>
        <v>22802086.591133986</v>
      </c>
      <c r="S74" s="93"/>
      <c r="T74" s="121">
        <f>'Reduction amount'!J47</f>
        <v>15373923.209462695</v>
      </c>
      <c r="U74" s="115">
        <f>IF(OR(LEFT(D74,4)*1&lt;LEFT('General inputs'!$I$16,4)*1,LEFT(D74,4)*1&gt;LEFT('General inputs'!$I$16,4)+'General inputs'!$H$38-1),"",T74/(1+'General inputs'!$H$34)^C74)</f>
        <v>11062236.926918032</v>
      </c>
      <c r="V74" s="95"/>
      <c r="W74" s="94"/>
    </row>
    <row r="75" spans="2:23" x14ac:dyDescent="0.25">
      <c r="B75" s="68"/>
      <c r="C75" s="113">
        <f>IF(D75='General inputs'!$I$16,0,IF(D75&lt;'General inputs'!$I$16,C76-1,C74+1))</f>
        <v>9</v>
      </c>
      <c r="D75" s="113" t="str">
        <f t="shared" si="1"/>
        <v>2031-32</v>
      </c>
      <c r="E75" s="115">
        <f>IF(LEFT(D75,4)*1&gt;LEFT('General inputs'!$I$16,4)+'General inputs'!$H$38-1,"",'ET inputs'!D48)</f>
        <v>11678.363567399465</v>
      </c>
      <c r="F75" s="115">
        <f>IF(LEFT(D75,4)*1&gt;LEFT('General inputs'!$I$16,4)+'General inputs'!$H$38-1,"",E75/(1+'General inputs'!$H$30)^C75)</f>
        <v>8950.4932444471597</v>
      </c>
      <c r="G75" s="115">
        <f>IF(LEFT(D75,4)*1&gt;LEFT('General inputs'!$I$16,4)+'General inputs'!$H$38-1,"",E75/(1+'General inputs'!$H$32)^C75)</f>
        <v>8064.4085385873705</v>
      </c>
      <c r="H75" s="115">
        <f>IF(LEFT(D75,4)*1&lt;LEFT('General inputs'!$I$16,4)*1,"",IF(LEFT(D75,4)*1&gt;LEFT('General inputs'!$I$16,4)+'General inputs'!$H$38-1,"",E75/(1+'General inputs'!$H$34)^C75))</f>
        <v>8064.4085385873705</v>
      </c>
      <c r="I75" s="93"/>
      <c r="J75" s="153"/>
      <c r="K75" s="153"/>
      <c r="L75" s="115" t="str">
        <f>IF(LEFT(D75,4)*1&gt;LEFT('General inputs'!$I$18,4)*1,"",SUMIF('Post-1996 commissioned assets'!$F$22:$F$3002,$D75,'Post-1996 commissioned assets'!$P$22:$P$3002)*(1+$K$34)*(1+$K$35))</f>
        <v/>
      </c>
      <c r="M75" s="115" t="str">
        <f>IF(L75="","",L75/(1+'General inputs'!$H$32)^C75)</f>
        <v/>
      </c>
      <c r="N75" s="115">
        <f>IF(LEFT(D75,4)*1&lt;LEFT('General inputs'!$I$18,4)*1+1,"",SUMIF('Uncommissioned assets'!$F$22:$F$2036,$D75,'Uncommissioned assets'!$P$22:$P$2036))</f>
        <v>0</v>
      </c>
      <c r="O75" s="115">
        <f>IF(N75="","",N75/(1+'General inputs'!$H$32)^C75)</f>
        <v>0</v>
      </c>
      <c r="P75" s="93"/>
      <c r="Q75" s="121">
        <f>'Reduction amount'!P48</f>
        <v>34706559.267376333</v>
      </c>
      <c r="R75" s="115">
        <f>IF(OR(LEFT(D75,4)*1&lt;LEFT('General inputs'!$I$16,4)*1,LEFT(D75,4)*1&gt;LEFT('General inputs'!$I$16,4)+'General inputs'!$H$38-1),"",Q75/(1+'General inputs'!$H$34)^C75)</f>
        <v>23966360.636530835</v>
      </c>
      <c r="S75" s="93"/>
      <c r="T75" s="121">
        <f>'Reduction amount'!J48</f>
        <v>16735880.574558988</v>
      </c>
      <c r="U75" s="115">
        <f>IF(OR(LEFT(D75,4)*1&lt;LEFT('General inputs'!$I$16,4)*1,LEFT(D75,4)*1&gt;LEFT('General inputs'!$I$16,4)+'General inputs'!$H$38-1),"",T75/(1+'General inputs'!$H$34)^C75)</f>
        <v>11556839.914027954</v>
      </c>
      <c r="V75" s="95"/>
      <c r="W75" s="94"/>
    </row>
    <row r="76" spans="2:23" x14ac:dyDescent="0.25">
      <c r="B76" s="68"/>
      <c r="C76" s="113">
        <f>IF(D76='General inputs'!$I$16,0,IF(D76&lt;'General inputs'!$I$16,C77-1,C75+1))</f>
        <v>10</v>
      </c>
      <c r="D76" s="113" t="str">
        <f t="shared" si="1"/>
        <v>2032-33</v>
      </c>
      <c r="E76" s="115">
        <f>IF(LEFT(D76,4)*1&gt;LEFT('General inputs'!$I$16,4)+'General inputs'!$H$38-1,"",'ET inputs'!D49)</f>
        <v>11623.545152343604</v>
      </c>
      <c r="F76" s="115">
        <f>IF(LEFT(D76,4)*1&gt;LEFT('General inputs'!$I$16,4)+'General inputs'!$H$38-1,"",E76/(1+'General inputs'!$H$30)^C76)</f>
        <v>8649.0092173862049</v>
      </c>
      <c r="G76" s="115">
        <f>IF(LEFT(D76,4)*1&gt;LEFT('General inputs'!$I$16,4)+'General inputs'!$H$38-1,"",E76/(1+'General inputs'!$H$32)^C76)</f>
        <v>7703.0269511006109</v>
      </c>
      <c r="H76" s="115">
        <f>IF(LEFT(D76,4)*1&lt;LEFT('General inputs'!$I$16,4)*1,"",IF(LEFT(D76,4)*1&gt;LEFT('General inputs'!$I$16,4)+'General inputs'!$H$38-1,"",E76/(1+'General inputs'!$H$34)^C76))</f>
        <v>7703.0269511006109</v>
      </c>
      <c r="I76" s="93"/>
      <c r="J76" s="153"/>
      <c r="K76" s="153"/>
      <c r="L76" s="115" t="str">
        <f>IF(LEFT(D76,4)*1&gt;LEFT('General inputs'!$I$18,4)*1,"",SUMIF('Post-1996 commissioned assets'!$F$22:$F$3002,$D76,'Post-1996 commissioned assets'!$P$22:$P$3002)*(1+$K$34)*(1+$K$35))</f>
        <v/>
      </c>
      <c r="M76" s="115" t="str">
        <f>IF(L76="","",L76/(1+'General inputs'!$H$32)^C76)</f>
        <v/>
      </c>
      <c r="N76" s="115">
        <f>IF(LEFT(D76,4)*1&lt;LEFT('General inputs'!$I$18,4)*1+1,"",SUMIF('Uncommissioned assets'!$F$22:$F$2036,$D76,'Uncommissioned assets'!$P$22:$P$2036))</f>
        <v>0</v>
      </c>
      <c r="O76" s="115">
        <f>IF(N76="","",N76/(1+'General inputs'!$H$32)^C76)</f>
        <v>0</v>
      </c>
      <c r="P76" s="93"/>
      <c r="Q76" s="121">
        <f>'Reduction amount'!P49</f>
        <v>37777839.959708333</v>
      </c>
      <c r="R76" s="115">
        <f>IF(OR(LEFT(D76,4)*1&lt;LEFT('General inputs'!$I$16,4)*1,LEFT(D76,4)*1&gt;LEFT('General inputs'!$I$16,4)+'General inputs'!$H$38-1),"",Q76/(1+'General inputs'!$H$34)^C76)</f>
        <v>25035711.183633599</v>
      </c>
      <c r="S76" s="93"/>
      <c r="T76" s="121">
        <f>'Reduction amount'!J49</f>
        <v>18198139.884161711</v>
      </c>
      <c r="U76" s="115">
        <f>IF(OR(LEFT(D76,4)*1&lt;LEFT('General inputs'!$I$16,4)*1,LEFT(D76,4)*1&gt;LEFT('General inputs'!$I$16,4)+'General inputs'!$H$38-1),"",T76/(1+'General inputs'!$H$34)^C76)</f>
        <v>12060069.466786781</v>
      </c>
      <c r="V76" s="95"/>
      <c r="W76" s="94"/>
    </row>
    <row r="77" spans="2:23" x14ac:dyDescent="0.25">
      <c r="B77" s="68"/>
      <c r="C77" s="113">
        <f>IF(D77='General inputs'!$I$16,0,IF(D77&lt;'General inputs'!$I$16,C78-1,C76+1))</f>
        <v>11</v>
      </c>
      <c r="D77" s="113" t="str">
        <f t="shared" si="1"/>
        <v>2033-34</v>
      </c>
      <c r="E77" s="115">
        <f>IF(LEFT(D77,4)*1&gt;LEFT('General inputs'!$I$16,4)+'General inputs'!$H$38-1,"",'ET inputs'!D50)</f>
        <v>11285.629198095952</v>
      </c>
      <c r="F77" s="115">
        <f>IF(LEFT(D77,4)*1&gt;LEFT('General inputs'!$I$16,4)+'General inputs'!$H$38-1,"",E77/(1+'General inputs'!$H$30)^C77)</f>
        <v>8152.9786525087438</v>
      </c>
      <c r="G77" s="115">
        <f>IF(LEFT(D77,4)*1&gt;LEFT('General inputs'!$I$16,4)+'General inputs'!$H$38-1,"",E77/(1+'General inputs'!$H$32)^C77)</f>
        <v>7177.6267149863879</v>
      </c>
      <c r="H77" s="115">
        <f>IF(LEFT(D77,4)*1&lt;LEFT('General inputs'!$I$16,4)*1,"",IF(LEFT(D77,4)*1&gt;LEFT('General inputs'!$I$16,4)+'General inputs'!$H$38-1,"",E77/(1+'General inputs'!$H$34)^C77))</f>
        <v>7177.6267149863879</v>
      </c>
      <c r="I77" s="93"/>
      <c r="J77" s="153"/>
      <c r="K77" s="153"/>
      <c r="L77" s="115" t="str">
        <f>IF(LEFT(D77,4)*1&gt;LEFT('General inputs'!$I$18,4)*1,"",SUMIF('Post-1996 commissioned assets'!$F$22:$F$3002,$D77,'Post-1996 commissioned assets'!$P$22:$P$3002)*(1+$K$34)*(1+$K$35))</f>
        <v/>
      </c>
      <c r="M77" s="115" t="str">
        <f>IF(L77="","",L77/(1+'General inputs'!$H$32)^C77)</f>
        <v/>
      </c>
      <c r="N77" s="115">
        <f>IF(LEFT(D77,4)*1&lt;LEFT('General inputs'!$I$18,4)*1+1,"",SUMIF('Uncommissioned assets'!$F$22:$F$2036,$D77,'Uncommissioned assets'!$P$22:$P$2036))</f>
        <v>0</v>
      </c>
      <c r="O77" s="115">
        <f>IF(N77="","",N77/(1+'General inputs'!$H$32)^C77)</f>
        <v>0</v>
      </c>
      <c r="P77" s="93"/>
      <c r="Q77" s="121">
        <f>'Reduction amount'!P50</f>
        <v>40743913.014598772</v>
      </c>
      <c r="R77" s="115">
        <f>IF(OR(LEFT(D77,4)*1&lt;LEFT('General inputs'!$I$16,4)*1,LEFT(D77,4)*1&gt;LEFT('General inputs'!$I$16,4)+'General inputs'!$H$38-1),"",Q77/(1+'General inputs'!$H$34)^C77)</f>
        <v>25913007.896449879</v>
      </c>
      <c r="S77" s="93"/>
      <c r="T77" s="121">
        <f>'Reduction amount'!J50</f>
        <v>19600766.06381676</v>
      </c>
      <c r="U77" s="115">
        <f>IF(OR(LEFT(D77,4)*1&lt;LEFT('General inputs'!$I$16,4)*1,LEFT(D77,4)*1&gt;LEFT('General inputs'!$I$16,4)+'General inputs'!$H$38-1),"",T77/(1+'General inputs'!$H$34)^C77)</f>
        <v>12466029.112278976</v>
      </c>
      <c r="V77" s="95"/>
      <c r="W77" s="94"/>
    </row>
    <row r="78" spans="2:23" x14ac:dyDescent="0.25">
      <c r="B78" s="68"/>
      <c r="C78" s="113">
        <f>IF(D78='General inputs'!$I$16,0,IF(D78&lt;'General inputs'!$I$16,C79-1,C77+1))</f>
        <v>12</v>
      </c>
      <c r="D78" s="113" t="str">
        <f t="shared" si="1"/>
        <v>2034-35</v>
      </c>
      <c r="E78" s="115">
        <f>IF(LEFT(D78,4)*1&gt;LEFT('General inputs'!$I$16,4)+'General inputs'!$H$38-1,"",'ET inputs'!D51)</f>
        <v>11378.046450106383</v>
      </c>
      <c r="F78" s="115">
        <f>IF(LEFT(D78,4)*1&gt;LEFT('General inputs'!$I$16,4)+'General inputs'!$H$38-1,"",E78/(1+'General inputs'!$H$30)^C78)</f>
        <v>7980.3328560056989</v>
      </c>
      <c r="G78" s="115">
        <f>IF(LEFT(D78,4)*1&gt;LEFT('General inputs'!$I$16,4)+'General inputs'!$H$38-1,"",E78/(1+'General inputs'!$H$32)^C78)</f>
        <v>6944.7253486605323</v>
      </c>
      <c r="H78" s="115">
        <f>IF(LEFT(D78,4)*1&lt;LEFT('General inputs'!$I$16,4)*1,"",IF(LEFT(D78,4)*1&gt;LEFT('General inputs'!$I$16,4)+'General inputs'!$H$38-1,"",E78/(1+'General inputs'!$H$34)^C78))</f>
        <v>6944.7253486605323</v>
      </c>
      <c r="I78" s="93"/>
      <c r="J78" s="153"/>
      <c r="K78" s="153"/>
      <c r="L78" s="115" t="str">
        <f>IF(LEFT(D78,4)*1&gt;LEFT('General inputs'!$I$18,4)*1,"",SUMIF('Post-1996 commissioned assets'!$F$22:$F$3002,$D78,'Post-1996 commissioned assets'!$P$22:$P$3002)*(1+$K$34)*(1+$K$35))</f>
        <v/>
      </c>
      <c r="M78" s="115" t="str">
        <f>IF(L78="","",L78/(1+'General inputs'!$H$32)^C78)</f>
        <v/>
      </c>
      <c r="N78" s="115">
        <f>IF(LEFT(D78,4)*1&lt;LEFT('General inputs'!$I$18,4)*1+1,"",SUMIF('Uncommissioned assets'!$F$22:$F$2036,$D78,'Uncommissioned assets'!$P$22:$P$2036))</f>
        <v>0</v>
      </c>
      <c r="O78" s="115">
        <f>IF(N78="","",N78/(1+'General inputs'!$H$32)^C78)</f>
        <v>0</v>
      </c>
      <c r="P78" s="93"/>
      <c r="Q78" s="121">
        <f>'Reduction amount'!P51</f>
        <v>43726557.520391427</v>
      </c>
      <c r="R78" s="115">
        <f>IF(OR(LEFT(D78,4)*1&lt;LEFT('General inputs'!$I$16,4)*1,LEFT(D78,4)*1&gt;LEFT('General inputs'!$I$16,4)+'General inputs'!$H$38-1),"",Q78/(1+'General inputs'!$H$34)^C78)</f>
        <v>26689022.034945719</v>
      </c>
      <c r="S78" s="93"/>
      <c r="T78" s="121">
        <f>'Reduction amount'!J51</f>
        <v>20923442.796041362</v>
      </c>
      <c r="U78" s="115">
        <f>IF(OR(LEFT(D78,4)*1&lt;LEFT('General inputs'!$I$16,4)*1,LEFT(D78,4)*1&gt;LEFT('General inputs'!$I$16,4)+'General inputs'!$H$38-1),"",T78/(1+'General inputs'!$H$34)^C78)</f>
        <v>12770871.010599403</v>
      </c>
      <c r="V78" s="95"/>
      <c r="W78" s="94"/>
    </row>
    <row r="79" spans="2:23" x14ac:dyDescent="0.25">
      <c r="B79" s="68"/>
      <c r="C79" s="113">
        <f>IF(D79='General inputs'!$I$16,0,IF(D79&lt;'General inputs'!$I$16,C80-1,C78+1))</f>
        <v>13</v>
      </c>
      <c r="D79" s="113" t="str">
        <f t="shared" si="1"/>
        <v>2035-36</v>
      </c>
      <c r="E79" s="115">
        <f>IF(LEFT(D79,4)*1&gt;LEFT('General inputs'!$I$16,4)+'General inputs'!$H$38-1,"",'ET inputs'!D52)</f>
        <v>11364.030919726782</v>
      </c>
      <c r="F79" s="115">
        <f>IF(LEFT(D79,4)*1&gt;LEFT('General inputs'!$I$16,4)+'General inputs'!$H$38-1,"",E79/(1+'General inputs'!$H$30)^C79)</f>
        <v>7738.3520825118576</v>
      </c>
      <c r="G79" s="115">
        <f>IF(LEFT(D79,4)*1&gt;LEFT('General inputs'!$I$16,4)+'General inputs'!$H$38-1,"",E79/(1+'General inputs'!$H$32)^C79)</f>
        <v>6656.5938615853356</v>
      </c>
      <c r="H79" s="115">
        <f>IF(LEFT(D79,4)*1&lt;LEFT('General inputs'!$I$16,4)*1,"",IF(LEFT(D79,4)*1&gt;LEFT('General inputs'!$I$16,4)+'General inputs'!$H$38-1,"",E79/(1+'General inputs'!$H$34)^C79))</f>
        <v>6656.5938615853356</v>
      </c>
      <c r="I79" s="93"/>
      <c r="J79" s="153"/>
      <c r="K79" s="153"/>
      <c r="L79" s="115" t="str">
        <f>IF(LEFT(D79,4)*1&gt;LEFT('General inputs'!$I$18,4)*1,"",SUMIF('Post-1996 commissioned assets'!$F$22:$F$3002,$D79,'Post-1996 commissioned assets'!$P$22:$P$3002)*(1+$K$34)*(1+$K$35))</f>
        <v/>
      </c>
      <c r="M79" s="115" t="str">
        <f>IF(L79="","",L79/(1+'General inputs'!$H$32)^C79)</f>
        <v/>
      </c>
      <c r="N79" s="115">
        <f>IF(LEFT(D79,4)*1&lt;LEFT('General inputs'!$I$18,4)*1+1,"",SUMIF('Uncommissioned assets'!$F$22:$F$2036,$D79,'Uncommissioned assets'!$P$22:$P$2036))</f>
        <v>0</v>
      </c>
      <c r="O79" s="115">
        <f>IF(N79="","",N79/(1+'General inputs'!$H$32)^C79)</f>
        <v>0</v>
      </c>
      <c r="P79" s="93"/>
      <c r="Q79" s="121">
        <f>'Reduction amount'!P52</f>
        <v>46679440.3900254</v>
      </c>
      <c r="R79" s="115">
        <f>IF(OR(LEFT(D79,4)*1&lt;LEFT('General inputs'!$I$16,4)*1,LEFT(D79,4)*1&gt;LEFT('General inputs'!$I$16,4)+'General inputs'!$H$38-1),"",Q79/(1+'General inputs'!$H$34)^C79)</f>
        <v>27342945.347244117</v>
      </c>
      <c r="S79" s="93"/>
      <c r="T79" s="121">
        <f>'Reduction amount'!J52</f>
        <v>22216649.384937637</v>
      </c>
      <c r="U79" s="115">
        <f>IF(OR(LEFT(D79,4)*1&lt;LEFT('General inputs'!$I$16,4)*1,LEFT(D79,4)*1&gt;LEFT('General inputs'!$I$16,4)+'General inputs'!$H$38-1),"",T79/(1+'General inputs'!$H$34)^C79)</f>
        <v>13013622.803863777</v>
      </c>
      <c r="V79" s="95"/>
      <c r="W79" s="94"/>
    </row>
    <row r="80" spans="2:23" x14ac:dyDescent="0.25">
      <c r="B80" s="68"/>
      <c r="C80" s="113">
        <f>IF(D80='General inputs'!$I$16,0,IF(D80&lt;'General inputs'!$I$16,C81-1,C79+1))</f>
        <v>14</v>
      </c>
      <c r="D80" s="113" t="str">
        <f t="shared" si="1"/>
        <v>2036-37</v>
      </c>
      <c r="E80" s="115">
        <f>IF(LEFT(D80,4)*1&gt;LEFT('General inputs'!$I$16,4)+'General inputs'!$H$38-1,"",'ET inputs'!D53)</f>
        <v>11053.153650529175</v>
      </c>
      <c r="F80" s="115">
        <f>IF(LEFT(D80,4)*1&gt;LEFT('General inputs'!$I$16,4)+'General inputs'!$H$38-1,"",E80/(1+'General inputs'!$H$30)^C80)</f>
        <v>7307.4366888139093</v>
      </c>
      <c r="G80" s="115">
        <f>IF(LEFT(D80,4)*1&gt;LEFT('General inputs'!$I$16,4)+'General inputs'!$H$38-1,"",E80/(1+'General inputs'!$H$32)^C80)</f>
        <v>6213.5263116371825</v>
      </c>
      <c r="H80" s="115">
        <f>IF(LEFT(D80,4)*1&lt;LEFT('General inputs'!$I$16,4)*1,"",IF(LEFT(D80,4)*1&gt;LEFT('General inputs'!$I$16,4)+'General inputs'!$H$38-1,"",E80/(1+'General inputs'!$H$34)^C80))</f>
        <v>6213.5263116371825</v>
      </c>
      <c r="I80" s="93"/>
      <c r="J80" s="153"/>
      <c r="K80" s="153"/>
      <c r="L80" s="115" t="str">
        <f>IF(LEFT(D80,4)*1&gt;LEFT('General inputs'!$I$18,4)*1,"",SUMIF('Post-1996 commissioned assets'!$F$22:$F$3002,$D80,'Post-1996 commissioned assets'!$P$22:$P$3002)*(1+$K$34)*(1+$K$35))</f>
        <v/>
      </c>
      <c r="M80" s="115" t="str">
        <f>IF(L80="","",L80/(1+'General inputs'!$H$32)^C80)</f>
        <v/>
      </c>
      <c r="N80" s="115">
        <f>IF(LEFT(D80,4)*1&lt;LEFT('General inputs'!$I$18,4)*1+1,"",SUMIF('Uncommissioned assets'!$F$22:$F$2036,$D80,'Uncommissioned assets'!$P$22:$P$2036))</f>
        <v>0</v>
      </c>
      <c r="O80" s="115">
        <f>IF(N80="","",N80/(1+'General inputs'!$H$32)^C80)</f>
        <v>0</v>
      </c>
      <c r="P80" s="93"/>
      <c r="Q80" s="121">
        <f>'Reduction amount'!P53</f>
        <v>49566209.379409306</v>
      </c>
      <c r="R80" s="115">
        <f>IF(OR(LEFT(D80,4)*1&lt;LEFT('General inputs'!$I$16,4)*1,LEFT(D80,4)*1&gt;LEFT('General inputs'!$I$16,4)+'General inputs'!$H$38-1),"",Q80/(1+'General inputs'!$H$34)^C80)</f>
        <v>27863626.606903516</v>
      </c>
      <c r="S80" s="93"/>
      <c r="T80" s="121">
        <f>'Reduction amount'!J53</f>
        <v>23477071.753842153</v>
      </c>
      <c r="U80" s="115">
        <f>IF(OR(LEFT(D80,4)*1&lt;LEFT('General inputs'!$I$16,4)*1,LEFT(D80,4)*1&gt;LEFT('General inputs'!$I$16,4)+'General inputs'!$H$38-1),"",T80/(1+'General inputs'!$H$34)^C80)</f>
        <v>13197627.362730859</v>
      </c>
      <c r="V80" s="95"/>
      <c r="W80" s="94"/>
    </row>
    <row r="81" spans="2:23" x14ac:dyDescent="0.25">
      <c r="B81" s="68"/>
      <c r="C81" s="113">
        <f>IF(D81='General inputs'!$I$16,0,IF(D81&lt;'General inputs'!$I$16,C82-1,C80+1))</f>
        <v>15</v>
      </c>
      <c r="D81" s="113" t="str">
        <f t="shared" si="1"/>
        <v>2037-38</v>
      </c>
      <c r="E81" s="115">
        <f>IF(LEFT(D81,4)*1&gt;LEFT('General inputs'!$I$16,4)+'General inputs'!$H$38-1,"",'ET inputs'!D54)</f>
        <v>10703.936499421216</v>
      </c>
      <c r="F81" s="115">
        <f>IF(LEFT(D81,4)*1&gt;LEFT('General inputs'!$I$16,4)+'General inputs'!$H$38-1,"",E81/(1+'General inputs'!$H$30)^C81)</f>
        <v>6870.4495263293065</v>
      </c>
      <c r="G81" s="115">
        <f>IF(LEFT(D81,4)*1&gt;LEFT('General inputs'!$I$16,4)+'General inputs'!$H$38-1,"",E81/(1+'General inputs'!$H$32)^C81)</f>
        <v>5774.6775594339697</v>
      </c>
      <c r="H81" s="115">
        <f>IF(LEFT(D81,4)*1&lt;LEFT('General inputs'!$I$16,4)*1,"",IF(LEFT(D81,4)*1&gt;LEFT('General inputs'!$I$16,4)+'General inputs'!$H$38-1,"",E81/(1+'General inputs'!$H$34)^C81))</f>
        <v>5774.6775594339697</v>
      </c>
      <c r="I81" s="93"/>
      <c r="J81" s="153"/>
      <c r="K81" s="153"/>
      <c r="L81" s="115" t="str">
        <f>IF(LEFT(D81,4)*1&gt;LEFT('General inputs'!$I$18,4)*1,"",SUMIF('Post-1996 commissioned assets'!$F$22:$F$3002,$D81,'Post-1996 commissioned assets'!$P$22:$P$3002)*(1+$K$34)*(1+$K$35))</f>
        <v/>
      </c>
      <c r="M81" s="115" t="str">
        <f>IF(L81="","",L81/(1+'General inputs'!$H$32)^C81)</f>
        <v/>
      </c>
      <c r="N81" s="115">
        <f>IF(LEFT(D81,4)*1&lt;LEFT('General inputs'!$I$18,4)*1+1,"",SUMIF('Uncommissioned assets'!$F$22:$F$2036,$D81,'Uncommissioned assets'!$P$22:$P$2036))</f>
        <v>0</v>
      </c>
      <c r="O81" s="115">
        <f>IF(N81="","",N81/(1+'General inputs'!$H$32)^C81)</f>
        <v>0</v>
      </c>
      <c r="P81" s="93"/>
      <c r="Q81" s="121">
        <f>'Reduction amount'!P54</f>
        <v>52342657.89581567</v>
      </c>
      <c r="R81" s="115">
        <f>IF(OR(LEFT(D81,4)*1&lt;LEFT('General inputs'!$I$16,4)*1,LEFT(D81,4)*1&gt;LEFT('General inputs'!$I$16,4)+'General inputs'!$H$38-1),"",Q81/(1+'General inputs'!$H$34)^C81)</f>
        <v>28238393.60112422</v>
      </c>
      <c r="S81" s="93"/>
      <c r="T81" s="121">
        <f>'Reduction amount'!J54</f>
        <v>24670520.348133579</v>
      </c>
      <c r="U81" s="115">
        <f>IF(OR(LEFT(D81,4)*1&lt;LEFT('General inputs'!$I$16,4)*1,LEFT(D81,4)*1&gt;LEFT('General inputs'!$I$16,4)+'General inputs'!$H$38-1),"",T81/(1+'General inputs'!$H$34)^C81)</f>
        <v>13309524.046749478</v>
      </c>
      <c r="V81" s="95"/>
      <c r="W81" s="94"/>
    </row>
    <row r="82" spans="2:23" x14ac:dyDescent="0.25">
      <c r="B82" s="68"/>
      <c r="C82" s="113">
        <f>IF(D82='General inputs'!$I$16,0,IF(D82&lt;'General inputs'!$I$16,C83-1,C81+1))</f>
        <v>16</v>
      </c>
      <c r="D82" s="113" t="str">
        <f t="shared" si="1"/>
        <v>2038-39</v>
      </c>
      <c r="E82" s="115">
        <f>IF(LEFT(D82,4)*1&gt;LEFT('General inputs'!$I$16,4)+'General inputs'!$H$38-1,"",'ET inputs'!D55)</f>
        <v>10917.454485045382</v>
      </c>
      <c r="F82" s="115">
        <f>IF(LEFT(D82,4)*1&gt;LEFT('General inputs'!$I$16,4)+'General inputs'!$H$38-1,"",E82/(1+'General inputs'!$H$30)^C82)</f>
        <v>6803.3966955206406</v>
      </c>
      <c r="G82" s="115">
        <f>IF(LEFT(D82,4)*1&gt;LEFT('General inputs'!$I$16,4)+'General inputs'!$H$38-1,"",E82/(1+'General inputs'!$H$32)^C82)</f>
        <v>5652.4650614940429</v>
      </c>
      <c r="H82" s="115">
        <f>IF(LEFT(D82,4)*1&lt;LEFT('General inputs'!$I$16,4)*1,"",IF(LEFT(D82,4)*1&gt;LEFT('General inputs'!$I$16,4)+'General inputs'!$H$38-1,"",E82/(1+'General inputs'!$H$34)^C82))</f>
        <v>5652.4650614940429</v>
      </c>
      <c r="I82" s="93"/>
      <c r="J82" s="153"/>
      <c r="K82" s="153"/>
      <c r="L82" s="115" t="str">
        <f>IF(LEFT(D82,4)*1&gt;LEFT('General inputs'!$I$18,4)*1,"",SUMIF('Post-1996 commissioned assets'!$F$22:$F$3002,$D82,'Post-1996 commissioned assets'!$P$22:$P$3002)*(1+$K$34)*(1+$K$35))</f>
        <v/>
      </c>
      <c r="M82" s="115" t="str">
        <f>IF(L82="","",L82/(1+'General inputs'!$H$32)^C82)</f>
        <v/>
      </c>
      <c r="N82" s="115">
        <f>IF(LEFT(D82,4)*1&lt;LEFT('General inputs'!$I$18,4)*1+1,"",SUMIF('Uncommissioned assets'!$F$22:$F$2036,$D82,'Uncommissioned assets'!$P$22:$P$2036))</f>
        <v>0</v>
      </c>
      <c r="O82" s="115">
        <f>IF(N82="","",N82/(1+'General inputs'!$H$32)^C82)</f>
        <v>0</v>
      </c>
      <c r="P82" s="93"/>
      <c r="Q82" s="121">
        <f>'Reduction amount'!P55</f>
        <v>55170942.442542046</v>
      </c>
      <c r="R82" s="115">
        <f>IF(OR(LEFT(D82,4)*1&lt;LEFT('General inputs'!$I$16,4)*1,LEFT(D82,4)*1&gt;LEFT('General inputs'!$I$16,4)+'General inputs'!$H$38-1),"",Q82/(1+'General inputs'!$H$34)^C82)</f>
        <v>28564517.946316075</v>
      </c>
      <c r="S82" s="93"/>
      <c r="T82" s="121">
        <f>'Reduction amount'!J55</f>
        <v>25893763.445855111</v>
      </c>
      <c r="U82" s="115">
        <f>IF(OR(LEFT(D82,4)*1&lt;LEFT('General inputs'!$I$16,4)*1,LEFT(D82,4)*1&gt;LEFT('General inputs'!$I$16,4)+'General inputs'!$H$38-1),"",T82/(1+'General inputs'!$H$34)^C82)</f>
        <v>13406384.55500547</v>
      </c>
      <c r="V82" s="95"/>
      <c r="W82" s="94"/>
    </row>
    <row r="83" spans="2:23" x14ac:dyDescent="0.25">
      <c r="B83" s="68"/>
      <c r="C83" s="113">
        <f>IF(D83='General inputs'!$I$16,0,IF(D83&lt;'General inputs'!$I$16,C84-1,C82+1))</f>
        <v>17</v>
      </c>
      <c r="D83" s="113" t="str">
        <f t="shared" si="1"/>
        <v>2039-40</v>
      </c>
      <c r="E83" s="115">
        <f>IF(LEFT(D83,4)*1&gt;LEFT('General inputs'!$I$16,4)+'General inputs'!$H$38-1,"",'ET inputs'!D56)</f>
        <v>11047.431622269565</v>
      </c>
      <c r="F83" s="115">
        <f>IF(LEFT(D83,4)*1&gt;LEFT('General inputs'!$I$16,4)+'General inputs'!$H$38-1,"",E83/(1+'General inputs'!$H$30)^C83)</f>
        <v>6683.8778158186678</v>
      </c>
      <c r="G83" s="115">
        <f>IF(LEFT(D83,4)*1&gt;LEFT('General inputs'!$I$16,4)+'General inputs'!$H$38-1,"",E83/(1+'General inputs'!$H$32)^C83)</f>
        <v>5489.2132099406781</v>
      </c>
      <c r="H83" s="115">
        <f>IF(LEFT(D83,4)*1&lt;LEFT('General inputs'!$I$16,4)*1,"",IF(LEFT(D83,4)*1&gt;LEFT('General inputs'!$I$16,4)+'General inputs'!$H$38-1,"",E83/(1+'General inputs'!$H$34)^C83))</f>
        <v>5489.2132099406781</v>
      </c>
      <c r="I83" s="93"/>
      <c r="J83" s="153"/>
      <c r="K83" s="153"/>
      <c r="L83" s="115" t="str">
        <f>IF(LEFT(D83,4)*1&gt;LEFT('General inputs'!$I$18,4)*1,"",SUMIF('Post-1996 commissioned assets'!$F$22:$F$3002,$D83,'Post-1996 commissioned assets'!$P$22:$P$3002)*(1+$K$34)*(1+$K$35))</f>
        <v/>
      </c>
      <c r="M83" s="115" t="str">
        <f>IF(L83="","",L83/(1+'General inputs'!$H$32)^C83)</f>
        <v/>
      </c>
      <c r="N83" s="115">
        <f>IF(LEFT(D83,4)*1&lt;LEFT('General inputs'!$I$18,4)*1+1,"",SUMIF('Uncommissioned assets'!$F$22:$F$2036,$D83,'Uncommissioned assets'!$P$22:$P$2036))</f>
        <v>0</v>
      </c>
      <c r="O83" s="115">
        <f>IF(N83="","",N83/(1+'General inputs'!$H$32)^C83)</f>
        <v>0</v>
      </c>
      <c r="P83" s="93"/>
      <c r="Q83" s="121">
        <f>'Reduction amount'!P56</f>
        <v>58019628.963995248</v>
      </c>
      <c r="R83" s="115">
        <f>IF(OR(LEFT(D83,4)*1&lt;LEFT('General inputs'!$I$16,4)*1,LEFT(D83,4)*1&gt;LEFT('General inputs'!$I$16,4)+'General inputs'!$H$38-1),"",Q83/(1+'General inputs'!$H$34)^C83)</f>
        <v>28828611.448747858</v>
      </c>
      <c r="S83" s="93"/>
      <c r="T83" s="121">
        <f>'Reduction amount'!J56</f>
        <v>27115121.466858324</v>
      </c>
      <c r="U83" s="115">
        <f>IF(OR(LEFT(D83,4)*1&lt;LEFT('General inputs'!$I$16,4)*1,LEFT(D83,4)*1&gt;LEFT('General inputs'!$I$16,4)+'General inputs'!$H$38-1),"",T83/(1+'General inputs'!$H$34)^C83)</f>
        <v>13472876.595587129</v>
      </c>
      <c r="V83" s="95"/>
      <c r="W83" s="94"/>
    </row>
    <row r="84" spans="2:23" x14ac:dyDescent="0.25">
      <c r="B84" s="68"/>
      <c r="C84" s="113">
        <f>IF(D84='General inputs'!$I$16,0,IF(D84&lt;'General inputs'!$I$16,C85-1,C83+1))</f>
        <v>18</v>
      </c>
      <c r="D84" s="113" t="str">
        <f t="shared" si="1"/>
        <v>2040-41</v>
      </c>
      <c r="E84" s="115">
        <f>IF(LEFT(D84,4)*1&gt;LEFT('General inputs'!$I$16,4)+'General inputs'!$H$38-1,"",'ET inputs'!D57)</f>
        <v>11155.582541518121</v>
      </c>
      <c r="F84" s="115">
        <f>IF(LEFT(D84,4)*1&gt;LEFT('General inputs'!$I$16,4)+'General inputs'!$H$38-1,"",E84/(1+'General inputs'!$H$30)^C84)</f>
        <v>6552.7290297060908</v>
      </c>
      <c r="G84" s="115">
        <f>IF(LEFT(D84,4)*1&gt;LEFT('General inputs'!$I$16,4)+'General inputs'!$H$38-1,"",E84/(1+'General inputs'!$H$32)^C84)</f>
        <v>5319.5306140416424</v>
      </c>
      <c r="H84" s="115">
        <f>IF(LEFT(D84,4)*1&lt;LEFT('General inputs'!$I$16,4)*1,"",IF(LEFT(D84,4)*1&gt;LEFT('General inputs'!$I$16,4)+'General inputs'!$H$38-1,"",E84/(1+'General inputs'!$H$34)^C84))</f>
        <v>5319.5306140416424</v>
      </c>
      <c r="I84" s="93"/>
      <c r="J84" s="153"/>
      <c r="K84" s="153"/>
      <c r="L84" s="115" t="str">
        <f>IF(LEFT(D84,4)*1&gt;LEFT('General inputs'!$I$18,4)*1,"",SUMIF('Post-1996 commissioned assets'!$F$22:$F$3002,$D84,'Post-1996 commissioned assets'!$P$22:$P$3002)*(1+$K$34)*(1+$K$35))</f>
        <v/>
      </c>
      <c r="M84" s="115" t="str">
        <f>IF(L84="","",L84/(1+'General inputs'!$H$32)^C84)</f>
        <v/>
      </c>
      <c r="N84" s="115">
        <f>IF(LEFT(D84,4)*1&lt;LEFT('General inputs'!$I$18,4)*1+1,"",SUMIF('Uncommissioned assets'!$F$22:$F$2036,$D84,'Uncommissioned assets'!$P$22:$P$2036))</f>
        <v>0</v>
      </c>
      <c r="O84" s="115">
        <f>IF(N84="","",N84/(1+'General inputs'!$H$32)^C84)</f>
        <v>0</v>
      </c>
      <c r="P84" s="93"/>
      <c r="Q84" s="121">
        <f>'Reduction amount'!P57</f>
        <v>60926199.263170734</v>
      </c>
      <c r="R84" s="115">
        <f>IF(OR(LEFT(D84,4)*1&lt;LEFT('General inputs'!$I$16,4)*1,LEFT(D84,4)*1&gt;LEFT('General inputs'!$I$16,4)+'General inputs'!$H$38-1),"",Q84/(1+'General inputs'!$H$34)^C84)</f>
        <v>29052609.397261713</v>
      </c>
      <c r="S84" s="93"/>
      <c r="T84" s="121">
        <f>'Reduction amount'!J57</f>
        <v>28352289.832617819</v>
      </c>
      <c r="U84" s="115">
        <f>IF(OR(LEFT(D84,4)*1&lt;LEFT('General inputs'!$I$16,4)*1,LEFT(D84,4)*1&gt;LEFT('General inputs'!$I$16,4)+'General inputs'!$H$38-1),"",T84/(1+'General inputs'!$H$34)^C84)</f>
        <v>13519766.73396273</v>
      </c>
      <c r="V84" s="95"/>
      <c r="W84" s="94"/>
    </row>
    <row r="85" spans="2:23" x14ac:dyDescent="0.25">
      <c r="B85" s="68"/>
      <c r="C85" s="113">
        <f>IF(D85='General inputs'!$I$16,0,IF(D85&lt;'General inputs'!$I$16,C86-1,C84+1))</f>
        <v>19</v>
      </c>
      <c r="D85" s="113" t="str">
        <f t="shared" si="1"/>
        <v>2041-42</v>
      </c>
      <c r="E85" s="115">
        <f>IF(LEFT(D85,4)*1&gt;LEFT('General inputs'!$I$16,4)+'General inputs'!$H$38-1,"",'ET inputs'!D58)</f>
        <v>11282.621503355633</v>
      </c>
      <c r="F85" s="115">
        <f>IF(LEFT(D85,4)*1&gt;LEFT('General inputs'!$I$16,4)+'General inputs'!$H$38-1,"",E85/(1+'General inputs'!$H$30)^C85)</f>
        <v>6434.3213891714722</v>
      </c>
      <c r="G85" s="115">
        <f>IF(LEFT(D85,4)*1&gt;LEFT('General inputs'!$I$16,4)+'General inputs'!$H$38-1,"",E85/(1+'General inputs'!$H$32)^C85)</f>
        <v>5163.2524389669034</v>
      </c>
      <c r="H85" s="115">
        <f>IF(LEFT(D85,4)*1&lt;LEFT('General inputs'!$I$16,4)*1,"",IF(LEFT(D85,4)*1&gt;LEFT('General inputs'!$I$16,4)+'General inputs'!$H$38-1,"",E85/(1+'General inputs'!$H$34)^C85))</f>
        <v>5163.2524389669034</v>
      </c>
      <c r="I85" s="93"/>
      <c r="J85" s="153"/>
      <c r="K85" s="153"/>
      <c r="L85" s="115" t="str">
        <f>IF(LEFT(D85,4)*1&gt;LEFT('General inputs'!$I$18,4)*1,"",SUMIF('Post-1996 commissioned assets'!$F$22:$F$3002,$D85,'Post-1996 commissioned assets'!$P$22:$P$3002)*(1+$K$34)*(1+$K$35))</f>
        <v/>
      </c>
      <c r="M85" s="115" t="str">
        <f>IF(L85="","",L85/(1+'General inputs'!$H$32)^C85)</f>
        <v/>
      </c>
      <c r="N85" s="115">
        <f>IF(LEFT(D85,4)*1&lt;LEFT('General inputs'!$I$18,4)*1+1,"",SUMIF('Uncommissioned assets'!$F$22:$F$2036,$D85,'Uncommissioned assets'!$P$22:$P$2036))</f>
        <v>0</v>
      </c>
      <c r="O85" s="115">
        <f>IF(N85="","",N85/(1+'General inputs'!$H$32)^C85)</f>
        <v>0</v>
      </c>
      <c r="P85" s="93"/>
      <c r="Q85" s="121">
        <f>'Reduction amount'!P58</f>
        <v>63846710.782554038</v>
      </c>
      <c r="R85" s="115">
        <f>IF(OR(LEFT(D85,4)*1&lt;LEFT('General inputs'!$I$16,4)*1,LEFT(D85,4)*1&gt;LEFT('General inputs'!$I$16,4)+'General inputs'!$H$38-1),"",Q85/(1+'General inputs'!$H$34)^C85)</f>
        <v>29218093.070833888</v>
      </c>
      <c r="S85" s="93"/>
      <c r="T85" s="121">
        <f>'Reduction amount'!J58</f>
        <v>29594829.383436576</v>
      </c>
      <c r="U85" s="115">
        <f>IF(OR(LEFT(D85,4)*1&lt;LEFT('General inputs'!$I$16,4)*1,LEFT(D85,4)*1&gt;LEFT('General inputs'!$I$16,4)+'General inputs'!$H$38-1),"",T85/(1+'General inputs'!$H$34)^C85)</f>
        <v>13543445.993414868</v>
      </c>
      <c r="V85" s="95"/>
      <c r="W85" s="94"/>
    </row>
    <row r="86" spans="2:23" x14ac:dyDescent="0.25">
      <c r="B86" s="68"/>
      <c r="C86" s="113">
        <f>IF(D86='General inputs'!$I$16,0,IF(D86&lt;'General inputs'!$I$16,C87-1,C85+1))</f>
        <v>20</v>
      </c>
      <c r="D86" s="113" t="str">
        <f t="shared" si="1"/>
        <v>2042-43</v>
      </c>
      <c r="E86" s="115">
        <f>IF(LEFT(D86,4)*1&gt;LEFT('General inputs'!$I$16,4)+'General inputs'!$H$38-1,"",'ET inputs'!D59)</f>
        <v>11272.748903084423</v>
      </c>
      <c r="F86" s="115">
        <f>IF(LEFT(D86,4)*1&gt;LEFT('General inputs'!$I$16,4)+'General inputs'!$H$38-1,"",E86/(1+'General inputs'!$H$30)^C86)</f>
        <v>6241.447750668448</v>
      </c>
      <c r="G86" s="115">
        <f>IF(LEFT(D86,4)*1&gt;LEFT('General inputs'!$I$16,4)+'General inputs'!$H$38-1,"",E86/(1+'General inputs'!$H$32)^C86)</f>
        <v>4950.8008184643195</v>
      </c>
      <c r="H86" s="115">
        <f>IF(LEFT(D86,4)*1&lt;LEFT('General inputs'!$I$16,4)*1,"",IF(LEFT(D86,4)*1&gt;LEFT('General inputs'!$I$16,4)+'General inputs'!$H$38-1,"",E86/(1+'General inputs'!$H$34)^C86))</f>
        <v>4950.8008184643195</v>
      </c>
      <c r="I86" s="93"/>
      <c r="J86" s="153"/>
      <c r="K86" s="153"/>
      <c r="L86" s="115" t="str">
        <f>IF(LEFT(D86,4)*1&gt;LEFT('General inputs'!$I$18,4)*1,"",SUMIF('Post-1996 commissioned assets'!$F$22:$F$3002,$D86,'Post-1996 commissioned assets'!$P$22:$P$3002)*(1+$K$34)*(1+$K$35))</f>
        <v/>
      </c>
      <c r="M86" s="115" t="str">
        <f>IF(L86="","",L86/(1+'General inputs'!$H$32)^C86)</f>
        <v/>
      </c>
      <c r="N86" s="115">
        <f>IF(LEFT(D86,4)*1&lt;LEFT('General inputs'!$I$18,4)*1+1,"",SUMIF('Uncommissioned assets'!$F$22:$F$2036,$D86,'Uncommissioned assets'!$P$22:$P$2036))</f>
        <v>0</v>
      </c>
      <c r="O86" s="115">
        <f>IF(N86="","",N86/(1+'General inputs'!$H$32)^C86)</f>
        <v>0</v>
      </c>
      <c r="P86" s="93"/>
      <c r="Q86" s="121">
        <f>'Reduction amount'!P59</f>
        <v>66755070.349557728</v>
      </c>
      <c r="R86" s="115">
        <f>IF(OR(LEFT(D86,4)*1&lt;LEFT('General inputs'!$I$16,4)*1,LEFT(D86,4)*1&gt;LEFT('General inputs'!$I$16,4)+'General inputs'!$H$38-1),"",Q86/(1+'General inputs'!$H$34)^C86)</f>
        <v>29317698.794196106</v>
      </c>
      <c r="S86" s="93"/>
      <c r="T86" s="121">
        <f>'Reduction amount'!J59</f>
        <v>30821313.697440229</v>
      </c>
      <c r="U86" s="115">
        <f>IF(OR(LEFT(D86,4)*1&lt;LEFT('General inputs'!$I$16,4)*1,LEFT(D86,4)*1&gt;LEFT('General inputs'!$I$16,4)+'General inputs'!$H$38-1),"",T86/(1+'General inputs'!$H$34)^C86)</f>
        <v>13536200.122197459</v>
      </c>
      <c r="V86" s="95"/>
      <c r="W86" s="94"/>
    </row>
    <row r="87" spans="2:23" x14ac:dyDescent="0.25">
      <c r="B87" s="68"/>
      <c r="C87" s="113">
        <f>IF(D87='General inputs'!$I$16,0,IF(D87&lt;'General inputs'!$I$16,C88-1,C86+1))</f>
        <v>21</v>
      </c>
      <c r="D87" s="113" t="str">
        <f t="shared" si="1"/>
        <v>2043-44</v>
      </c>
      <c r="E87" s="115">
        <f>IF(LEFT(D87,4)*1&gt;LEFT('General inputs'!$I$16,4)+'General inputs'!$H$38-1,"",'ET inputs'!D60)</f>
        <v>11258.941930765781</v>
      </c>
      <c r="F87" s="115">
        <f>IF(LEFT(D87,4)*1&gt;LEFT('General inputs'!$I$16,4)+'General inputs'!$H$38-1,"",E87/(1+'General inputs'!$H$30)^C87)</f>
        <v>6052.2360823853351</v>
      </c>
      <c r="G87" s="115">
        <f>IF(LEFT(D87,4)*1&gt;LEFT('General inputs'!$I$16,4)+'General inputs'!$H$38-1,"",E87/(1+'General inputs'!$H$32)^C87)</f>
        <v>4745.4290110824768</v>
      </c>
      <c r="H87" s="115">
        <f>IF(LEFT(D87,4)*1&lt;LEFT('General inputs'!$I$16,4)*1,"",IF(LEFT(D87,4)*1&gt;LEFT('General inputs'!$I$16,4)+'General inputs'!$H$38-1,"",E87/(1+'General inputs'!$H$34)^C87))</f>
        <v>4745.4290110824768</v>
      </c>
      <c r="I87" s="93"/>
      <c r="J87" s="153"/>
      <c r="K87" s="153"/>
      <c r="L87" s="115" t="str">
        <f>IF(LEFT(D87,4)*1&gt;LEFT('General inputs'!$I$18,4)*1,"",SUMIF('Post-1996 commissioned assets'!$F$22:$F$3002,$D87,'Post-1996 commissioned assets'!$P$22:$P$3002)*(1+$K$34)*(1+$K$35))</f>
        <v/>
      </c>
      <c r="M87" s="115" t="str">
        <f>IF(L87="","",L87/(1+'General inputs'!$H$32)^C87)</f>
        <v/>
      </c>
      <c r="N87" s="115">
        <f>IF(LEFT(D87,4)*1&lt;LEFT('General inputs'!$I$18,4)*1+1,"",SUMIF('Uncommissioned assets'!$F$22:$F$2036,$D87,'Uncommissioned assets'!$P$22:$P$2036))</f>
        <v>0</v>
      </c>
      <c r="O87" s="115">
        <f>IF(N87="","",N87/(1+'General inputs'!$H$32)^C87)</f>
        <v>0</v>
      </c>
      <c r="P87" s="93"/>
      <c r="Q87" s="121">
        <f>'Reduction amount'!P60</f>
        <v>69641165.426027015</v>
      </c>
      <c r="R87" s="115">
        <f>IF(OR(LEFT(D87,4)*1&lt;LEFT('General inputs'!$I$16,4)*1,LEFT(D87,4)*1&gt;LEFT('General inputs'!$I$16,4)+'General inputs'!$H$38-1),"",Q87/(1+'General inputs'!$H$34)^C87)</f>
        <v>29352421.285273034</v>
      </c>
      <c r="S87" s="93"/>
      <c r="T87" s="121">
        <f>'Reduction amount'!J60</f>
        <v>32027197.887109067</v>
      </c>
      <c r="U87" s="115">
        <f>IF(OR(LEFT(D87,4)*1&lt;LEFT('General inputs'!$I$16,4)*1,LEFT(D87,4)*1&gt;LEFT('General inputs'!$I$16,4)+'General inputs'!$H$38-1),"",T87/(1+'General inputs'!$H$34)^C87)</f>
        <v>13498852.283966759</v>
      </c>
      <c r="V87" s="95"/>
      <c r="W87" s="94"/>
    </row>
    <row r="88" spans="2:23" x14ac:dyDescent="0.25">
      <c r="B88" s="68"/>
      <c r="C88" s="113">
        <f>IF(D88='General inputs'!$I$16,0,IF(D88&lt;'General inputs'!$I$16,C89-1,C87+1))</f>
        <v>22</v>
      </c>
      <c r="D88" s="113" t="str">
        <f t="shared" si="1"/>
        <v>2044-45</v>
      </c>
      <c r="E88" s="115">
        <f>IF(LEFT(D88,4)*1&gt;LEFT('General inputs'!$I$16,4)+'General inputs'!$H$38-1,"",'ET inputs'!D61)</f>
        <v>11244.992098788229</v>
      </c>
      <c r="F88" s="115">
        <f>IF(LEFT(D88,4)*1&gt;LEFT('General inputs'!$I$16,4)+'General inputs'!$H$38-1,"",E88/(1+'General inputs'!$H$30)^C88)</f>
        <v>5868.6770488415032</v>
      </c>
      <c r="G88" s="115">
        <f>IF(LEFT(D88,4)*1&gt;LEFT('General inputs'!$I$16,4)+'General inputs'!$H$38-1,"",E88/(1+'General inputs'!$H$32)^C88)</f>
        <v>4548.5119225573635</v>
      </c>
      <c r="H88" s="115">
        <f>IF(LEFT(D88,4)*1&lt;LEFT('General inputs'!$I$16,4)*1,"",IF(LEFT(D88,4)*1&gt;LEFT('General inputs'!$I$16,4)+'General inputs'!$H$38-1,"",E88/(1+'General inputs'!$H$34)^C88))</f>
        <v>4548.5119225573635</v>
      </c>
      <c r="I88" s="93"/>
      <c r="J88" s="153"/>
      <c r="K88" s="153"/>
      <c r="L88" s="115" t="str">
        <f>IF(LEFT(D88,4)*1&gt;LEFT('General inputs'!$I$18,4)*1,"",SUMIF('Post-1996 commissioned assets'!$F$22:$F$3002,$D88,'Post-1996 commissioned assets'!$P$22:$P$3002)*(1+$K$34)*(1+$K$35))</f>
        <v/>
      </c>
      <c r="M88" s="115" t="str">
        <f>IF(L88="","",L88/(1+'General inputs'!$H$32)^C88)</f>
        <v/>
      </c>
      <c r="N88" s="115">
        <f>IF(LEFT(D88,4)*1&lt;LEFT('General inputs'!$I$18,4)*1+1,"",SUMIF('Uncommissioned assets'!$F$22:$F$2036,$D88,'Uncommissioned assets'!$P$22:$P$2036))</f>
        <v>0</v>
      </c>
      <c r="O88" s="115">
        <f>IF(N88="","",N88/(1+'General inputs'!$H$32)^C88)</f>
        <v>0</v>
      </c>
      <c r="P88" s="93"/>
      <c r="Q88" s="121">
        <f>'Reduction amount'!P61</f>
        <v>72544734.423777446</v>
      </c>
      <c r="R88" s="115">
        <f>IF(OR(LEFT(D88,4)*1&lt;LEFT('General inputs'!$I$16,4)*1,LEFT(D88,4)*1&gt;LEFT('General inputs'!$I$16,4)+'General inputs'!$H$38-1),"",Q88/(1+'General inputs'!$H$34)^C88)</f>
        <v>29343781.35142196</v>
      </c>
      <c r="S88" s="93"/>
      <c r="T88" s="121">
        <f>'Reduction amount'!J61</f>
        <v>33231750.420957439</v>
      </c>
      <c r="U88" s="115">
        <f>IF(OR(LEFT(D88,4)*1&lt;LEFT('General inputs'!$I$16,4)*1,LEFT(D88,4)*1&gt;LEFT('General inputs'!$I$16,4)+'General inputs'!$H$38-1),"",T88/(1+'General inputs'!$H$34)^C88)</f>
        <v>13441984.81148459</v>
      </c>
      <c r="V88" s="95"/>
      <c r="W88" s="94"/>
    </row>
    <row r="89" spans="2:23" x14ac:dyDescent="0.25">
      <c r="B89" s="68"/>
      <c r="C89" s="113">
        <f>IF(D89='General inputs'!$I$16,0,IF(D89&lt;'General inputs'!$I$16,C90-1,C88+1))</f>
        <v>23</v>
      </c>
      <c r="D89" s="113" t="str">
        <f t="shared" si="1"/>
        <v>2045-46</v>
      </c>
      <c r="E89" s="115">
        <f>IF(LEFT(D89,4)*1&gt;LEFT('General inputs'!$I$16,4)+'General inputs'!$H$38-1,"",'ET inputs'!D62)</f>
        <v>0</v>
      </c>
      <c r="F89" s="115">
        <f>IF(LEFT(D89,4)*1&gt;LEFT('General inputs'!$I$16,4)+'General inputs'!$H$38-1,"",E89/(1+'General inputs'!$H$30)^C89)</f>
        <v>0</v>
      </c>
      <c r="G89" s="115">
        <f>IF(LEFT(D89,4)*1&gt;LEFT('General inputs'!$I$16,4)+'General inputs'!$H$38-1,"",E89/(1+'General inputs'!$H$32)^C89)</f>
        <v>0</v>
      </c>
      <c r="H89" s="115">
        <f>IF(LEFT(D89,4)*1&lt;LEFT('General inputs'!$I$16,4)*1,"",IF(LEFT(D89,4)*1&gt;LEFT('General inputs'!$I$16,4)+'General inputs'!$H$38-1,"",E89/(1+'General inputs'!$H$34)^C89))</f>
        <v>0</v>
      </c>
      <c r="I89" s="93"/>
      <c r="J89" s="153"/>
      <c r="K89" s="153"/>
      <c r="L89" s="115" t="str">
        <f>IF(LEFT(D89,4)*1&gt;LEFT('General inputs'!$I$18,4)*1,"",SUMIF('Post-1996 commissioned assets'!$F$22:$F$3002,$D89,'Post-1996 commissioned assets'!$P$22:$P$3002)*(1+$K$34)*(1+$K$35))</f>
        <v/>
      </c>
      <c r="M89" s="115" t="str">
        <f>IF(L89="","",L89/(1+'General inputs'!$H$32)^C89)</f>
        <v/>
      </c>
      <c r="N89" s="115">
        <f>IF(LEFT(D89,4)*1&lt;LEFT('General inputs'!$I$18,4)*1+1,"",SUMIF('Uncommissioned assets'!$F$22:$F$2036,$D89,'Uncommissioned assets'!$P$22:$P$2036))</f>
        <v>0</v>
      </c>
      <c r="O89" s="115">
        <f>IF(N89="","",N89/(1+'General inputs'!$H$32)^C89)</f>
        <v>0</v>
      </c>
      <c r="P89" s="93"/>
      <c r="Q89" s="121">
        <f>'Reduction amount'!P62</f>
        <v>72544734.423777446</v>
      </c>
      <c r="R89" s="115">
        <f>IF(OR(LEFT(D89,4)*1&lt;LEFT('General inputs'!$I$16,4)*1,LEFT(D89,4)*1&gt;LEFT('General inputs'!$I$16,4)+'General inputs'!$H$38-1),"",Q89/(1+'General inputs'!$H$34)^C89)</f>
        <v>28161018.57142223</v>
      </c>
      <c r="S89" s="93"/>
      <c r="T89" s="121">
        <f>'Reduction amount'!J62</f>
        <v>33185086.080648713</v>
      </c>
      <c r="U89" s="115">
        <f>IF(OR(LEFT(D89,4)*1&lt;LEFT('General inputs'!$I$16,4)*1,LEFT(D89,4)*1&gt;LEFT('General inputs'!$I$16,4)+'General inputs'!$H$38-1),"",T89/(1+'General inputs'!$H$34)^C89)</f>
        <v>12882062.81040697</v>
      </c>
      <c r="V89" s="95"/>
      <c r="W89" s="94"/>
    </row>
    <row r="90" spans="2:23" x14ac:dyDescent="0.25">
      <c r="B90" s="68"/>
      <c r="C90" s="113">
        <f>IF(D90='General inputs'!$I$16,0,IF(D90&lt;'General inputs'!$I$16,C91-1,C89+1))</f>
        <v>24</v>
      </c>
      <c r="D90" s="113" t="str">
        <f t="shared" si="1"/>
        <v>2046-47</v>
      </c>
      <c r="E90" s="115">
        <f>IF(LEFT(D90,4)*1&gt;LEFT('General inputs'!$I$16,4)+'General inputs'!$H$38-1,"",'ET inputs'!D63)</f>
        <v>0</v>
      </c>
      <c r="F90" s="115">
        <f>IF(LEFT(D90,4)*1&gt;LEFT('General inputs'!$I$16,4)+'General inputs'!$H$38-1,"",E90/(1+'General inputs'!$H$30)^C90)</f>
        <v>0</v>
      </c>
      <c r="G90" s="115">
        <f>IF(LEFT(D90,4)*1&gt;LEFT('General inputs'!$I$16,4)+'General inputs'!$H$38-1,"",E90/(1+'General inputs'!$H$32)^C90)</f>
        <v>0</v>
      </c>
      <c r="H90" s="115">
        <f>IF(LEFT(D90,4)*1&lt;LEFT('General inputs'!$I$16,4)*1,"",IF(LEFT(D90,4)*1&gt;LEFT('General inputs'!$I$16,4)+'General inputs'!$H$38-1,"",E90/(1+'General inputs'!$H$34)^C90))</f>
        <v>0</v>
      </c>
      <c r="I90" s="93"/>
      <c r="J90" s="153"/>
      <c r="K90" s="153"/>
      <c r="L90" s="115" t="str">
        <f>IF(LEFT(D90,4)*1&gt;LEFT('General inputs'!$I$18,4)*1,"",SUMIF('Post-1996 commissioned assets'!$F$22:$F$3002,$D90,'Post-1996 commissioned assets'!$P$22:$P$3002)*(1+$K$34)*(1+$K$35))</f>
        <v/>
      </c>
      <c r="M90" s="115" t="str">
        <f>IF(L90="","",L90/(1+'General inputs'!$H$32)^C90)</f>
        <v/>
      </c>
      <c r="N90" s="115">
        <f>IF(LEFT(D90,4)*1&lt;LEFT('General inputs'!$I$18,4)*1+1,"",SUMIF('Uncommissioned assets'!$F$22:$F$2036,$D90,'Uncommissioned assets'!$P$22:$P$2036))</f>
        <v>0</v>
      </c>
      <c r="O90" s="115">
        <f>IF(N90="","",N90/(1+'General inputs'!$H$32)^C90)</f>
        <v>0</v>
      </c>
      <c r="P90" s="93"/>
      <c r="Q90" s="121">
        <f>'Reduction amount'!P63</f>
        <v>72544734.423777446</v>
      </c>
      <c r="R90" s="115">
        <f>IF(OR(LEFT(D90,4)*1&lt;LEFT('General inputs'!$I$16,4)*1,LEFT(D90,4)*1&gt;LEFT('General inputs'!$I$16,4)+'General inputs'!$H$38-1),"",Q90/(1+'General inputs'!$H$34)^C90)</f>
        <v>27025929.531115379</v>
      </c>
      <c r="S90" s="93"/>
      <c r="T90" s="121">
        <f>'Reduction amount'!J63</f>
        <v>33158439.307726189</v>
      </c>
      <c r="U90" s="115">
        <f>IF(OR(LEFT(D90,4)*1&lt;LEFT('General inputs'!$I$16,4)*1,LEFT(D90,4)*1&gt;LEFT('General inputs'!$I$16,4)+'General inputs'!$H$38-1),"",T90/(1+'General inputs'!$H$34)^C90)</f>
        <v>12352897.163528025</v>
      </c>
      <c r="V90" s="95"/>
      <c r="W90" s="94"/>
    </row>
    <row r="91" spans="2:23" x14ac:dyDescent="0.25">
      <c r="B91" s="68"/>
      <c r="C91" s="113">
        <f>IF(D91='General inputs'!$I$16,0,IF(D91&lt;'General inputs'!$I$16,C92-1,C90+1))</f>
        <v>25</v>
      </c>
      <c r="D91" s="113" t="str">
        <f t="shared" si="1"/>
        <v>2047-48</v>
      </c>
      <c r="E91" s="115">
        <f>IF(LEFT(D91,4)*1&gt;LEFT('General inputs'!$I$16,4)+'General inputs'!$H$38-1,"",'ET inputs'!D64)</f>
        <v>0</v>
      </c>
      <c r="F91" s="115">
        <f>IF(LEFT(D91,4)*1&gt;LEFT('General inputs'!$I$16,4)+'General inputs'!$H$38-1,"",E91/(1+'General inputs'!$H$30)^C91)</f>
        <v>0</v>
      </c>
      <c r="G91" s="115">
        <f>IF(LEFT(D91,4)*1&gt;LEFT('General inputs'!$I$16,4)+'General inputs'!$H$38-1,"",E91/(1+'General inputs'!$H$32)^C91)</f>
        <v>0</v>
      </c>
      <c r="H91" s="115">
        <f>IF(LEFT(D91,4)*1&lt;LEFT('General inputs'!$I$16,4)*1,"",IF(LEFT(D91,4)*1&gt;LEFT('General inputs'!$I$16,4)+'General inputs'!$H$38-1,"",E91/(1+'General inputs'!$H$34)^C91))</f>
        <v>0</v>
      </c>
      <c r="I91" s="93"/>
      <c r="J91" s="153"/>
      <c r="K91" s="153"/>
      <c r="L91" s="115" t="str">
        <f>IF(LEFT(D91,4)*1&gt;LEFT('General inputs'!$I$18,4)*1,"",SUMIF('Post-1996 commissioned assets'!$F$22:$F$3002,$D91,'Post-1996 commissioned assets'!$P$22:$P$3002)*(1+$K$34)*(1+$K$35))</f>
        <v/>
      </c>
      <c r="M91" s="115" t="str">
        <f>IF(L91="","",L91/(1+'General inputs'!$H$32)^C91)</f>
        <v/>
      </c>
      <c r="N91" s="115">
        <f>IF(LEFT(D91,4)*1&lt;LEFT('General inputs'!$I$18,4)*1+1,"",SUMIF('Uncommissioned assets'!$F$22:$F$2036,$D91,'Uncommissioned assets'!$P$22:$P$2036))</f>
        <v>0</v>
      </c>
      <c r="O91" s="115">
        <f>IF(N91="","",N91/(1+'General inputs'!$H$32)^C91)</f>
        <v>0</v>
      </c>
      <c r="P91" s="93"/>
      <c r="Q91" s="121">
        <f>'Reduction amount'!P64</f>
        <v>72544734.423777446</v>
      </c>
      <c r="R91" s="115">
        <f>IF(OR(LEFT(D91,4)*1&lt;LEFT('General inputs'!$I$16,4)*1,LEFT(D91,4)*1&gt;LEFT('General inputs'!$I$16,4)+'General inputs'!$H$38-1),"",Q91/(1+'General inputs'!$H$34)^C91)</f>
        <v>25936592.640225895</v>
      </c>
      <c r="S91" s="93"/>
      <c r="T91" s="121">
        <f>'Reduction amount'!J64</f>
        <v>33131693.216047242</v>
      </c>
      <c r="U91" s="115">
        <f>IF(OR(LEFT(D91,4)*1&lt;LEFT('General inputs'!$I$16,4)*1,LEFT(D91,4)*1&gt;LEFT('General inputs'!$I$16,4)+'General inputs'!$H$38-1),"",T91/(1+'General inputs'!$H$34)^C91)</f>
        <v>11845425.271057289</v>
      </c>
      <c r="V91" s="95"/>
      <c r="W91" s="94"/>
    </row>
    <row r="92" spans="2:23" x14ac:dyDescent="0.25">
      <c r="B92" s="68"/>
      <c r="C92" s="113">
        <f>IF(D92='General inputs'!$I$16,0,IF(D92&lt;'General inputs'!$I$16,C93-1,C91+1))</f>
        <v>26</v>
      </c>
      <c r="D92" s="113" t="str">
        <f t="shared" si="1"/>
        <v>2048-49</v>
      </c>
      <c r="E92" s="115">
        <f>IF(LEFT(D92,4)*1&gt;LEFT('General inputs'!$I$16,4)+'General inputs'!$H$38-1,"",'ET inputs'!D65)</f>
        <v>0</v>
      </c>
      <c r="F92" s="115">
        <f>IF(LEFT(D92,4)*1&gt;LEFT('General inputs'!$I$16,4)+'General inputs'!$H$38-1,"",E92/(1+'General inputs'!$H$30)^C92)</f>
        <v>0</v>
      </c>
      <c r="G92" s="115">
        <f>IF(LEFT(D92,4)*1&gt;LEFT('General inputs'!$I$16,4)+'General inputs'!$H$38-1,"",E92/(1+'General inputs'!$H$32)^C92)</f>
        <v>0</v>
      </c>
      <c r="H92" s="115">
        <f>IF(LEFT(D92,4)*1&lt;LEFT('General inputs'!$I$16,4)*1,"",IF(LEFT(D92,4)*1&gt;LEFT('General inputs'!$I$16,4)+'General inputs'!$H$38-1,"",E92/(1+'General inputs'!$H$34)^C92))</f>
        <v>0</v>
      </c>
      <c r="I92" s="93"/>
      <c r="J92" s="153"/>
      <c r="K92" s="153"/>
      <c r="L92" s="115" t="str">
        <f>IF(LEFT(D92,4)*1&gt;LEFT('General inputs'!$I$18,4)*1,"",SUMIF('Post-1996 commissioned assets'!$F$22:$F$3002,$D92,'Post-1996 commissioned assets'!$P$22:$P$3002)*(1+$K$34)*(1+$K$35))</f>
        <v/>
      </c>
      <c r="M92" s="115" t="str">
        <f>IF(L92="","",L92/(1+'General inputs'!$H$32)^C92)</f>
        <v/>
      </c>
      <c r="N92" s="115">
        <f>IF(LEFT(D92,4)*1&lt;LEFT('General inputs'!$I$18,4)*1+1,"",SUMIF('Uncommissioned assets'!$F$22:$F$2036,$D92,'Uncommissioned assets'!$P$22:$P$2036))</f>
        <v>0</v>
      </c>
      <c r="O92" s="115">
        <f>IF(N92="","",N92/(1+'General inputs'!$H$32)^C92)</f>
        <v>0</v>
      </c>
      <c r="P92" s="93"/>
      <c r="Q92" s="121">
        <f>'Reduction amount'!P65</f>
        <v>72544734.423777446</v>
      </c>
      <c r="R92" s="115">
        <f>IF(OR(LEFT(D92,4)*1&lt;LEFT('General inputs'!$I$16,4)*1,LEFT(D92,4)*1&gt;LEFT('General inputs'!$I$16,4)+'General inputs'!$H$38-1),"",Q92/(1+'General inputs'!$H$34)^C92)</f>
        <v>24891163.762212947</v>
      </c>
      <c r="S92" s="93"/>
      <c r="T92" s="121">
        <f>'Reduction amount'!J65</f>
        <v>33104766.1373455</v>
      </c>
      <c r="U92" s="115">
        <f>IF(OR(LEFT(D92,4)*1&lt;LEFT('General inputs'!$I$16,4)*1,LEFT(D92,4)*1&gt;LEFT('General inputs'!$I$16,4)+'General inputs'!$H$38-1),"",T92/(1+'General inputs'!$H$34)^C92)</f>
        <v>11358731.433502181</v>
      </c>
      <c r="V92" s="95"/>
      <c r="W92" s="94"/>
    </row>
    <row r="93" spans="2:23" x14ac:dyDescent="0.25">
      <c r="B93" s="68"/>
      <c r="C93" s="113">
        <f>IF(D93='General inputs'!$I$16,0,IF(D93&lt;'General inputs'!$I$16,C94-1,C92+1))</f>
        <v>27</v>
      </c>
      <c r="D93" s="113" t="str">
        <f t="shared" si="1"/>
        <v>2049-50</v>
      </c>
      <c r="E93" s="115">
        <f>IF(LEFT(D93,4)*1&gt;LEFT('General inputs'!$I$16,4)+'General inputs'!$H$38-1,"",'ET inputs'!D66)</f>
        <v>0</v>
      </c>
      <c r="F93" s="115">
        <f>IF(LEFT(D93,4)*1&gt;LEFT('General inputs'!$I$16,4)+'General inputs'!$H$38-1,"",E93/(1+'General inputs'!$H$30)^C93)</f>
        <v>0</v>
      </c>
      <c r="G93" s="115">
        <f>IF(LEFT(D93,4)*1&gt;LEFT('General inputs'!$I$16,4)+'General inputs'!$H$38-1,"",E93/(1+'General inputs'!$H$32)^C93)</f>
        <v>0</v>
      </c>
      <c r="H93" s="115">
        <f>IF(LEFT(D93,4)*1&lt;LEFT('General inputs'!$I$16,4)*1,"",IF(LEFT(D93,4)*1&gt;LEFT('General inputs'!$I$16,4)+'General inputs'!$H$38-1,"",E93/(1+'General inputs'!$H$34)^C93))</f>
        <v>0</v>
      </c>
      <c r="I93" s="93"/>
      <c r="J93" s="153"/>
      <c r="K93" s="153"/>
      <c r="L93" s="115" t="str">
        <f>IF(LEFT(D93,4)*1&gt;LEFT('General inputs'!$I$18,4)*1,"",SUMIF('Post-1996 commissioned assets'!$F$22:$F$3002,$D93,'Post-1996 commissioned assets'!$P$22:$P$3002)*(1+$K$34)*(1+$K$35))</f>
        <v/>
      </c>
      <c r="M93" s="115" t="str">
        <f>IF(L93="","",L93/(1+'General inputs'!$H$32)^C93)</f>
        <v/>
      </c>
      <c r="N93" s="115">
        <f>IF(LEFT(D93,4)*1&lt;LEFT('General inputs'!$I$18,4)*1+1,"",SUMIF('Uncommissioned assets'!$F$22:$F$2036,$D93,'Uncommissioned assets'!$P$22:$P$2036))</f>
        <v>0</v>
      </c>
      <c r="O93" s="115">
        <f>IF(N93="","",N93/(1+'General inputs'!$H$32)^C93)</f>
        <v>0</v>
      </c>
      <c r="P93" s="93"/>
      <c r="Q93" s="121">
        <f>'Reduction amount'!P66</f>
        <v>72544734.423777446</v>
      </c>
      <c r="R93" s="115">
        <f>IF(OR(LEFT(D93,4)*1&lt;LEFT('General inputs'!$I$16,4)*1,LEFT(D93,4)*1&gt;LEFT('General inputs'!$I$16,4)+'General inputs'!$H$38-1),"",Q93/(1+'General inputs'!$H$34)^C93)</f>
        <v>23887873.092334878</v>
      </c>
      <c r="S93" s="93"/>
      <c r="T93" s="121">
        <f>'Reduction amount'!J66</f>
        <v>33077676.323650621</v>
      </c>
      <c r="U93" s="115">
        <f>IF(OR(LEFT(D93,4)*1&lt;LEFT('General inputs'!$I$16,4)*1,LEFT(D93,4)*1&gt;LEFT('General inputs'!$I$16,4)+'General inputs'!$H$38-1),"",T93/(1+'General inputs'!$H$34)^C93)</f>
        <v>10891973.628201922</v>
      </c>
      <c r="V93" s="95"/>
      <c r="W93" s="94"/>
    </row>
    <row r="94" spans="2:23" x14ac:dyDescent="0.25">
      <c r="B94" s="68"/>
      <c r="C94" s="113">
        <f>IF(D94='General inputs'!$I$16,0,IF(D94&lt;'General inputs'!$I$16,C95-1,C93+1))</f>
        <v>28</v>
      </c>
      <c r="D94" s="113" t="str">
        <f t="shared" si="1"/>
        <v>2050-51</v>
      </c>
      <c r="E94" s="115">
        <f>IF(LEFT(D94,4)*1&gt;LEFT('General inputs'!$I$16,4)+'General inputs'!$H$38-1,"",'ET inputs'!D67)</f>
        <v>0</v>
      </c>
      <c r="F94" s="115">
        <f>IF(LEFT(D94,4)*1&gt;LEFT('General inputs'!$I$16,4)+'General inputs'!$H$38-1,"",E94/(1+'General inputs'!$H$30)^C94)</f>
        <v>0</v>
      </c>
      <c r="G94" s="115">
        <f>IF(LEFT(D94,4)*1&gt;LEFT('General inputs'!$I$16,4)+'General inputs'!$H$38-1,"",E94/(1+'General inputs'!$H$32)^C94)</f>
        <v>0</v>
      </c>
      <c r="H94" s="115">
        <f>IF(LEFT(D94,4)*1&lt;LEFT('General inputs'!$I$16,4)*1,"",IF(LEFT(D94,4)*1&gt;LEFT('General inputs'!$I$16,4)+'General inputs'!$H$38-1,"",E94/(1+'General inputs'!$H$34)^C94))</f>
        <v>0</v>
      </c>
      <c r="I94" s="93"/>
      <c r="J94" s="153"/>
      <c r="K94" s="153"/>
      <c r="L94" s="115" t="str">
        <f>IF(LEFT(D94,4)*1&gt;LEFT('General inputs'!$I$18,4)*1,"",SUMIF('Post-1996 commissioned assets'!$F$22:$F$3002,$D94,'Post-1996 commissioned assets'!$P$22:$P$3002)*(1+$K$34)*(1+$K$35))</f>
        <v/>
      </c>
      <c r="M94" s="115" t="str">
        <f>IF(L94="","",L94/(1+'General inputs'!$H$32)^C94)</f>
        <v/>
      </c>
      <c r="N94" s="115">
        <f>IF(LEFT(D94,4)*1&lt;LEFT('General inputs'!$I$18,4)*1+1,"",SUMIF('Uncommissioned assets'!$F$22:$F$2036,$D94,'Uncommissioned assets'!$P$22:$P$2036))</f>
        <v>0</v>
      </c>
      <c r="O94" s="115">
        <f>IF(N94="","",N94/(1+'General inputs'!$H$32)^C94)</f>
        <v>0</v>
      </c>
      <c r="P94" s="93"/>
      <c r="Q94" s="121">
        <f>'Reduction amount'!P67</f>
        <v>72544734.423777446</v>
      </c>
      <c r="R94" s="115">
        <f>IF(OR(LEFT(D94,4)*1&lt;LEFT('General inputs'!$I$16,4)*1,LEFT(D94,4)*1&gt;LEFT('General inputs'!$I$16,4)+'General inputs'!$H$38-1),"",Q94/(1+'General inputs'!$H$34)^C94)</f>
        <v>22925022.161549784</v>
      </c>
      <c r="S94" s="93"/>
      <c r="T94" s="121">
        <f>'Reduction amount'!J67</f>
        <v>33050280.005236827</v>
      </c>
      <c r="U94" s="115">
        <f>IF(OR(LEFT(D94,4)*1&lt;LEFT('General inputs'!$I$16,4)*1,LEFT(D94,4)*1&gt;LEFT('General inputs'!$I$16,4)+'General inputs'!$H$38-1),"",T94/(1+'General inputs'!$H$34)^C94)</f>
        <v>10444292.16791152</v>
      </c>
      <c r="V94" s="95"/>
      <c r="W94" s="94"/>
    </row>
    <row r="95" spans="2:23" x14ac:dyDescent="0.25">
      <c r="B95" s="68"/>
      <c r="C95" s="113">
        <f>IF(D95='General inputs'!$I$16,0,IF(D95&lt;'General inputs'!$I$16,C96-1,C94+1))</f>
        <v>29</v>
      </c>
      <c r="D95" s="113" t="str">
        <f t="shared" si="1"/>
        <v>2051-52</v>
      </c>
      <c r="E95" s="115">
        <f>IF(LEFT(D95,4)*1&gt;LEFT('General inputs'!$I$16,4)+'General inputs'!$H$38-1,"",'ET inputs'!D68)</f>
        <v>0</v>
      </c>
      <c r="F95" s="115">
        <f>IF(LEFT(D95,4)*1&gt;LEFT('General inputs'!$I$16,4)+'General inputs'!$H$38-1,"",E95/(1+'General inputs'!$H$30)^C95)</f>
        <v>0</v>
      </c>
      <c r="G95" s="115">
        <f>IF(LEFT(D95,4)*1&gt;LEFT('General inputs'!$I$16,4)+'General inputs'!$H$38-1,"",E95/(1+'General inputs'!$H$32)^C95)</f>
        <v>0</v>
      </c>
      <c r="H95" s="115">
        <f>IF(LEFT(D95,4)*1&lt;LEFT('General inputs'!$I$16,4)*1,"",IF(LEFT(D95,4)*1&gt;LEFT('General inputs'!$I$16,4)+'General inputs'!$H$38-1,"",E95/(1+'General inputs'!$H$34)^C95))</f>
        <v>0</v>
      </c>
      <c r="I95" s="93"/>
      <c r="J95" s="153"/>
      <c r="K95" s="153"/>
      <c r="L95" s="115" t="str">
        <f>IF(LEFT(D95,4)*1&gt;LEFT('General inputs'!$I$18,4)*1,"",SUMIF('Post-1996 commissioned assets'!$F$22:$F$3002,$D95,'Post-1996 commissioned assets'!$P$22:$P$3002)*(1+$K$34)*(1+$K$35))</f>
        <v/>
      </c>
      <c r="M95" s="115" t="str">
        <f>IF(L95="","",L95/(1+'General inputs'!$H$32)^C95)</f>
        <v/>
      </c>
      <c r="N95" s="115">
        <f>IF(LEFT(D95,4)*1&lt;LEFT('General inputs'!$I$18,4)*1+1,"",SUMIF('Uncommissioned assets'!$F$22:$F$2036,$D95,'Uncommissioned assets'!$P$22:$P$2036))</f>
        <v>0</v>
      </c>
      <c r="O95" s="115">
        <f>IF(N95="","",N95/(1+'General inputs'!$H$32)^C95)</f>
        <v>0</v>
      </c>
      <c r="P95" s="93"/>
      <c r="Q95" s="121">
        <f>'Reduction amount'!P68</f>
        <v>72544734.423777446</v>
      </c>
      <c r="R95" s="115">
        <f>IF(OR(LEFT(D95,4)*1&lt;LEFT('General inputs'!$I$16,4)*1,LEFT(D95,4)*1&gt;LEFT('General inputs'!$I$16,4)+'General inputs'!$H$38-1),"",Q95/(1+'General inputs'!$H$34)^C95)</f>
        <v>22000980.961180214</v>
      </c>
      <c r="S95" s="93"/>
      <c r="T95" s="121">
        <f>'Reduction amount'!J68</f>
        <v>33022989.940811373</v>
      </c>
      <c r="U95" s="115">
        <f>IF(OR(LEFT(D95,4)*1&lt;LEFT('General inputs'!$I$16,4)*1,LEFT(D95,4)*1&gt;LEFT('General inputs'!$I$16,4)+'General inputs'!$H$38-1),"",T95/(1+'General inputs'!$H$34)^C95)</f>
        <v>10015036.635531534</v>
      </c>
      <c r="V95" s="95"/>
      <c r="W95" s="94"/>
    </row>
    <row r="96" spans="2:23" x14ac:dyDescent="0.25">
      <c r="B96" s="68"/>
      <c r="C96" s="113">
        <f>IF(D96='General inputs'!$I$16,0,IF(D96&lt;'General inputs'!$I$16,C97-1,C95+1))</f>
        <v>30</v>
      </c>
      <c r="D96" s="113" t="str">
        <f t="shared" si="1"/>
        <v>2052-53</v>
      </c>
      <c r="E96" s="115" t="str">
        <f>IF(LEFT(D96,4)*1&gt;LEFT('General inputs'!$I$16,4)+'General inputs'!$H$38-1,"",'ET inputs'!D69)</f>
        <v/>
      </c>
      <c r="F96" s="115" t="str">
        <f>IF(LEFT(D96,4)*1&gt;LEFT('General inputs'!$I$16,4)+'General inputs'!$H$38-1,"",E96/(1+'General inputs'!$H$30)^C96)</f>
        <v/>
      </c>
      <c r="G96" s="115" t="str">
        <f>IF(LEFT(D96,4)*1&gt;LEFT('General inputs'!$I$16,4)+'General inputs'!$H$38-1,"",E96/(1+'General inputs'!$H$32)^C96)</f>
        <v/>
      </c>
      <c r="H96" s="115" t="str">
        <f>IF(LEFT(D96,4)*1&lt;LEFT('General inputs'!$I$16,4)*1,"",IF(LEFT(D96,4)*1&gt;LEFT('General inputs'!$I$16,4)+'General inputs'!$H$38-1,"",E96/(1+'General inputs'!$H$34)^C96))</f>
        <v/>
      </c>
      <c r="I96" s="93"/>
      <c r="J96" s="153"/>
      <c r="K96" s="153"/>
      <c r="L96" s="115" t="str">
        <f>IF(LEFT(D96,4)*1&gt;LEFT('General inputs'!$I$18,4)*1,"",SUMIF('Post-1996 commissioned assets'!$F$22:$F$3002,$D96,'Post-1996 commissioned assets'!$P$22:$P$3002)*(1+$K$34)*(1+$K$35))</f>
        <v/>
      </c>
      <c r="M96" s="115" t="str">
        <f>IF(L96="","",L96/(1+'General inputs'!$H$32)^C96)</f>
        <v/>
      </c>
      <c r="N96" s="115">
        <f>IF(LEFT(D96,4)*1&lt;LEFT('General inputs'!$I$18,4)*1+1,"",SUMIF('Uncommissioned assets'!$F$22:$F$2036,$D96,'Uncommissioned assets'!$P$22:$P$2036))</f>
        <v>0</v>
      </c>
      <c r="O96" s="115">
        <f>IF(N96="","",N96/(1+'General inputs'!$H$32)^C96)</f>
        <v>0</v>
      </c>
      <c r="P96" s="93"/>
      <c r="Q96" s="122"/>
      <c r="R96" s="115" t="str">
        <f>IF(OR(LEFT(D96,4)*1&lt;LEFT('General inputs'!$I$16,4)*1,LEFT(D96,4)*1&gt;LEFT('General inputs'!$I$16,4)+'General inputs'!$H$38-1),"",Q96/(1+'General inputs'!$H$34)^C96)</f>
        <v/>
      </c>
      <c r="S96" s="93"/>
      <c r="T96" s="122"/>
      <c r="U96" s="115" t="str">
        <f>IF(OR(LEFT(D96,4)*1&lt;LEFT('General inputs'!$I$16,4)*1,LEFT(D96,4)*1&gt;LEFT('General inputs'!$I$16,4)+'General inputs'!$H$38-1),"",T96/(1+'General inputs'!$H$34)^C96)</f>
        <v/>
      </c>
      <c r="V96" s="95"/>
      <c r="W96" s="94"/>
    </row>
    <row r="97" spans="2:23" x14ac:dyDescent="0.25">
      <c r="B97" s="68"/>
      <c r="C97" s="113">
        <f>IF(D97='General inputs'!$I$16,0,IF(D97&lt;'General inputs'!$I$16,C98-1,C96+1))</f>
        <v>31</v>
      </c>
      <c r="D97" s="113" t="str">
        <f t="shared" si="1"/>
        <v>2053-54</v>
      </c>
      <c r="E97" s="115" t="str">
        <f>IF(LEFT(D97,4)*1&gt;LEFT('General inputs'!$I$16,4)+'General inputs'!$H$38-1,"",'ET inputs'!D70)</f>
        <v/>
      </c>
      <c r="F97" s="115" t="str">
        <f>IF(LEFT(D97,4)*1&gt;LEFT('General inputs'!$I$16,4)+'General inputs'!$H$38-1,"",E97/(1+'General inputs'!$H$30)^C97)</f>
        <v/>
      </c>
      <c r="G97" s="115" t="str">
        <f>IF(LEFT(D97,4)*1&gt;LEFT('General inputs'!$I$16,4)+'General inputs'!$H$38-1,"",E97/(1+'General inputs'!$H$32)^C97)</f>
        <v/>
      </c>
      <c r="H97" s="115" t="str">
        <f>IF(LEFT(D97,4)*1&lt;LEFT('General inputs'!$I$16,4)*1,"",IF(LEFT(D97,4)*1&gt;LEFT('General inputs'!$I$16,4)+'General inputs'!$H$38-1,"",E97/(1+'General inputs'!$H$34)^C97))</f>
        <v/>
      </c>
      <c r="I97" s="93"/>
      <c r="J97" s="153"/>
      <c r="K97" s="153"/>
      <c r="L97" s="115" t="str">
        <f>IF(LEFT(D97,4)*1&gt;LEFT('General inputs'!$I$18,4)*1,"",SUMIF('Post-1996 commissioned assets'!$F$22:$F$3002,$D97,'Post-1996 commissioned assets'!$P$22:$P$3002)*(1+$K$34)*(1+$K$35))</f>
        <v/>
      </c>
      <c r="M97" s="115" t="str">
        <f>IF(L97="","",L97/(1+'General inputs'!$H$32)^C97)</f>
        <v/>
      </c>
      <c r="N97" s="115">
        <f>IF(LEFT(D97,4)*1&lt;LEFT('General inputs'!$I$18,4)*1+1,"",SUMIF('Uncommissioned assets'!$F$22:$F$2036,$D97,'Uncommissioned assets'!$P$22:$P$2036))</f>
        <v>0</v>
      </c>
      <c r="O97" s="115">
        <f>IF(N97="","",N97/(1+'General inputs'!$H$32)^C97)</f>
        <v>0</v>
      </c>
      <c r="P97" s="93"/>
      <c r="Q97" s="122"/>
      <c r="R97" s="115" t="str">
        <f>IF(OR(LEFT(D97,4)*1&lt;LEFT('General inputs'!$I$16,4)*1,LEFT(D97,4)*1&gt;LEFT('General inputs'!$I$16,4)+'General inputs'!$H$38-1),"",Q97/(1+'General inputs'!$H$34)^C97)</f>
        <v/>
      </c>
      <c r="S97" s="93"/>
      <c r="T97" s="122"/>
      <c r="U97" s="115" t="str">
        <f>IF(OR(LEFT(D97,4)*1&lt;LEFT('General inputs'!$I$16,4)*1,LEFT(D97,4)*1&gt;LEFT('General inputs'!$I$16,4)+'General inputs'!$H$38-1),"",T97/(1+'General inputs'!$H$34)^C97)</f>
        <v/>
      </c>
      <c r="V97" s="95"/>
      <c r="W97" s="94"/>
    </row>
    <row r="98" spans="2:23" x14ac:dyDescent="0.25">
      <c r="B98" s="68"/>
      <c r="C98" s="113">
        <f>IF(D98='General inputs'!$I$16,0,IF(D98&lt;'General inputs'!$I$16,C99-1,C97+1))</f>
        <v>32</v>
      </c>
      <c r="D98" s="113" t="str">
        <f t="shared" si="1"/>
        <v>2054-55</v>
      </c>
      <c r="E98" s="115" t="str">
        <f>IF(LEFT(D98,4)*1&gt;LEFT('General inputs'!$I$16,4)+'General inputs'!$H$38-1,"",'ET inputs'!D71)</f>
        <v/>
      </c>
      <c r="F98" s="115" t="str">
        <f>IF(LEFT(D98,4)*1&gt;LEFT('General inputs'!$I$16,4)+'General inputs'!$H$38-1,"",E98/(1+'General inputs'!$H$30)^C98)</f>
        <v/>
      </c>
      <c r="G98" s="115" t="str">
        <f>IF(LEFT(D98,4)*1&gt;LEFT('General inputs'!$I$16,4)+'General inputs'!$H$38-1,"",E98/(1+'General inputs'!$H$32)^C98)</f>
        <v/>
      </c>
      <c r="H98" s="115" t="str">
        <f>IF(LEFT(D98,4)*1&lt;LEFT('General inputs'!$I$16,4)*1,"",IF(LEFT(D98,4)*1&gt;LEFT('General inputs'!$I$16,4)+'General inputs'!$H$38-1,"",E98/(1+'General inputs'!$H$34)^C98))</f>
        <v/>
      </c>
      <c r="I98" s="93"/>
      <c r="J98" s="153"/>
      <c r="K98" s="153"/>
      <c r="L98" s="115" t="str">
        <f>IF(LEFT(D98,4)*1&gt;LEFT('General inputs'!$I$18,4)*1,"",SUMIF('Post-1996 commissioned assets'!$F$22:$F$3002,$D98,'Post-1996 commissioned assets'!$P$22:$P$3002)*(1+$K$34)*(1+$K$35))</f>
        <v/>
      </c>
      <c r="M98" s="115" t="str">
        <f>IF(L98="","",L98/(1+'General inputs'!$H$32)^C98)</f>
        <v/>
      </c>
      <c r="N98" s="115">
        <f>IF(LEFT(D98,4)*1&lt;LEFT('General inputs'!$I$18,4)*1+1,"",SUMIF('Uncommissioned assets'!$F$22:$F$2036,$D98,'Uncommissioned assets'!$P$22:$P$2036))</f>
        <v>0</v>
      </c>
      <c r="O98" s="115">
        <f>IF(N98="","",N98/(1+'General inputs'!$H$32)^C98)</f>
        <v>0</v>
      </c>
      <c r="P98" s="93"/>
      <c r="Q98" s="122"/>
      <c r="R98" s="115" t="str">
        <f>IF(OR(LEFT(D98,4)*1&lt;LEFT('General inputs'!$I$16,4)*1,LEFT(D98,4)*1&gt;LEFT('General inputs'!$I$16,4)+'General inputs'!$H$38-1),"",Q98/(1+'General inputs'!$H$34)^C98)</f>
        <v/>
      </c>
      <c r="S98" s="93"/>
      <c r="T98" s="122"/>
      <c r="U98" s="115" t="str">
        <f>IF(OR(LEFT(D98,4)*1&lt;LEFT('General inputs'!$I$16,4)*1,LEFT(D98,4)*1&gt;LEFT('General inputs'!$I$16,4)+'General inputs'!$H$38-1),"",T98/(1+'General inputs'!$H$34)^C98)</f>
        <v/>
      </c>
      <c r="V98" s="95"/>
      <c r="W98" s="94"/>
    </row>
    <row r="99" spans="2:23" x14ac:dyDescent="0.25">
      <c r="B99" s="68"/>
      <c r="C99" s="113">
        <f>IF(D99='General inputs'!$I$16,0,IF(D99&lt;'General inputs'!$I$16,C100-1,C98+1))</f>
        <v>33</v>
      </c>
      <c r="D99" s="113" t="str">
        <f t="shared" si="1"/>
        <v>2055-56</v>
      </c>
      <c r="E99" s="115" t="str">
        <f>IF(LEFT(D99,4)*1&gt;LEFT('General inputs'!$I$16,4)+'General inputs'!$H$38-1,"",'ET inputs'!D72)</f>
        <v/>
      </c>
      <c r="F99" s="115" t="str">
        <f>IF(LEFT(D99,4)*1&gt;LEFT('General inputs'!$I$16,4)+'General inputs'!$H$38-1,"",E99/(1+'General inputs'!$H$30)^C99)</f>
        <v/>
      </c>
      <c r="G99" s="115" t="str">
        <f>IF(LEFT(D99,4)*1&gt;LEFT('General inputs'!$I$16,4)+'General inputs'!$H$38-1,"",E99/(1+'General inputs'!$H$32)^C99)</f>
        <v/>
      </c>
      <c r="H99" s="115" t="str">
        <f>IF(LEFT(D99,4)*1&lt;LEFT('General inputs'!$I$16,4)*1,"",IF(LEFT(D99,4)*1&gt;LEFT('General inputs'!$I$16,4)+'General inputs'!$H$38-1,"",E99/(1+'General inputs'!$H$34)^C99))</f>
        <v/>
      </c>
      <c r="I99" s="93"/>
      <c r="J99" s="153"/>
      <c r="K99" s="153"/>
      <c r="L99" s="115" t="str">
        <f>IF(LEFT(D99,4)*1&gt;LEFT('General inputs'!$I$18,4)*1,"",SUMIF('Post-1996 commissioned assets'!$F$22:$F$3002,$D99,'Post-1996 commissioned assets'!$P$22:$P$3002)*(1+$K$34)*(1+$K$35))</f>
        <v/>
      </c>
      <c r="M99" s="115" t="str">
        <f>IF(L99="","",L99/(1+'General inputs'!$H$32)^C99)</f>
        <v/>
      </c>
      <c r="N99" s="115">
        <f>IF(LEFT(D99,4)*1&lt;LEFT('General inputs'!$I$18,4)*1+1,"",SUMIF('Uncommissioned assets'!$F$22:$F$2036,$D99,'Uncommissioned assets'!$P$22:$P$2036))</f>
        <v>0</v>
      </c>
      <c r="O99" s="115">
        <f>IF(N99="","",N99/(1+'General inputs'!$H$32)^C99)</f>
        <v>0</v>
      </c>
      <c r="P99" s="93"/>
      <c r="Q99" s="122"/>
      <c r="R99" s="115" t="str">
        <f>IF(OR(LEFT(D99,4)*1&lt;LEFT('General inputs'!$I$16,4)*1,LEFT(D99,4)*1&gt;LEFT('General inputs'!$I$16,4)+'General inputs'!$H$38-1),"",Q99/(1+'General inputs'!$H$34)^C99)</f>
        <v/>
      </c>
      <c r="S99" s="93"/>
      <c r="T99" s="122"/>
      <c r="U99" s="115" t="str">
        <f>IF(OR(LEFT(D99,4)*1&lt;LEFT('General inputs'!$I$16,4)*1,LEFT(D99,4)*1&gt;LEFT('General inputs'!$I$16,4)+'General inputs'!$H$38-1),"",T99/(1+'General inputs'!$H$34)^C99)</f>
        <v/>
      </c>
      <c r="V99" s="95"/>
      <c r="W99" s="94"/>
    </row>
    <row r="100" spans="2:23" x14ac:dyDescent="0.25">
      <c r="B100" s="68"/>
      <c r="C100" s="113">
        <f>IF(D100='General inputs'!$I$16,0,IF(D100&lt;'General inputs'!$I$16,C101-1,C99+1))</f>
        <v>34</v>
      </c>
      <c r="D100" s="113" t="str">
        <f t="shared" ref="D100:D122" si="3">LEFT(D99,4)+1&amp;"-"&amp;RIGHT(D99,2)+1</f>
        <v>2056-57</v>
      </c>
      <c r="E100" s="115" t="str">
        <f>IF(LEFT(D100,4)*1&gt;LEFT('General inputs'!$I$16,4)+'General inputs'!$H$38-1,"",'ET inputs'!D73)</f>
        <v/>
      </c>
      <c r="F100" s="115" t="str">
        <f>IF(LEFT(D100,4)*1&gt;LEFT('General inputs'!$I$16,4)+'General inputs'!$H$38-1,"",E100/(1+'General inputs'!$H$30)^C100)</f>
        <v/>
      </c>
      <c r="G100" s="115" t="str">
        <f>IF(LEFT(D100,4)*1&gt;LEFT('General inputs'!$I$16,4)+'General inputs'!$H$38-1,"",E100/(1+'General inputs'!$H$32)^C100)</f>
        <v/>
      </c>
      <c r="H100" s="115" t="str">
        <f>IF(LEFT(D100,4)*1&lt;LEFT('General inputs'!$I$16,4)*1,"",IF(LEFT(D100,4)*1&gt;LEFT('General inputs'!$I$16,4)+'General inputs'!$H$38-1,"",E100/(1+'General inputs'!$H$34)^C100))</f>
        <v/>
      </c>
      <c r="I100" s="93"/>
      <c r="J100" s="153"/>
      <c r="K100" s="153"/>
      <c r="L100" s="115" t="str">
        <f>IF(LEFT(D100,4)*1&gt;LEFT('General inputs'!$I$18,4)*1,"",SUMIF('Post-1996 commissioned assets'!$F$22:$F$3002,$D100,'Post-1996 commissioned assets'!$P$22:$P$3002)*(1+$K$34)*(1+$K$35))</f>
        <v/>
      </c>
      <c r="M100" s="115" t="str">
        <f>IF(L100="","",L100/(1+'General inputs'!$H$32)^C100)</f>
        <v/>
      </c>
      <c r="N100" s="115">
        <f>IF(LEFT(D100,4)*1&lt;LEFT('General inputs'!$I$18,4)*1+1,"",SUMIF('Uncommissioned assets'!$F$22:$F$2036,$D100,'Uncommissioned assets'!$P$22:$P$2036))</f>
        <v>0</v>
      </c>
      <c r="O100" s="115">
        <f>IF(N100="","",N100/(1+'General inputs'!$H$32)^C100)</f>
        <v>0</v>
      </c>
      <c r="P100" s="93"/>
      <c r="Q100" s="122"/>
      <c r="R100" s="115" t="str">
        <f>IF(OR(LEFT(D100,4)*1&lt;LEFT('General inputs'!$I$16,4)*1,LEFT(D100,4)*1&gt;LEFT('General inputs'!$I$16,4)+'General inputs'!$H$38-1),"",Q100/(1+'General inputs'!$H$34)^C100)</f>
        <v/>
      </c>
      <c r="S100" s="93"/>
      <c r="T100" s="122"/>
      <c r="U100" s="115" t="str">
        <f>IF(OR(LEFT(D100,4)*1&lt;LEFT('General inputs'!$I$16,4)*1,LEFT(D100,4)*1&gt;LEFT('General inputs'!$I$16,4)+'General inputs'!$H$38-1),"",T100/(1+'General inputs'!$H$34)^C100)</f>
        <v/>
      </c>
      <c r="V100" s="95"/>
      <c r="W100" s="94"/>
    </row>
    <row r="101" spans="2:23" x14ac:dyDescent="0.25">
      <c r="B101" s="68"/>
      <c r="C101" s="113">
        <f>IF(D101='General inputs'!$I$16,0,IF(D101&lt;'General inputs'!$I$16,C102-1,C100+1))</f>
        <v>35</v>
      </c>
      <c r="D101" s="113" t="str">
        <f t="shared" si="3"/>
        <v>2057-58</v>
      </c>
      <c r="E101" s="115" t="str">
        <f>IF(LEFT(D101,4)*1&gt;LEFT('General inputs'!$I$16,4)+'General inputs'!$H$38-1,"",'ET inputs'!D74)</f>
        <v/>
      </c>
      <c r="F101" s="115" t="str">
        <f>IF(LEFT(D101,4)*1&gt;LEFT('General inputs'!$I$16,4)+'General inputs'!$H$38-1,"",E101/(1+'General inputs'!$H$30)^C101)</f>
        <v/>
      </c>
      <c r="G101" s="115" t="str">
        <f>IF(LEFT(D101,4)*1&gt;LEFT('General inputs'!$I$16,4)+'General inputs'!$H$38-1,"",E101/(1+'General inputs'!$H$32)^C101)</f>
        <v/>
      </c>
      <c r="H101" s="115" t="str">
        <f>IF(LEFT(D101,4)*1&lt;LEFT('General inputs'!$I$16,4)*1,"",IF(LEFT(D101,4)*1&gt;LEFT('General inputs'!$I$16,4)+'General inputs'!$H$38-1,"",E101/(1+'General inputs'!$H$34)^C101))</f>
        <v/>
      </c>
      <c r="I101" s="93"/>
      <c r="J101" s="153"/>
      <c r="K101" s="153"/>
      <c r="L101" s="115" t="str">
        <f>IF(LEFT(D101,4)*1&gt;LEFT('General inputs'!$I$18,4)*1,"",SUMIF('Post-1996 commissioned assets'!$F$22:$F$3002,$D101,'Post-1996 commissioned assets'!$P$22:$P$3002)*(1+$K$34)*(1+$K$35))</f>
        <v/>
      </c>
      <c r="M101" s="115" t="str">
        <f>IF(L101="","",L101/(1+'General inputs'!$H$32)^C101)</f>
        <v/>
      </c>
      <c r="N101" s="115">
        <f>IF(LEFT(D101,4)*1&lt;LEFT('General inputs'!$I$18,4)*1+1,"",SUMIF('Uncommissioned assets'!$F$22:$F$2036,$D101,'Uncommissioned assets'!$P$22:$P$2036))</f>
        <v>0</v>
      </c>
      <c r="O101" s="115">
        <f>IF(N101="","",N101/(1+'General inputs'!$H$32)^C101)</f>
        <v>0</v>
      </c>
      <c r="P101" s="93"/>
      <c r="Q101" s="122"/>
      <c r="R101" s="115" t="str">
        <f>IF(OR(LEFT(D101,4)*1&lt;LEFT('General inputs'!$I$16,4)*1,LEFT(D101,4)*1&gt;LEFT('General inputs'!$I$16,4)+'General inputs'!$H$38-1),"",Q101/(1+'General inputs'!$H$34)^C101)</f>
        <v/>
      </c>
      <c r="S101" s="93"/>
      <c r="T101" s="122"/>
      <c r="U101" s="115" t="str">
        <f>IF(OR(LEFT(D101,4)*1&lt;LEFT('General inputs'!$I$16,4)*1,LEFT(D101,4)*1&gt;LEFT('General inputs'!$I$16,4)+'General inputs'!$H$38-1),"",T101/(1+'General inputs'!$H$34)^C101)</f>
        <v/>
      </c>
      <c r="V101" s="95"/>
      <c r="W101" s="94"/>
    </row>
    <row r="102" spans="2:23" x14ac:dyDescent="0.25">
      <c r="B102" s="68"/>
      <c r="C102" s="113">
        <f>IF(D102='General inputs'!$I$16,0,IF(D102&lt;'General inputs'!$I$16,C103-1,C101+1))</f>
        <v>36</v>
      </c>
      <c r="D102" s="113" t="str">
        <f t="shared" si="3"/>
        <v>2058-59</v>
      </c>
      <c r="E102" s="115" t="str">
        <f>IF(LEFT(D102,4)*1&gt;LEFT('General inputs'!$I$16,4)+'General inputs'!$H$38-1,"",'ET inputs'!D75)</f>
        <v/>
      </c>
      <c r="F102" s="115" t="str">
        <f>IF(LEFT(D102,4)*1&gt;LEFT('General inputs'!$I$16,4)+'General inputs'!$H$38-1,"",E102/(1+'General inputs'!$H$30)^C102)</f>
        <v/>
      </c>
      <c r="G102" s="115" t="str">
        <f>IF(LEFT(D102,4)*1&gt;LEFT('General inputs'!$I$16,4)+'General inputs'!$H$38-1,"",E102/(1+'General inputs'!$H$32)^C102)</f>
        <v/>
      </c>
      <c r="H102" s="115" t="str">
        <f>IF(LEFT(D102,4)*1&lt;LEFT('General inputs'!$I$16,4)*1,"",IF(LEFT(D102,4)*1&gt;LEFT('General inputs'!$I$16,4)+'General inputs'!$H$38-1,"",E102/(1+'General inputs'!$H$34)^C102))</f>
        <v/>
      </c>
      <c r="I102" s="93"/>
      <c r="J102" s="153"/>
      <c r="K102" s="153"/>
      <c r="L102" s="115" t="str">
        <f>IF(LEFT(D102,4)*1&gt;LEFT('General inputs'!$I$18,4)*1,"",SUMIF('Post-1996 commissioned assets'!$F$22:$F$3002,$D102,'Post-1996 commissioned assets'!$P$22:$P$3002)*(1+$K$34)*(1+$K$35))</f>
        <v/>
      </c>
      <c r="M102" s="115" t="str">
        <f>IF(L102="","",L102/(1+'General inputs'!$H$32)^C102)</f>
        <v/>
      </c>
      <c r="N102" s="115">
        <f>IF(LEFT(D102,4)*1&lt;LEFT('General inputs'!$I$18,4)*1+1,"",SUMIF('Uncommissioned assets'!$F$22:$F$2036,$D102,'Uncommissioned assets'!$P$22:$P$2036))</f>
        <v>0</v>
      </c>
      <c r="O102" s="115">
        <f>IF(N102="","",N102/(1+'General inputs'!$H$32)^C102)</f>
        <v>0</v>
      </c>
      <c r="P102" s="93"/>
      <c r="Q102" s="122"/>
      <c r="R102" s="115" t="str">
        <f>IF(OR(LEFT(D102,4)*1&lt;LEFT('General inputs'!$I$16,4)*1,LEFT(D102,4)*1&gt;LEFT('General inputs'!$I$16,4)+'General inputs'!$H$38-1),"",Q102/(1+'General inputs'!$H$34)^C102)</f>
        <v/>
      </c>
      <c r="S102" s="93"/>
      <c r="T102" s="122"/>
      <c r="U102" s="115" t="str">
        <f>IF(OR(LEFT(D102,4)*1&lt;LEFT('General inputs'!$I$16,4)*1,LEFT(D102,4)*1&gt;LEFT('General inputs'!$I$16,4)+'General inputs'!$H$38-1),"",T102/(1+'General inputs'!$H$34)^C102)</f>
        <v/>
      </c>
      <c r="V102" s="95"/>
      <c r="W102" s="94"/>
    </row>
    <row r="103" spans="2:23" x14ac:dyDescent="0.25">
      <c r="B103" s="68"/>
      <c r="C103" s="113">
        <f>IF(D103='General inputs'!$I$16,0,IF(D103&lt;'General inputs'!$I$16,C104-1,C102+1))</f>
        <v>37</v>
      </c>
      <c r="D103" s="113" t="str">
        <f t="shared" si="3"/>
        <v>2059-60</v>
      </c>
      <c r="E103" s="115" t="str">
        <f>IF(LEFT(D103,4)*1&gt;LEFT('General inputs'!$I$16,4)+'General inputs'!$H$38-1,"",'ET inputs'!D76)</f>
        <v/>
      </c>
      <c r="F103" s="115" t="str">
        <f>IF(LEFT(D103,4)*1&gt;LEFT('General inputs'!$I$16,4)+'General inputs'!$H$38-1,"",E103/(1+'General inputs'!$H$30)^C103)</f>
        <v/>
      </c>
      <c r="G103" s="115" t="str">
        <f>IF(LEFT(D103,4)*1&gt;LEFT('General inputs'!$I$16,4)+'General inputs'!$H$38-1,"",E103/(1+'General inputs'!$H$32)^C103)</f>
        <v/>
      </c>
      <c r="H103" s="115" t="str">
        <f>IF(LEFT(D103,4)*1&lt;LEFT('General inputs'!$I$16,4)*1,"",IF(LEFT(D103,4)*1&gt;LEFT('General inputs'!$I$16,4)+'General inputs'!$H$38-1,"",E103/(1+'General inputs'!$H$34)^C103))</f>
        <v/>
      </c>
      <c r="I103" s="93"/>
      <c r="J103" s="153"/>
      <c r="K103" s="153"/>
      <c r="L103" s="115" t="str">
        <f>IF(LEFT(D103,4)*1&gt;LEFT('General inputs'!$I$18,4)*1,"",SUMIF('Post-1996 commissioned assets'!$F$22:$F$3002,$D103,'Post-1996 commissioned assets'!$P$22:$P$3002)*(1+$K$34)*(1+$K$35))</f>
        <v/>
      </c>
      <c r="M103" s="115" t="str">
        <f>IF(L103="","",L103/(1+'General inputs'!$H$32)^C103)</f>
        <v/>
      </c>
      <c r="N103" s="115">
        <f>IF(LEFT(D103,4)*1&lt;LEFT('General inputs'!$I$18,4)*1+1,"",SUMIF('Uncommissioned assets'!$F$22:$F$2036,$D103,'Uncommissioned assets'!$P$22:$P$2036))</f>
        <v>0</v>
      </c>
      <c r="O103" s="115">
        <f>IF(N103="","",N103/(1+'General inputs'!$H$32)^C103)</f>
        <v>0</v>
      </c>
      <c r="P103" s="93"/>
      <c r="Q103" s="122"/>
      <c r="R103" s="115" t="str">
        <f>IF(OR(LEFT(D103,4)*1&lt;LEFT('General inputs'!$I$16,4)*1,LEFT(D103,4)*1&gt;LEFT('General inputs'!$I$16,4)+'General inputs'!$H$38-1),"",Q103/(1+'General inputs'!$H$34)^C103)</f>
        <v/>
      </c>
      <c r="S103" s="93"/>
      <c r="T103" s="122"/>
      <c r="U103" s="115" t="str">
        <f>IF(OR(LEFT(D103,4)*1&lt;LEFT('General inputs'!$I$16,4)*1,LEFT(D103,4)*1&gt;LEFT('General inputs'!$I$16,4)+'General inputs'!$H$38-1),"",T103/(1+'General inputs'!$H$34)^C103)</f>
        <v/>
      </c>
      <c r="V103" s="95"/>
      <c r="W103" s="94"/>
    </row>
    <row r="104" spans="2:23" x14ac:dyDescent="0.25">
      <c r="B104" s="68"/>
      <c r="C104" s="113">
        <f>IF(D104='General inputs'!$I$16,0,IF(D104&lt;'General inputs'!$I$16,C105-1,C103+1))</f>
        <v>38</v>
      </c>
      <c r="D104" s="113" t="str">
        <f t="shared" si="3"/>
        <v>2060-61</v>
      </c>
      <c r="E104" s="115" t="str">
        <f>IF(LEFT(D104,4)*1&gt;LEFT('General inputs'!$I$16,4)+'General inputs'!$H$38-1,"",'ET inputs'!D77)</f>
        <v/>
      </c>
      <c r="F104" s="115" t="str">
        <f>IF(LEFT(D104,4)*1&gt;LEFT('General inputs'!$I$16,4)+'General inputs'!$H$38-1,"",E104/(1+'General inputs'!$H$30)^C104)</f>
        <v/>
      </c>
      <c r="G104" s="115" t="str">
        <f>IF(LEFT(D104,4)*1&gt;LEFT('General inputs'!$I$16,4)+'General inputs'!$H$38-1,"",E104/(1+'General inputs'!$H$32)^C104)</f>
        <v/>
      </c>
      <c r="H104" s="115" t="str">
        <f>IF(LEFT(D104,4)*1&lt;LEFT('General inputs'!$I$16,4)*1,"",IF(LEFT(D104,4)*1&gt;LEFT('General inputs'!$I$16,4)+'General inputs'!$H$38-1,"",E104/(1+'General inputs'!$H$34)^C104))</f>
        <v/>
      </c>
      <c r="I104" s="93"/>
      <c r="J104" s="153"/>
      <c r="K104" s="153"/>
      <c r="L104" s="115" t="str">
        <f>IF(LEFT(D104,4)*1&gt;LEFT('General inputs'!$I$18,4)*1,"",SUMIF('Post-1996 commissioned assets'!$F$22:$F$3002,$D104,'Post-1996 commissioned assets'!$P$22:$P$3002)*(1+$K$34)*(1+$K$35))</f>
        <v/>
      </c>
      <c r="M104" s="115" t="str">
        <f>IF(L104="","",L104/(1+'General inputs'!$H$32)^C104)</f>
        <v/>
      </c>
      <c r="N104" s="115">
        <f>IF(LEFT(D104,4)*1&lt;LEFT('General inputs'!$I$18,4)*1+1,"",SUMIF('Uncommissioned assets'!$F$22:$F$2036,$D104,'Uncommissioned assets'!$P$22:$P$2036))</f>
        <v>0</v>
      </c>
      <c r="O104" s="115">
        <f>IF(N104="","",N104/(1+'General inputs'!$H$32)^C104)</f>
        <v>0</v>
      </c>
      <c r="P104" s="93"/>
      <c r="Q104" s="122"/>
      <c r="R104" s="115" t="str">
        <f>IF(OR(LEFT(D104,4)*1&lt;LEFT('General inputs'!$I$16,4)*1,LEFT(D104,4)*1&gt;LEFT('General inputs'!$I$16,4)+'General inputs'!$H$38-1),"",Q104/(1+'General inputs'!$H$34)^C104)</f>
        <v/>
      </c>
      <c r="S104" s="93"/>
      <c r="T104" s="122"/>
      <c r="U104" s="115" t="str">
        <f>IF(OR(LEFT(D104,4)*1&lt;LEFT('General inputs'!$I$16,4)*1,LEFT(D104,4)*1&gt;LEFT('General inputs'!$I$16,4)+'General inputs'!$H$38-1),"",T104/(1+'General inputs'!$H$34)^C104)</f>
        <v/>
      </c>
      <c r="V104" s="95"/>
      <c r="W104" s="94"/>
    </row>
    <row r="105" spans="2:23" x14ac:dyDescent="0.25">
      <c r="B105" s="68"/>
      <c r="C105" s="113">
        <f>IF(D105='General inputs'!$I$16,0,IF(D105&lt;'General inputs'!$I$16,C106-1,C104+1))</f>
        <v>39</v>
      </c>
      <c r="D105" s="113" t="str">
        <f t="shared" si="3"/>
        <v>2061-62</v>
      </c>
      <c r="E105" s="115" t="str">
        <f>IF(LEFT(D105,4)*1&gt;LEFT('General inputs'!$I$16,4)+'General inputs'!$H$38-1,"",'ET inputs'!D78)</f>
        <v/>
      </c>
      <c r="F105" s="115" t="str">
        <f>IF(LEFT(D105,4)*1&gt;LEFT('General inputs'!$I$16,4)+'General inputs'!$H$38-1,"",E105/(1+'General inputs'!$H$30)^C105)</f>
        <v/>
      </c>
      <c r="G105" s="115" t="str">
        <f>IF(LEFT(D105,4)*1&gt;LEFT('General inputs'!$I$16,4)+'General inputs'!$H$38-1,"",E105/(1+'General inputs'!$H$32)^C105)</f>
        <v/>
      </c>
      <c r="H105" s="115" t="str">
        <f>IF(LEFT(D105,4)*1&lt;LEFT('General inputs'!$I$16,4)*1,"",IF(LEFT(D105,4)*1&gt;LEFT('General inputs'!$I$16,4)+'General inputs'!$H$38-1,"",E105/(1+'General inputs'!$H$34)^C105))</f>
        <v/>
      </c>
      <c r="I105" s="93"/>
      <c r="J105" s="153"/>
      <c r="K105" s="153"/>
      <c r="L105" s="115" t="str">
        <f>IF(LEFT(D105,4)*1&gt;LEFT('General inputs'!$I$18,4)*1,"",SUMIF('Post-1996 commissioned assets'!$F$22:$F$3002,$D105,'Post-1996 commissioned assets'!$P$22:$P$3002)*(1+$K$34)*(1+$K$35))</f>
        <v/>
      </c>
      <c r="M105" s="115" t="str">
        <f>IF(L105="","",L105/(1+'General inputs'!$H$32)^C105)</f>
        <v/>
      </c>
      <c r="N105" s="115">
        <f>IF(LEFT(D105,4)*1&lt;LEFT('General inputs'!$I$18,4)*1+1,"",SUMIF('Uncommissioned assets'!$F$22:$F$2036,$D105,'Uncommissioned assets'!$P$22:$P$2036))</f>
        <v>0</v>
      </c>
      <c r="O105" s="115">
        <f>IF(N105="","",N105/(1+'General inputs'!$H$32)^C105)</f>
        <v>0</v>
      </c>
      <c r="P105" s="93"/>
      <c r="Q105" s="122"/>
      <c r="R105" s="115" t="str">
        <f>IF(OR(LEFT(D105,4)*1&lt;LEFT('General inputs'!$I$16,4)*1,LEFT(D105,4)*1&gt;LEFT('General inputs'!$I$16,4)+'General inputs'!$H$38-1),"",Q105/(1+'General inputs'!$H$34)^C105)</f>
        <v/>
      </c>
      <c r="S105" s="93"/>
      <c r="T105" s="122"/>
      <c r="U105" s="115" t="str">
        <f>IF(OR(LEFT(D105,4)*1&lt;LEFT('General inputs'!$I$16,4)*1,LEFT(D105,4)*1&gt;LEFT('General inputs'!$I$16,4)+'General inputs'!$H$38-1),"",T105/(1+'General inputs'!$H$34)^C105)</f>
        <v/>
      </c>
      <c r="V105" s="95"/>
      <c r="W105" s="94"/>
    </row>
    <row r="106" spans="2:23" x14ac:dyDescent="0.25">
      <c r="B106" s="68"/>
      <c r="C106" s="113">
        <f>IF(D106='General inputs'!$I$16,0,IF(D106&lt;'General inputs'!$I$16,C107-1,C105+1))</f>
        <v>40</v>
      </c>
      <c r="D106" s="113" t="str">
        <f t="shared" si="3"/>
        <v>2062-63</v>
      </c>
      <c r="E106" s="115" t="str">
        <f>IF(LEFT(D106,4)*1&gt;LEFT('General inputs'!$I$16,4)+'General inputs'!$H$38-1,"",'ET inputs'!D79)</f>
        <v/>
      </c>
      <c r="F106" s="115" t="str">
        <f>IF(LEFT(D106,4)*1&gt;LEFT('General inputs'!$I$16,4)+'General inputs'!$H$38-1,"",E106/(1+'General inputs'!$H$30)^C106)</f>
        <v/>
      </c>
      <c r="G106" s="115" t="str">
        <f>IF(LEFT(D106,4)*1&gt;LEFT('General inputs'!$I$16,4)+'General inputs'!$H$38-1,"",E106/(1+'General inputs'!$H$32)^C106)</f>
        <v/>
      </c>
      <c r="H106" s="115" t="str">
        <f>IF(LEFT(D106,4)*1&lt;LEFT('General inputs'!$I$16,4)*1,"",IF(LEFT(D106,4)*1&gt;LEFT('General inputs'!$I$16,4)+'General inputs'!$H$38-1,"",E106/(1+'General inputs'!$H$34)^C106))</f>
        <v/>
      </c>
      <c r="I106" s="93"/>
      <c r="J106" s="153"/>
      <c r="K106" s="153"/>
      <c r="L106" s="115" t="str">
        <f>IF(LEFT(D106,4)*1&gt;LEFT('General inputs'!$I$18,4)*1,"",SUMIF('Post-1996 commissioned assets'!$F$22:$F$3002,$D106,'Post-1996 commissioned assets'!$P$22:$P$3002)*(1+$K$34)*(1+$K$35))</f>
        <v/>
      </c>
      <c r="M106" s="115" t="str">
        <f>IF(L106="","",L106/(1+'General inputs'!$H$32)^C106)</f>
        <v/>
      </c>
      <c r="N106" s="115">
        <f>IF(LEFT(D106,4)*1&lt;LEFT('General inputs'!$I$18,4)*1+1,"",SUMIF('Uncommissioned assets'!$F$22:$F$2036,$D106,'Uncommissioned assets'!$P$22:$P$2036))</f>
        <v>0</v>
      </c>
      <c r="O106" s="115">
        <f>IF(N106="","",N106/(1+'General inputs'!$H$32)^C106)</f>
        <v>0</v>
      </c>
      <c r="P106" s="93"/>
      <c r="Q106" s="122"/>
      <c r="R106" s="115" t="str">
        <f>IF(OR(LEFT(D106,4)*1&lt;LEFT('General inputs'!$I$16,4)*1,LEFT(D106,4)*1&gt;LEFT('General inputs'!$I$16,4)+'General inputs'!$H$38-1),"",Q106/(1+'General inputs'!$H$34)^C106)</f>
        <v/>
      </c>
      <c r="S106" s="93"/>
      <c r="T106" s="122"/>
      <c r="U106" s="115" t="str">
        <f>IF(OR(LEFT(D106,4)*1&lt;LEFT('General inputs'!$I$16,4)*1,LEFT(D106,4)*1&gt;LEFT('General inputs'!$I$16,4)+'General inputs'!$H$38-1),"",T106/(1+'General inputs'!$H$34)^C106)</f>
        <v/>
      </c>
      <c r="V106" s="95"/>
      <c r="W106" s="94"/>
    </row>
    <row r="107" spans="2:23" x14ac:dyDescent="0.25">
      <c r="B107" s="68"/>
      <c r="C107" s="113">
        <f>IF(D107='General inputs'!$I$16,0,IF(D107&lt;'General inputs'!$I$16,C108-1,C106+1))</f>
        <v>41</v>
      </c>
      <c r="D107" s="113" t="str">
        <f t="shared" si="3"/>
        <v>2063-64</v>
      </c>
      <c r="E107" s="115" t="str">
        <f>IF(LEFT(D107,4)*1&gt;LEFT('General inputs'!$I$16,4)+'General inputs'!$H$38-1,"",'ET inputs'!D80)</f>
        <v/>
      </c>
      <c r="F107" s="115" t="str">
        <f>IF(LEFT(D107,4)*1&gt;LEFT('General inputs'!$I$16,4)+'General inputs'!$H$38-1,"",E107/(1+'General inputs'!$H$30)^C107)</f>
        <v/>
      </c>
      <c r="G107" s="115" t="str">
        <f>IF(LEFT(D107,4)*1&gt;LEFT('General inputs'!$I$16,4)+'General inputs'!$H$38-1,"",E107/(1+'General inputs'!$H$32)^C107)</f>
        <v/>
      </c>
      <c r="H107" s="115" t="str">
        <f>IF(LEFT(D107,4)*1&lt;LEFT('General inputs'!$I$16,4)*1,"",IF(LEFT(D107,4)*1&gt;LEFT('General inputs'!$I$16,4)+'General inputs'!$H$38-1,"",E107/(1+'General inputs'!$H$34)^C107))</f>
        <v/>
      </c>
      <c r="I107" s="93"/>
      <c r="J107" s="153"/>
      <c r="K107" s="153"/>
      <c r="L107" s="115" t="str">
        <f>IF(LEFT(D107,4)*1&gt;LEFT('General inputs'!$I$18,4)*1,"",SUMIF('Post-1996 commissioned assets'!$F$22:$F$3002,$D107,'Post-1996 commissioned assets'!$P$22:$P$3002)*(1+$K$34)*(1+$K$35))</f>
        <v/>
      </c>
      <c r="M107" s="115" t="str">
        <f>IF(L107="","",L107/(1+'General inputs'!$H$32)^C107)</f>
        <v/>
      </c>
      <c r="N107" s="115">
        <f>IF(LEFT(D107,4)*1&lt;LEFT('General inputs'!$I$18,4)*1+1,"",SUMIF('Uncommissioned assets'!$F$22:$F$2036,$D107,'Uncommissioned assets'!$P$22:$P$2036))</f>
        <v>0</v>
      </c>
      <c r="O107" s="115">
        <f>IF(N107="","",N107/(1+'General inputs'!$H$32)^C107)</f>
        <v>0</v>
      </c>
      <c r="P107" s="93"/>
      <c r="Q107" s="122"/>
      <c r="R107" s="115" t="str">
        <f>IF(OR(LEFT(D107,4)*1&lt;LEFT('General inputs'!$I$16,4)*1,LEFT(D107,4)*1&gt;LEFT('General inputs'!$I$16,4)+'General inputs'!$H$38-1),"",Q107/(1+'General inputs'!$H$34)^C107)</f>
        <v/>
      </c>
      <c r="S107" s="93"/>
      <c r="T107" s="122"/>
      <c r="U107" s="115" t="str">
        <f>IF(OR(LEFT(D107,4)*1&lt;LEFT('General inputs'!$I$16,4)*1,LEFT(D107,4)*1&gt;LEFT('General inputs'!$I$16,4)+'General inputs'!$H$38-1),"",T107/(1+'General inputs'!$H$34)^C107)</f>
        <v/>
      </c>
      <c r="V107" s="95"/>
      <c r="W107" s="94"/>
    </row>
    <row r="108" spans="2:23" x14ac:dyDescent="0.25">
      <c r="B108" s="68"/>
      <c r="C108" s="113">
        <f>IF(D108='General inputs'!$I$16,0,IF(D108&lt;'General inputs'!$I$16,C109-1,C107+1))</f>
        <v>42</v>
      </c>
      <c r="D108" s="113" t="str">
        <f t="shared" si="3"/>
        <v>2064-65</v>
      </c>
      <c r="E108" s="115" t="str">
        <f>IF(LEFT(D108,4)*1&gt;LEFT('General inputs'!$I$16,4)+'General inputs'!$H$38-1,"",'ET inputs'!D81)</f>
        <v/>
      </c>
      <c r="F108" s="115" t="str">
        <f>IF(LEFT(D108,4)*1&gt;LEFT('General inputs'!$I$16,4)+'General inputs'!$H$38-1,"",E108/(1+'General inputs'!$H$30)^C108)</f>
        <v/>
      </c>
      <c r="G108" s="115" t="str">
        <f>IF(LEFT(D108,4)*1&gt;LEFT('General inputs'!$I$16,4)+'General inputs'!$H$38-1,"",E108/(1+'General inputs'!$H$32)^C108)</f>
        <v/>
      </c>
      <c r="H108" s="115" t="str">
        <f>IF(LEFT(D108,4)*1&lt;LEFT('General inputs'!$I$16,4)*1,"",IF(LEFT(D108,4)*1&gt;LEFT('General inputs'!$I$16,4)+'General inputs'!$H$38-1,"",E108/(1+'General inputs'!$H$34)^C108))</f>
        <v/>
      </c>
      <c r="I108" s="93"/>
      <c r="J108" s="153"/>
      <c r="K108" s="153"/>
      <c r="L108" s="115" t="str">
        <f>IF(LEFT(D108,4)*1&gt;LEFT('General inputs'!$I$18,4)*1,"",SUMIF('Post-1996 commissioned assets'!$F$22:$F$3002,$D108,'Post-1996 commissioned assets'!$P$22:$P$3002)*(1+$K$34)*(1+$K$35))</f>
        <v/>
      </c>
      <c r="M108" s="115" t="str">
        <f>IF(L108="","",L108/(1+'General inputs'!$H$32)^C108)</f>
        <v/>
      </c>
      <c r="N108" s="115">
        <f>IF(LEFT(D108,4)*1&lt;LEFT('General inputs'!$I$18,4)*1+1,"",SUMIF('Uncommissioned assets'!$F$22:$F$2036,$D108,'Uncommissioned assets'!$P$22:$P$2036))</f>
        <v>0</v>
      </c>
      <c r="O108" s="115">
        <f>IF(N108="","",N108/(1+'General inputs'!$H$32)^C108)</f>
        <v>0</v>
      </c>
      <c r="P108" s="93"/>
      <c r="Q108" s="122"/>
      <c r="R108" s="115" t="str">
        <f>IF(OR(LEFT(D108,4)*1&lt;LEFT('General inputs'!$I$16,4)*1,LEFT(D108,4)*1&gt;LEFT('General inputs'!$I$16,4)+'General inputs'!$H$38-1),"",Q108/(1+'General inputs'!$H$34)^C108)</f>
        <v/>
      </c>
      <c r="S108" s="93"/>
      <c r="T108" s="122"/>
      <c r="U108" s="115" t="str">
        <f>IF(OR(LEFT(D108,4)*1&lt;LEFT('General inputs'!$I$16,4)*1,LEFT(D108,4)*1&gt;LEFT('General inputs'!$I$16,4)+'General inputs'!$H$38-1),"",T108/(1+'General inputs'!$H$34)^C108)</f>
        <v/>
      </c>
      <c r="V108" s="95"/>
      <c r="W108" s="94"/>
    </row>
    <row r="109" spans="2:23" x14ac:dyDescent="0.25">
      <c r="B109" s="68"/>
      <c r="C109" s="113">
        <f>IF(D109='General inputs'!$I$16,0,IF(D109&lt;'General inputs'!$I$16,C110-1,C108+1))</f>
        <v>43</v>
      </c>
      <c r="D109" s="113" t="str">
        <f t="shared" si="3"/>
        <v>2065-66</v>
      </c>
      <c r="E109" s="115" t="str">
        <f>IF(LEFT(D109,4)*1&gt;LEFT('General inputs'!$I$16,4)+'General inputs'!$H$38-1,"",'ET inputs'!D82)</f>
        <v/>
      </c>
      <c r="F109" s="115" t="str">
        <f>IF(LEFT(D109,4)*1&gt;LEFT('General inputs'!$I$16,4)+'General inputs'!$H$38-1,"",E109/(1+'General inputs'!$H$30)^C109)</f>
        <v/>
      </c>
      <c r="G109" s="115" t="str">
        <f>IF(LEFT(D109,4)*1&gt;LEFT('General inputs'!$I$16,4)+'General inputs'!$H$38-1,"",E109/(1+'General inputs'!$H$32)^C109)</f>
        <v/>
      </c>
      <c r="H109" s="115" t="str">
        <f>IF(LEFT(D109,4)*1&lt;LEFT('General inputs'!$I$16,4)*1,"",IF(LEFT(D109,4)*1&gt;LEFT('General inputs'!$I$16,4)+'General inputs'!$H$38-1,"",E109/(1+'General inputs'!$H$34)^C109))</f>
        <v/>
      </c>
      <c r="I109" s="93"/>
      <c r="J109" s="153"/>
      <c r="K109" s="153"/>
      <c r="L109" s="115" t="str">
        <f>IF(LEFT(D109,4)*1&gt;LEFT('General inputs'!$I$18,4)*1,"",SUMIF('Post-1996 commissioned assets'!$F$22:$F$3002,$D109,'Post-1996 commissioned assets'!$P$22:$P$3002)*(1+$K$34)*(1+$K$35))</f>
        <v/>
      </c>
      <c r="M109" s="115" t="str">
        <f>IF(L109="","",L109/(1+'General inputs'!$H$32)^C109)</f>
        <v/>
      </c>
      <c r="N109" s="115">
        <f>IF(LEFT(D109,4)*1&lt;LEFT('General inputs'!$I$18,4)*1+1,"",SUMIF('Uncommissioned assets'!$F$22:$F$2036,$D109,'Uncommissioned assets'!$P$22:$P$2036))</f>
        <v>0</v>
      </c>
      <c r="O109" s="115">
        <f>IF(N109="","",N109/(1+'General inputs'!$H$32)^C109)</f>
        <v>0</v>
      </c>
      <c r="P109" s="93"/>
      <c r="Q109" s="122"/>
      <c r="R109" s="115" t="str">
        <f>IF(OR(LEFT(D109,4)*1&lt;LEFT('General inputs'!$I$16,4)*1,LEFT(D109,4)*1&gt;LEFT('General inputs'!$I$16,4)+'General inputs'!$H$38-1),"",Q109/(1+'General inputs'!$H$34)^C109)</f>
        <v/>
      </c>
      <c r="S109" s="93"/>
      <c r="T109" s="122"/>
      <c r="U109" s="115" t="str">
        <f>IF(OR(LEFT(D109,4)*1&lt;LEFT('General inputs'!$I$16,4)*1,LEFT(D109,4)*1&gt;LEFT('General inputs'!$I$16,4)+'General inputs'!$H$38-1),"",T109/(1+'General inputs'!$H$34)^C109)</f>
        <v/>
      </c>
      <c r="V109" s="95"/>
      <c r="W109" s="94"/>
    </row>
    <row r="110" spans="2:23" x14ac:dyDescent="0.25">
      <c r="B110" s="68"/>
      <c r="C110" s="113">
        <f>IF(D110='General inputs'!$I$16,0,IF(D110&lt;'General inputs'!$I$16,C111-1,C109+1))</f>
        <v>44</v>
      </c>
      <c r="D110" s="113" t="str">
        <f t="shared" si="3"/>
        <v>2066-67</v>
      </c>
      <c r="E110" s="115" t="str">
        <f>IF(LEFT(D110,4)*1&gt;LEFT('General inputs'!$I$16,4)+'General inputs'!$H$38-1,"",'ET inputs'!D83)</f>
        <v/>
      </c>
      <c r="F110" s="115" t="str">
        <f>IF(LEFT(D110,4)*1&gt;LEFT('General inputs'!$I$16,4)+'General inputs'!$H$38-1,"",E110/(1+'General inputs'!$H$30)^C110)</f>
        <v/>
      </c>
      <c r="G110" s="115" t="str">
        <f>IF(LEFT(D110,4)*1&gt;LEFT('General inputs'!$I$16,4)+'General inputs'!$H$38-1,"",E110/(1+'General inputs'!$H$32)^C110)</f>
        <v/>
      </c>
      <c r="H110" s="115" t="str">
        <f>IF(LEFT(D110,4)*1&lt;LEFT('General inputs'!$I$16,4)*1,"",IF(LEFT(D110,4)*1&gt;LEFT('General inputs'!$I$16,4)+'General inputs'!$H$38-1,"",E110/(1+'General inputs'!$H$34)^C110))</f>
        <v/>
      </c>
      <c r="I110" s="93"/>
      <c r="J110" s="153"/>
      <c r="K110" s="153"/>
      <c r="L110" s="115" t="str">
        <f>IF(LEFT(D110,4)*1&gt;LEFT('General inputs'!$I$18,4)*1,"",SUMIF('Post-1996 commissioned assets'!$F$22:$F$3002,$D110,'Post-1996 commissioned assets'!$P$22:$P$3002)*(1+$K$34)*(1+$K$35))</f>
        <v/>
      </c>
      <c r="M110" s="115" t="str">
        <f>IF(L110="","",L110/(1+'General inputs'!$H$32)^C110)</f>
        <v/>
      </c>
      <c r="N110" s="115">
        <f>IF(LEFT(D110,4)*1&lt;LEFT('General inputs'!$I$18,4)*1+1,"",SUMIF('Uncommissioned assets'!$F$22:$F$2036,$D110,'Uncommissioned assets'!$P$22:$P$2036))</f>
        <v>0</v>
      </c>
      <c r="O110" s="115">
        <f>IF(N110="","",N110/(1+'General inputs'!$H$32)^C110)</f>
        <v>0</v>
      </c>
      <c r="P110" s="93"/>
      <c r="Q110" s="122"/>
      <c r="R110" s="115" t="str">
        <f>IF(OR(LEFT(D110,4)*1&lt;LEFT('General inputs'!$I$16,4)*1,LEFT(D110,4)*1&gt;LEFT('General inputs'!$I$16,4)+'General inputs'!$H$38-1),"",Q110/(1+'General inputs'!$H$34)^C110)</f>
        <v/>
      </c>
      <c r="S110" s="93"/>
      <c r="T110" s="122"/>
      <c r="U110" s="115" t="str">
        <f>IF(OR(LEFT(D110,4)*1&lt;LEFT('General inputs'!$I$16,4)*1,LEFT(D110,4)*1&gt;LEFT('General inputs'!$I$16,4)+'General inputs'!$H$38-1),"",T110/(1+'General inputs'!$H$34)^C110)</f>
        <v/>
      </c>
      <c r="V110" s="95"/>
      <c r="W110" s="94"/>
    </row>
    <row r="111" spans="2:23" x14ac:dyDescent="0.25">
      <c r="B111" s="68"/>
      <c r="C111" s="113">
        <f>IF(D111='General inputs'!$I$16,0,IF(D111&lt;'General inputs'!$I$16,C112-1,C110+1))</f>
        <v>45</v>
      </c>
      <c r="D111" s="113" t="str">
        <f t="shared" si="3"/>
        <v>2067-68</v>
      </c>
      <c r="E111" s="115" t="str">
        <f>IF(LEFT(D111,4)*1&gt;LEFT('General inputs'!$I$16,4)+'General inputs'!$H$38-1,"",'ET inputs'!D84)</f>
        <v/>
      </c>
      <c r="F111" s="115" t="str">
        <f>IF(LEFT(D111,4)*1&gt;LEFT('General inputs'!$I$16,4)+'General inputs'!$H$38-1,"",E111/(1+'General inputs'!$H$30)^C111)</f>
        <v/>
      </c>
      <c r="G111" s="115" t="str">
        <f>IF(LEFT(D111,4)*1&gt;LEFT('General inputs'!$I$16,4)+'General inputs'!$H$38-1,"",E111/(1+'General inputs'!$H$32)^C111)</f>
        <v/>
      </c>
      <c r="H111" s="115" t="str">
        <f>IF(LEFT(D111,4)*1&lt;LEFT('General inputs'!$I$16,4)*1,"",IF(LEFT(D111,4)*1&gt;LEFT('General inputs'!$I$16,4)+'General inputs'!$H$38-1,"",E111/(1+'General inputs'!$H$34)^C111))</f>
        <v/>
      </c>
      <c r="I111" s="93"/>
      <c r="J111" s="153"/>
      <c r="K111" s="153"/>
      <c r="L111" s="115" t="str">
        <f>IF(LEFT(D111,4)*1&gt;LEFT('General inputs'!$I$18,4)*1,"",SUMIF('Post-1996 commissioned assets'!$F$22:$F$3002,$D111,'Post-1996 commissioned assets'!$P$22:$P$3002)*(1+$K$34)*(1+$K$35))</f>
        <v/>
      </c>
      <c r="M111" s="115" t="str">
        <f>IF(L111="","",L111/(1+'General inputs'!$H$32)^C111)</f>
        <v/>
      </c>
      <c r="N111" s="115">
        <f>IF(LEFT(D111,4)*1&lt;LEFT('General inputs'!$I$18,4)*1+1,"",SUMIF('Uncommissioned assets'!$F$22:$F$2036,$D111,'Uncommissioned assets'!$P$22:$P$2036))</f>
        <v>0</v>
      </c>
      <c r="O111" s="115">
        <f>IF(N111="","",N111/(1+'General inputs'!$H$32)^C111)</f>
        <v>0</v>
      </c>
      <c r="P111" s="93"/>
      <c r="Q111" s="122"/>
      <c r="R111" s="115" t="str">
        <f>IF(OR(LEFT(D111,4)*1&lt;LEFT('General inputs'!$I$16,4)*1,LEFT(D111,4)*1&gt;LEFT('General inputs'!$I$16,4)+'General inputs'!$H$38-1),"",Q111/(1+'General inputs'!$H$34)^C111)</f>
        <v/>
      </c>
      <c r="S111" s="93"/>
      <c r="T111" s="122"/>
      <c r="U111" s="115" t="str">
        <f>IF(OR(LEFT(D111,4)*1&lt;LEFT('General inputs'!$I$16,4)*1,LEFT(D111,4)*1&gt;LEFT('General inputs'!$I$16,4)+'General inputs'!$H$38-1),"",T111/(1+'General inputs'!$H$34)^C111)</f>
        <v/>
      </c>
      <c r="V111" s="95"/>
      <c r="W111" s="94"/>
    </row>
    <row r="112" spans="2:23" x14ac:dyDescent="0.25">
      <c r="B112" s="68"/>
      <c r="C112" s="113">
        <f>IF(D112='General inputs'!$I$16,0,IF(D112&lt;'General inputs'!$I$16,C113-1,C111+1))</f>
        <v>46</v>
      </c>
      <c r="D112" s="113" t="str">
        <f t="shared" si="3"/>
        <v>2068-69</v>
      </c>
      <c r="E112" s="115" t="str">
        <f>IF(LEFT(D112,4)*1&gt;LEFT('General inputs'!$I$16,4)+'General inputs'!$H$38-1,"",'ET inputs'!D85)</f>
        <v/>
      </c>
      <c r="F112" s="115" t="str">
        <f>IF(LEFT(D112,4)*1&gt;LEFT('General inputs'!$I$16,4)+'General inputs'!$H$38-1,"",E112/(1+'General inputs'!$H$30)^C112)</f>
        <v/>
      </c>
      <c r="G112" s="115" t="str">
        <f>IF(LEFT(D112,4)*1&gt;LEFT('General inputs'!$I$16,4)+'General inputs'!$H$38-1,"",E112/(1+'General inputs'!$H$32)^C112)</f>
        <v/>
      </c>
      <c r="H112" s="115" t="str">
        <f>IF(LEFT(D112,4)*1&lt;LEFT('General inputs'!$I$16,4)*1,"",IF(LEFT(D112,4)*1&gt;LEFT('General inputs'!$I$16,4)+'General inputs'!$H$38-1,"",E112/(1+'General inputs'!$H$34)^C112))</f>
        <v/>
      </c>
      <c r="I112" s="93"/>
      <c r="J112" s="153"/>
      <c r="K112" s="153"/>
      <c r="L112" s="115" t="str">
        <f>IF(LEFT(D112,4)*1&gt;LEFT('General inputs'!$I$18,4)*1,"",SUMIF('Post-1996 commissioned assets'!$F$22:$F$3002,$D112,'Post-1996 commissioned assets'!$P$22:$P$3002)*(1+$K$34)*(1+$K$35))</f>
        <v/>
      </c>
      <c r="M112" s="115" t="str">
        <f>IF(L112="","",L112/(1+'General inputs'!$H$32)^C112)</f>
        <v/>
      </c>
      <c r="N112" s="115">
        <f>IF(LEFT(D112,4)*1&lt;LEFT('General inputs'!$I$18,4)*1+1,"",SUMIF('Uncommissioned assets'!$F$22:$F$2036,$D112,'Uncommissioned assets'!$P$22:$P$2036))</f>
        <v>0</v>
      </c>
      <c r="O112" s="115">
        <f>IF(N112="","",N112/(1+'General inputs'!$H$32)^C112)</f>
        <v>0</v>
      </c>
      <c r="P112" s="93"/>
      <c r="Q112" s="122"/>
      <c r="R112" s="115" t="str">
        <f>IF(OR(LEFT(D112,4)*1&lt;LEFT('General inputs'!$I$16,4)*1,LEFT(D112,4)*1&gt;LEFT('General inputs'!$I$16,4)+'General inputs'!$H$38-1),"",Q112/(1+'General inputs'!$H$34)^C112)</f>
        <v/>
      </c>
      <c r="S112" s="93"/>
      <c r="T112" s="122"/>
      <c r="U112" s="115" t="str">
        <f>IF(OR(LEFT(D112,4)*1&lt;LEFT('General inputs'!$I$16,4)*1,LEFT(D112,4)*1&gt;LEFT('General inputs'!$I$16,4)+'General inputs'!$H$38-1),"",T112/(1+'General inputs'!$H$34)^C112)</f>
        <v/>
      </c>
      <c r="V112" s="95"/>
      <c r="W112" s="94"/>
    </row>
    <row r="113" spans="2:23" x14ac:dyDescent="0.25">
      <c r="B113" s="68"/>
      <c r="C113" s="113">
        <f>IF(D113='General inputs'!$I$16,0,IF(D113&lt;'General inputs'!$I$16,C114-1,C112+1))</f>
        <v>47</v>
      </c>
      <c r="D113" s="113" t="str">
        <f t="shared" si="3"/>
        <v>2069-70</v>
      </c>
      <c r="E113" s="115" t="str">
        <f>IF(LEFT(D113,4)*1&gt;LEFT('General inputs'!$I$16,4)+'General inputs'!$H$38-1,"",'ET inputs'!D86)</f>
        <v/>
      </c>
      <c r="F113" s="115" t="str">
        <f>IF(LEFT(D113,4)*1&gt;LEFT('General inputs'!$I$16,4)+'General inputs'!$H$38-1,"",E113/(1+'General inputs'!$H$30)^C113)</f>
        <v/>
      </c>
      <c r="G113" s="115" t="str">
        <f>IF(LEFT(D113,4)*1&gt;LEFT('General inputs'!$I$16,4)+'General inputs'!$H$38-1,"",E113/(1+'General inputs'!$H$32)^C113)</f>
        <v/>
      </c>
      <c r="H113" s="115" t="str">
        <f>IF(LEFT(D113,4)*1&lt;LEFT('General inputs'!$I$16,4)*1,"",IF(LEFT(D113,4)*1&gt;LEFT('General inputs'!$I$16,4)+'General inputs'!$H$38-1,"",E113/(1+'General inputs'!$H$34)^C113))</f>
        <v/>
      </c>
      <c r="I113" s="93"/>
      <c r="J113" s="153"/>
      <c r="K113" s="153"/>
      <c r="L113" s="115" t="str">
        <f>IF(LEFT(D113,4)*1&gt;LEFT('General inputs'!$I$18,4)*1,"",SUMIF('Post-1996 commissioned assets'!$F$22:$F$3002,$D113,'Post-1996 commissioned assets'!$P$22:$P$3002)*(1+$K$34)*(1+$K$35))</f>
        <v/>
      </c>
      <c r="M113" s="115" t="str">
        <f>IF(L113="","",L113/(1+'General inputs'!$H$32)^C113)</f>
        <v/>
      </c>
      <c r="N113" s="115">
        <f>IF(LEFT(D113,4)*1&lt;LEFT('General inputs'!$I$18,4)*1+1,"",SUMIF('Uncommissioned assets'!$F$22:$F$2036,$D113,'Uncommissioned assets'!$P$22:$P$2036))</f>
        <v>0</v>
      </c>
      <c r="O113" s="115">
        <f>IF(N113="","",N113/(1+'General inputs'!$H$32)^C113)</f>
        <v>0</v>
      </c>
      <c r="P113" s="93"/>
      <c r="Q113" s="122"/>
      <c r="R113" s="115" t="str">
        <f>IF(OR(LEFT(D113,4)*1&lt;LEFT('General inputs'!$I$16,4)*1,LEFT(D113,4)*1&gt;LEFT('General inputs'!$I$16,4)+'General inputs'!$H$38-1),"",Q113/(1+'General inputs'!$H$34)^C113)</f>
        <v/>
      </c>
      <c r="S113" s="93"/>
      <c r="T113" s="122"/>
      <c r="U113" s="115" t="str">
        <f>IF(OR(LEFT(D113,4)*1&lt;LEFT('General inputs'!$I$16,4)*1,LEFT(D113,4)*1&gt;LEFT('General inputs'!$I$16,4)+'General inputs'!$H$38-1),"",T113/(1+'General inputs'!$H$34)^C113)</f>
        <v/>
      </c>
      <c r="V113" s="95"/>
      <c r="W113" s="94"/>
    </row>
    <row r="114" spans="2:23" x14ac:dyDescent="0.25">
      <c r="B114" s="68"/>
      <c r="C114" s="113">
        <f>IF(D114='General inputs'!$I$16,0,IF(D114&lt;'General inputs'!$I$16,C115-1,C113+1))</f>
        <v>48</v>
      </c>
      <c r="D114" s="113" t="str">
        <f t="shared" si="3"/>
        <v>2070-71</v>
      </c>
      <c r="E114" s="115" t="str">
        <f>IF(LEFT(D114,4)*1&gt;LEFT('General inputs'!$I$16,4)+'General inputs'!$H$38-1,"",'ET inputs'!D87)</f>
        <v/>
      </c>
      <c r="F114" s="115" t="str">
        <f>IF(LEFT(D114,4)*1&gt;LEFT('General inputs'!$I$16,4)+'General inputs'!$H$38-1,"",E114/(1+'General inputs'!$H$30)^C114)</f>
        <v/>
      </c>
      <c r="G114" s="115" t="str">
        <f>IF(LEFT(D114,4)*1&gt;LEFT('General inputs'!$I$16,4)+'General inputs'!$H$38-1,"",E114/(1+'General inputs'!$H$32)^C114)</f>
        <v/>
      </c>
      <c r="H114" s="115" t="str">
        <f>IF(LEFT(D114,4)*1&lt;LEFT('General inputs'!$I$16,4)*1,"",IF(LEFT(D114,4)*1&gt;LEFT('General inputs'!$I$16,4)+'General inputs'!$H$38-1,"",E114/(1+'General inputs'!$H$34)^C114))</f>
        <v/>
      </c>
      <c r="I114" s="93"/>
      <c r="J114" s="153"/>
      <c r="K114" s="153"/>
      <c r="L114" s="115" t="str">
        <f>IF(LEFT(D114,4)*1&gt;LEFT('General inputs'!$I$18,4)*1,"",SUMIF('Post-1996 commissioned assets'!$F$22:$F$3002,$D114,'Post-1996 commissioned assets'!$P$22:$P$3002)*(1+$K$34)*(1+$K$35))</f>
        <v/>
      </c>
      <c r="M114" s="115" t="str">
        <f>IF(L114="","",L114/(1+'General inputs'!$H$32)^C114)</f>
        <v/>
      </c>
      <c r="N114" s="115">
        <f>IF(LEFT(D114,4)*1&lt;LEFT('General inputs'!$I$18,4)*1+1,"",SUMIF('Uncommissioned assets'!$F$22:$F$2036,$D114,'Uncommissioned assets'!$P$22:$P$2036))</f>
        <v>0</v>
      </c>
      <c r="O114" s="115">
        <f>IF(N114="","",N114/(1+'General inputs'!$H$32)^C114)</f>
        <v>0</v>
      </c>
      <c r="P114" s="93"/>
      <c r="Q114" s="122"/>
      <c r="R114" s="115" t="str">
        <f>IF(OR(LEFT(D114,4)*1&lt;LEFT('General inputs'!$I$16,4)*1,LEFT(D114,4)*1&gt;LEFT('General inputs'!$I$16,4)+'General inputs'!$H$38-1),"",Q114/(1+'General inputs'!$H$34)^C114)</f>
        <v/>
      </c>
      <c r="S114" s="93"/>
      <c r="T114" s="122"/>
      <c r="U114" s="115" t="str">
        <f>IF(OR(LEFT(D114,4)*1&lt;LEFT('General inputs'!$I$16,4)*1,LEFT(D114,4)*1&gt;LEFT('General inputs'!$I$16,4)+'General inputs'!$H$38-1),"",T114/(1+'General inputs'!$H$34)^C114)</f>
        <v/>
      </c>
      <c r="V114" s="95"/>
      <c r="W114" s="94"/>
    </row>
    <row r="115" spans="2:23" x14ac:dyDescent="0.25">
      <c r="B115" s="68"/>
      <c r="C115" s="113">
        <f>IF(D115='General inputs'!$I$16,0,IF(D115&lt;'General inputs'!$I$16,C116-1,C114+1))</f>
        <v>49</v>
      </c>
      <c r="D115" s="113" t="str">
        <f t="shared" si="3"/>
        <v>2071-72</v>
      </c>
      <c r="E115" s="115" t="str">
        <f>IF(LEFT(D115,4)*1&gt;LEFT('General inputs'!$I$16,4)+'General inputs'!$H$38-1,"",'ET inputs'!D88)</f>
        <v/>
      </c>
      <c r="F115" s="115" t="str">
        <f>IF(LEFT(D115,4)*1&gt;LEFT('General inputs'!$I$16,4)+'General inputs'!$H$38-1,"",E115/(1+'General inputs'!$H$30)^C115)</f>
        <v/>
      </c>
      <c r="G115" s="115" t="str">
        <f>IF(LEFT(D115,4)*1&gt;LEFT('General inputs'!$I$16,4)+'General inputs'!$H$38-1,"",E115/(1+'General inputs'!$H$32)^C115)</f>
        <v/>
      </c>
      <c r="H115" s="115" t="str">
        <f>IF(LEFT(D115,4)*1&lt;LEFT('General inputs'!$I$16,4)*1,"",IF(LEFT(D115,4)*1&gt;LEFT('General inputs'!$I$16,4)+'General inputs'!$H$38-1,"",E115/(1+'General inputs'!$H$34)^C115))</f>
        <v/>
      </c>
      <c r="I115" s="93"/>
      <c r="J115" s="153"/>
      <c r="K115" s="153"/>
      <c r="L115" s="115" t="str">
        <f>IF(LEFT(D115,4)*1&gt;LEFT('General inputs'!$I$18,4)*1,"",SUMIF('Post-1996 commissioned assets'!$F$22:$F$3002,$D115,'Post-1996 commissioned assets'!$P$22:$P$3002)*(1+$K$34)*(1+$K$35))</f>
        <v/>
      </c>
      <c r="M115" s="115" t="str">
        <f>IF(L115="","",L115/(1+'General inputs'!$H$32)^C115)</f>
        <v/>
      </c>
      <c r="N115" s="115">
        <f>IF(LEFT(D115,4)*1&lt;LEFT('General inputs'!$I$18,4)*1+1,"",SUMIF('Uncommissioned assets'!$F$22:$F$2036,$D115,'Uncommissioned assets'!$P$22:$P$2036))</f>
        <v>0</v>
      </c>
      <c r="O115" s="115">
        <f>IF(N115="","",N115/(1+'General inputs'!$H$32)^C115)</f>
        <v>0</v>
      </c>
      <c r="P115" s="93"/>
      <c r="Q115" s="122"/>
      <c r="R115" s="115" t="str">
        <f>IF(OR(LEFT(D115,4)*1&lt;LEFT('General inputs'!$I$16,4)*1,LEFT(D115,4)*1&gt;LEFT('General inputs'!$I$16,4)+'General inputs'!$H$38-1),"",Q115/(1+'General inputs'!$H$34)^C115)</f>
        <v/>
      </c>
      <c r="S115" s="93"/>
      <c r="T115" s="122"/>
      <c r="U115" s="115" t="str">
        <f>IF(OR(LEFT(D115,4)*1&lt;LEFT('General inputs'!$I$16,4)*1,LEFT(D115,4)*1&gt;LEFT('General inputs'!$I$16,4)+'General inputs'!$H$38-1),"",T115/(1+'General inputs'!$H$34)^C115)</f>
        <v/>
      </c>
      <c r="V115" s="95"/>
      <c r="W115" s="94"/>
    </row>
    <row r="116" spans="2:23" x14ac:dyDescent="0.25">
      <c r="B116" s="68"/>
      <c r="C116" s="113">
        <f>IF(D116='General inputs'!$I$16,0,IF(D116&lt;'General inputs'!$I$16,C117-1,C115+1))</f>
        <v>50</v>
      </c>
      <c r="D116" s="113" t="str">
        <f t="shared" si="3"/>
        <v>2072-73</v>
      </c>
      <c r="E116" s="115" t="str">
        <f>IF(LEFT(D116,4)*1&gt;LEFT('General inputs'!$I$16,4)+'General inputs'!$H$38-1,"",'ET inputs'!D89)</f>
        <v/>
      </c>
      <c r="F116" s="115" t="str">
        <f>IF(LEFT(D116,4)*1&gt;LEFT('General inputs'!$I$16,4)+'General inputs'!$H$38-1,"",E116/(1+'General inputs'!$H$30)^C116)</f>
        <v/>
      </c>
      <c r="G116" s="115" t="str">
        <f>IF(LEFT(D116,4)*1&gt;LEFT('General inputs'!$I$16,4)+'General inputs'!$H$38-1,"",E116/(1+'General inputs'!$H$32)^C116)</f>
        <v/>
      </c>
      <c r="H116" s="115" t="str">
        <f>IF(LEFT(D116,4)*1&lt;LEFT('General inputs'!$I$16,4)*1,"",IF(LEFT(D116,4)*1&gt;LEFT('General inputs'!$I$16,4)+'General inputs'!$H$38-1,"",E116/(1+'General inputs'!$H$34)^C116))</f>
        <v/>
      </c>
      <c r="I116" s="93"/>
      <c r="J116" s="153"/>
      <c r="K116" s="153"/>
      <c r="L116" s="115" t="str">
        <f>IF(LEFT(D116,4)*1&gt;LEFT('General inputs'!$I$18,4)*1,"",SUMIF('Post-1996 commissioned assets'!$F$22:$F$3002,$D116,'Post-1996 commissioned assets'!$P$22:$P$3002)*(1+$K$34)*(1+$K$35))</f>
        <v/>
      </c>
      <c r="M116" s="115" t="str">
        <f>IF(L116="","",L116/(1+'General inputs'!$H$32)^C116)</f>
        <v/>
      </c>
      <c r="N116" s="115">
        <f>IF(LEFT(D116,4)*1&lt;LEFT('General inputs'!$I$18,4)*1+1,"",SUMIF('Uncommissioned assets'!$F$22:$F$2036,$D116,'Uncommissioned assets'!$P$22:$P$2036))</f>
        <v>0</v>
      </c>
      <c r="O116" s="115">
        <f>IF(N116="","",N116/(1+'General inputs'!$H$32)^C116)</f>
        <v>0</v>
      </c>
      <c r="P116" s="93"/>
      <c r="Q116" s="122"/>
      <c r="R116" s="115" t="str">
        <f>IF(OR(LEFT(D116,4)*1&lt;LEFT('General inputs'!$I$16,4)*1,LEFT(D116,4)*1&gt;LEFT('General inputs'!$I$16,4)+'General inputs'!$H$38-1),"",Q116/(1+'General inputs'!$H$34)^C116)</f>
        <v/>
      </c>
      <c r="S116" s="93"/>
      <c r="T116" s="122"/>
      <c r="U116" s="115" t="str">
        <f>IF(OR(LEFT(D116,4)*1&lt;LEFT('General inputs'!$I$16,4)*1,LEFT(D116,4)*1&gt;LEFT('General inputs'!$I$16,4)+'General inputs'!$H$38-1),"",T116/(1+'General inputs'!$H$34)^C116)</f>
        <v/>
      </c>
      <c r="V116" s="95"/>
      <c r="W116" s="94"/>
    </row>
    <row r="117" spans="2:23" x14ac:dyDescent="0.25">
      <c r="B117" s="68"/>
      <c r="C117" s="113">
        <f>IF(D117='General inputs'!$I$16,0,IF(D117&lt;'General inputs'!$I$16,C118-1,C116+1))</f>
        <v>51</v>
      </c>
      <c r="D117" s="113" t="str">
        <f t="shared" si="3"/>
        <v>2073-74</v>
      </c>
      <c r="E117" s="115" t="str">
        <f>IF(LEFT(D117,4)*1&gt;LEFT('General inputs'!$I$16,4)+'General inputs'!$H$38-1,"",'ET inputs'!D90)</f>
        <v/>
      </c>
      <c r="F117" s="115" t="str">
        <f>IF(LEFT(D117,4)*1&gt;LEFT('General inputs'!$I$16,4)+'General inputs'!$H$38-1,"",E117/(1+'General inputs'!$H$30)^C117)</f>
        <v/>
      </c>
      <c r="G117" s="115" t="str">
        <f>IF(LEFT(D117,4)*1&gt;LEFT('General inputs'!$I$16,4)+'General inputs'!$H$38-1,"",E117/(1+'General inputs'!$H$32)^C117)</f>
        <v/>
      </c>
      <c r="H117" s="115" t="str">
        <f>IF(LEFT(D117,4)*1&lt;LEFT('General inputs'!$I$16,4)*1,"",IF(LEFT(D117,4)*1&gt;LEFT('General inputs'!$I$16,4)+'General inputs'!$H$38-1,"",E117/(1+'General inputs'!$H$34)^C117))</f>
        <v/>
      </c>
      <c r="I117" s="93"/>
      <c r="J117" s="153"/>
      <c r="K117" s="153"/>
      <c r="L117" s="115" t="str">
        <f>IF(LEFT(D117,4)*1&gt;LEFT('General inputs'!$I$18,4)*1,"",SUMIF('Post-1996 commissioned assets'!$F$22:$F$3002,$D117,'Post-1996 commissioned assets'!$P$22:$P$3002)*(1+$K$34)*(1+$K$35))</f>
        <v/>
      </c>
      <c r="M117" s="115" t="str">
        <f>IF(L117="","",L117/(1+'General inputs'!$H$32)^C117)</f>
        <v/>
      </c>
      <c r="N117" s="115">
        <f>IF(LEFT(D117,4)*1&lt;LEFT('General inputs'!$I$18,4)*1+1,"",SUMIF('Uncommissioned assets'!$F$22:$F$2036,$D117,'Uncommissioned assets'!$P$22:$P$2036))</f>
        <v>0</v>
      </c>
      <c r="O117" s="115">
        <f>IF(N117="","",N117/(1+'General inputs'!$H$32)^C117)</f>
        <v>0</v>
      </c>
      <c r="P117" s="93"/>
      <c r="Q117" s="122"/>
      <c r="R117" s="115" t="str">
        <f>IF(OR(LEFT(D117,4)*1&lt;LEFT('General inputs'!$I$16,4)*1,LEFT(D117,4)*1&gt;LEFT('General inputs'!$I$16,4)+'General inputs'!$H$38-1),"",Q117/(1+'General inputs'!$H$34)^C117)</f>
        <v/>
      </c>
      <c r="S117" s="93"/>
      <c r="T117" s="122"/>
      <c r="U117" s="115" t="str">
        <f>IF(OR(LEFT(D117,4)*1&lt;LEFT('General inputs'!$I$16,4)*1,LEFT(D117,4)*1&gt;LEFT('General inputs'!$I$16,4)+'General inputs'!$H$38-1),"",T117/(1+'General inputs'!$H$34)^C117)</f>
        <v/>
      </c>
      <c r="V117" s="95"/>
      <c r="W117" s="94"/>
    </row>
    <row r="118" spans="2:23" x14ac:dyDescent="0.25">
      <c r="B118" s="68"/>
      <c r="C118" s="113">
        <f>IF(D118='General inputs'!$I$16,0,IF(D118&lt;'General inputs'!$I$16,C119-1,C117+1))</f>
        <v>52</v>
      </c>
      <c r="D118" s="113" t="str">
        <f t="shared" si="3"/>
        <v>2074-75</v>
      </c>
      <c r="E118" s="115" t="str">
        <f>IF(LEFT(D118,4)*1&gt;LEFT('General inputs'!$I$16,4)+'General inputs'!$H$38-1,"",'ET inputs'!D91)</f>
        <v/>
      </c>
      <c r="F118" s="115" t="str">
        <f>IF(LEFT(D118,4)*1&gt;LEFT('General inputs'!$I$16,4)+'General inputs'!$H$38-1,"",E118/(1+'General inputs'!$H$30)^C118)</f>
        <v/>
      </c>
      <c r="G118" s="115" t="str">
        <f>IF(LEFT(D118,4)*1&gt;LEFT('General inputs'!$I$16,4)+'General inputs'!$H$38-1,"",E118/(1+'General inputs'!$H$32)^C118)</f>
        <v/>
      </c>
      <c r="H118" s="115" t="str">
        <f>IF(LEFT(D118,4)*1&lt;LEFT('General inputs'!$I$16,4)*1,"",IF(LEFT(D118,4)*1&gt;LEFT('General inputs'!$I$16,4)+'General inputs'!$H$38-1,"",E118/(1+'General inputs'!$H$34)^C118))</f>
        <v/>
      </c>
      <c r="I118" s="93"/>
      <c r="J118" s="153"/>
      <c r="K118" s="153"/>
      <c r="L118" s="115" t="str">
        <f>IF(LEFT(D118,4)*1&gt;LEFT('General inputs'!$I$18,4)*1,"",SUMIF('Post-1996 commissioned assets'!$F$22:$F$3002,$D118,'Post-1996 commissioned assets'!$P$22:$P$3002)*(1+$K$34)*(1+$K$35))</f>
        <v/>
      </c>
      <c r="M118" s="115" t="str">
        <f>IF(L118="","",L118/(1+'General inputs'!$H$32)^C118)</f>
        <v/>
      </c>
      <c r="N118" s="115">
        <f>IF(LEFT(D118,4)*1&lt;LEFT('General inputs'!$I$18,4)*1+1,"",SUMIF('Uncommissioned assets'!$F$22:$F$2036,$D118,'Uncommissioned assets'!$P$22:$P$2036))</f>
        <v>0</v>
      </c>
      <c r="O118" s="115">
        <f>IF(N118="","",N118/(1+'General inputs'!$H$32)^C118)</f>
        <v>0</v>
      </c>
      <c r="P118" s="93"/>
      <c r="Q118" s="122"/>
      <c r="R118" s="115" t="str">
        <f>IF(OR(LEFT(D118,4)*1&lt;LEFT('General inputs'!$I$16,4)*1,LEFT(D118,4)*1&gt;LEFT('General inputs'!$I$16,4)+'General inputs'!$H$38-1),"",Q118/(1+'General inputs'!$H$34)^C118)</f>
        <v/>
      </c>
      <c r="S118" s="93"/>
      <c r="T118" s="122"/>
      <c r="U118" s="115" t="str">
        <f>IF(OR(LEFT(D118,4)*1&lt;LEFT('General inputs'!$I$16,4)*1,LEFT(D118,4)*1&gt;LEFT('General inputs'!$I$16,4)+'General inputs'!$H$38-1),"",T118/(1+'General inputs'!$H$34)^C118)</f>
        <v/>
      </c>
      <c r="V118" s="95"/>
      <c r="W118" s="94"/>
    </row>
    <row r="119" spans="2:23" x14ac:dyDescent="0.25">
      <c r="B119" s="68"/>
      <c r="C119" s="113">
        <f>IF(D119='General inputs'!$I$16,0,IF(D119&lt;'General inputs'!$I$16,C120-1,C118+1))</f>
        <v>53</v>
      </c>
      <c r="D119" s="113" t="str">
        <f t="shared" si="3"/>
        <v>2075-76</v>
      </c>
      <c r="E119" s="115" t="str">
        <f>IF(LEFT(D119,4)*1&gt;LEFT('General inputs'!$I$16,4)+'General inputs'!$H$38-1,"",'ET inputs'!D92)</f>
        <v/>
      </c>
      <c r="F119" s="115" t="str">
        <f>IF(LEFT(D119,4)*1&gt;LEFT('General inputs'!$I$16,4)+'General inputs'!$H$38-1,"",E119/(1+'General inputs'!$H$30)^C119)</f>
        <v/>
      </c>
      <c r="G119" s="115" t="str">
        <f>IF(LEFT(D119,4)*1&gt;LEFT('General inputs'!$I$16,4)+'General inputs'!$H$38-1,"",E119/(1+'General inputs'!$H$32)^C119)</f>
        <v/>
      </c>
      <c r="H119" s="115" t="str">
        <f>IF(LEFT(D119,4)*1&lt;LEFT('General inputs'!$I$16,4)*1,"",IF(LEFT(D119,4)*1&gt;LEFT('General inputs'!$I$16,4)+'General inputs'!$H$38-1,"",E119/(1+'General inputs'!$H$34)^C119))</f>
        <v/>
      </c>
      <c r="I119" s="93"/>
      <c r="J119" s="153"/>
      <c r="K119" s="153"/>
      <c r="L119" s="115" t="str">
        <f>IF(LEFT(D119,4)*1&gt;LEFT('General inputs'!$I$18,4)*1,"",SUMIF('Post-1996 commissioned assets'!$F$22:$F$3002,$D119,'Post-1996 commissioned assets'!$P$22:$P$3002)*(1+$K$34)*(1+$K$35))</f>
        <v/>
      </c>
      <c r="M119" s="115" t="str">
        <f>IF(L119="","",L119/(1+'General inputs'!$H$32)^C119)</f>
        <v/>
      </c>
      <c r="N119" s="115">
        <f>IF(LEFT(D119,4)*1&lt;LEFT('General inputs'!$I$18,4)*1+1,"",SUMIF('Uncommissioned assets'!$F$22:$F$2036,$D119,'Uncommissioned assets'!$P$22:$P$2036))</f>
        <v>0</v>
      </c>
      <c r="O119" s="115">
        <f>IF(N119="","",N119/(1+'General inputs'!$H$32)^C119)</f>
        <v>0</v>
      </c>
      <c r="P119" s="93"/>
      <c r="Q119" s="122"/>
      <c r="R119" s="115" t="str">
        <f>IF(OR(LEFT(D119,4)*1&lt;LEFT('General inputs'!$I$16,4)*1,LEFT(D119,4)*1&gt;LEFT('General inputs'!$I$16,4)+'General inputs'!$H$38-1),"",Q119/(1+'General inputs'!$H$34)^C119)</f>
        <v/>
      </c>
      <c r="S119" s="93"/>
      <c r="T119" s="122"/>
      <c r="U119" s="115" t="str">
        <f>IF(OR(LEFT(D119,4)*1&lt;LEFT('General inputs'!$I$16,4)*1,LEFT(D119,4)*1&gt;LEFT('General inputs'!$I$16,4)+'General inputs'!$H$38-1),"",T119/(1+'General inputs'!$H$34)^C119)</f>
        <v/>
      </c>
      <c r="V119" s="95"/>
      <c r="W119" s="94"/>
    </row>
    <row r="120" spans="2:23" x14ac:dyDescent="0.25">
      <c r="B120" s="68"/>
      <c r="C120" s="113">
        <f>IF(D120='General inputs'!$I$16,0,IF(D120&lt;'General inputs'!$I$16,C121-1,C119+1))</f>
        <v>54</v>
      </c>
      <c r="D120" s="113" t="str">
        <f t="shared" si="3"/>
        <v>2076-77</v>
      </c>
      <c r="E120" s="115" t="str">
        <f>IF(LEFT(D120,4)*1&gt;LEFT('General inputs'!$I$16,4)+'General inputs'!$H$38-1,"",'ET inputs'!D93)</f>
        <v/>
      </c>
      <c r="F120" s="115" t="str">
        <f>IF(LEFT(D120,4)*1&gt;LEFT('General inputs'!$I$16,4)+'General inputs'!$H$38-1,"",E120/(1+'General inputs'!$H$30)^C120)</f>
        <v/>
      </c>
      <c r="G120" s="115" t="str">
        <f>IF(LEFT(D120,4)*1&gt;LEFT('General inputs'!$I$16,4)+'General inputs'!$H$38-1,"",E120/(1+'General inputs'!$H$32)^C120)</f>
        <v/>
      </c>
      <c r="H120" s="115" t="str">
        <f>IF(LEFT(D120,4)*1&lt;LEFT('General inputs'!$I$16,4)*1,"",IF(LEFT(D120,4)*1&gt;LEFT('General inputs'!$I$16,4)+'General inputs'!$H$38-1,"",E120/(1+'General inputs'!$H$34)^C120))</f>
        <v/>
      </c>
      <c r="I120" s="93"/>
      <c r="J120" s="153"/>
      <c r="K120" s="153"/>
      <c r="L120" s="115" t="str">
        <f>IF(LEFT(D120,4)*1&gt;LEFT('General inputs'!$I$18,4)*1,"",SUMIF('Post-1996 commissioned assets'!$F$22:$F$3002,$D120,'Post-1996 commissioned assets'!$P$22:$P$3002)*(1+$K$34)*(1+$K$35))</f>
        <v/>
      </c>
      <c r="M120" s="115" t="str">
        <f>IF(L120="","",L120/(1+'General inputs'!$H$32)^C120)</f>
        <v/>
      </c>
      <c r="N120" s="115">
        <f>IF(LEFT(D120,4)*1&lt;LEFT('General inputs'!$I$18,4)*1+1,"",SUMIF('Uncommissioned assets'!$F$22:$F$2036,$D120,'Uncommissioned assets'!$P$22:$P$2036))</f>
        <v>0</v>
      </c>
      <c r="O120" s="115">
        <f>IF(N120="","",N120/(1+'General inputs'!$H$32)^C120)</f>
        <v>0</v>
      </c>
      <c r="P120" s="93"/>
      <c r="Q120" s="122"/>
      <c r="R120" s="115" t="str">
        <f>IF(OR(LEFT(D120,4)*1&lt;LEFT('General inputs'!$I$16,4)*1,LEFT(D120,4)*1&gt;LEFT('General inputs'!$I$16,4)+'General inputs'!$H$38-1),"",Q120/(1+'General inputs'!$H$34)^C120)</f>
        <v/>
      </c>
      <c r="S120" s="93"/>
      <c r="T120" s="122"/>
      <c r="U120" s="115" t="str">
        <f>IF(OR(LEFT(D120,4)*1&lt;LEFT('General inputs'!$I$16,4)*1,LEFT(D120,4)*1&gt;LEFT('General inputs'!$I$16,4)+'General inputs'!$H$38-1),"",T120/(1+'General inputs'!$H$34)^C120)</f>
        <v/>
      </c>
      <c r="V120" s="95"/>
      <c r="W120" s="94"/>
    </row>
    <row r="121" spans="2:23" x14ac:dyDescent="0.25">
      <c r="B121" s="68"/>
      <c r="C121" s="113">
        <f>IF(D121='General inputs'!$I$16,0,IF(D121&lt;'General inputs'!$I$16,C122-1,C120+1))</f>
        <v>55</v>
      </c>
      <c r="D121" s="113" t="str">
        <f t="shared" si="3"/>
        <v>2077-78</v>
      </c>
      <c r="E121" s="115" t="str">
        <f>IF(LEFT(D121,4)*1&gt;LEFT('General inputs'!$I$16,4)+'General inputs'!$H$38-1,"",'ET inputs'!D94)</f>
        <v/>
      </c>
      <c r="F121" s="115" t="str">
        <f>IF(LEFT(D121,4)*1&gt;LEFT('General inputs'!$I$16,4)+'General inputs'!$H$38-1,"",E121/(1+'General inputs'!$H$30)^C121)</f>
        <v/>
      </c>
      <c r="G121" s="115" t="str">
        <f>IF(LEFT(D121,4)*1&gt;LEFT('General inputs'!$I$16,4)+'General inputs'!$H$38-1,"",E121/(1+'General inputs'!$H$32)^C121)</f>
        <v/>
      </c>
      <c r="H121" s="115" t="str">
        <f>IF(LEFT(D121,4)*1&lt;LEFT('General inputs'!$I$16,4)*1,"",IF(LEFT(D121,4)*1&gt;LEFT('General inputs'!$I$16,4)+'General inputs'!$H$38-1,"",E121/(1+'General inputs'!$H$34)^C121))</f>
        <v/>
      </c>
      <c r="I121" s="93"/>
      <c r="J121" s="153"/>
      <c r="K121" s="153"/>
      <c r="L121" s="115" t="str">
        <f>IF(LEFT(D121,4)*1&gt;LEFT('General inputs'!$I$18,4)*1,"",SUMIF('Post-1996 commissioned assets'!$F$22:$F$3002,$D121,'Post-1996 commissioned assets'!$P$22:$P$3002)*(1+$K$34)*(1+$K$35))</f>
        <v/>
      </c>
      <c r="M121" s="115" t="str">
        <f>IF(L121="","",L121/(1+'General inputs'!$H$32)^C121)</f>
        <v/>
      </c>
      <c r="N121" s="115">
        <f>IF(LEFT(D121,4)*1&lt;LEFT('General inputs'!$I$18,4)*1+1,"",SUMIF('Uncommissioned assets'!$F$22:$F$2036,$D121,'Uncommissioned assets'!$P$22:$P$2036))</f>
        <v>0</v>
      </c>
      <c r="O121" s="115">
        <f>IF(N121="","",N121/(1+'General inputs'!$H$32)^C121)</f>
        <v>0</v>
      </c>
      <c r="P121" s="93"/>
      <c r="Q121" s="122"/>
      <c r="R121" s="115" t="str">
        <f>IF(OR(LEFT(D121,4)*1&lt;LEFT('General inputs'!$I$16,4)*1,LEFT(D121,4)*1&gt;LEFT('General inputs'!$I$16,4)+'General inputs'!$H$38-1),"",Q121/(1+'General inputs'!$H$34)^C121)</f>
        <v/>
      </c>
      <c r="S121" s="93"/>
      <c r="T121" s="122"/>
      <c r="U121" s="115" t="str">
        <f>IF(OR(LEFT(D121,4)*1&lt;LEFT('General inputs'!$I$16,4)*1,LEFT(D121,4)*1&gt;LEFT('General inputs'!$I$16,4)+'General inputs'!$H$38-1),"",T121/(1+'General inputs'!$H$34)^C121)</f>
        <v/>
      </c>
      <c r="V121" s="95"/>
      <c r="W121" s="94"/>
    </row>
    <row r="122" spans="2:23" x14ac:dyDescent="0.25">
      <c r="B122" s="68"/>
      <c r="C122" s="113">
        <f>IF(D122='General inputs'!$I$16,0,IF(D122&lt;'General inputs'!$I$16,C123-1,C121+1))</f>
        <v>56</v>
      </c>
      <c r="D122" s="113" t="str">
        <f t="shared" si="3"/>
        <v>2078-79</v>
      </c>
      <c r="E122" s="115" t="str">
        <f>IF(LEFT(D122,4)*1&gt;LEFT('General inputs'!$I$16,4)+'General inputs'!$H$38-1,"",'ET inputs'!D95)</f>
        <v/>
      </c>
      <c r="F122" s="115" t="str">
        <f>IF(LEFT(D122,4)*1&gt;LEFT('General inputs'!$I$16,4)+'General inputs'!$H$38-1,"",E122/(1+'General inputs'!$H$30)^C122)</f>
        <v/>
      </c>
      <c r="G122" s="115" t="str">
        <f>IF(LEFT(D122,4)*1&gt;LEFT('General inputs'!$I$16,4)+'General inputs'!$H$38-1,"",E122/(1+'General inputs'!$H$32)^C122)</f>
        <v/>
      </c>
      <c r="H122" s="115" t="str">
        <f>IF(LEFT(D122,4)*1&lt;LEFT('General inputs'!$I$16,4)*1,"",IF(LEFT(D122,4)*1&gt;LEFT('General inputs'!$I$16,4)+'General inputs'!$H$38-1,"",E122/(1+'General inputs'!$H$34)^C122))</f>
        <v/>
      </c>
      <c r="I122" s="93"/>
      <c r="J122" s="153"/>
      <c r="K122" s="153"/>
      <c r="L122" s="115" t="str">
        <f>IF(LEFT(D122,4)*1&gt;LEFT('General inputs'!$I$18,4)*1,"",SUMIF('Post-1996 commissioned assets'!$F$22:$F$3002,$D122,'Post-1996 commissioned assets'!$P$22:$P$3002)*(1+$K$34)*(1+$K$35))</f>
        <v/>
      </c>
      <c r="M122" s="115" t="str">
        <f>IF(L122="","",L122/(1+'General inputs'!$H$32)^C122)</f>
        <v/>
      </c>
      <c r="N122" s="115">
        <f>IF(LEFT(D122,4)*1&lt;LEFT('General inputs'!$I$18,4)*1+1,"",SUMIF('Uncommissioned assets'!$F$22:$F$2036,$D122,'Uncommissioned assets'!$P$22:$P$2036))</f>
        <v>0</v>
      </c>
      <c r="O122" s="115">
        <f>IF(N122="","",N122/(1+'General inputs'!$H$32)^C122)</f>
        <v>0</v>
      </c>
      <c r="P122" s="93"/>
      <c r="Q122" s="122"/>
      <c r="R122" s="115" t="str">
        <f>IF(OR(LEFT(D122,4)*1&lt;LEFT('General inputs'!$I$16,4)*1,LEFT(D122,4)*1&gt;LEFT('General inputs'!$I$16,4)+'General inputs'!$H$38-1),"",Q122/(1+'General inputs'!$H$34)^C122)</f>
        <v/>
      </c>
      <c r="S122" s="93"/>
      <c r="T122" s="122"/>
      <c r="U122" s="115" t="str">
        <f>IF(OR(LEFT(D122,4)*1&lt;LEFT('General inputs'!$I$16,4)*1,LEFT(D122,4)*1&gt;LEFT('General inputs'!$I$16,4)+'General inputs'!$H$38-1),"",T122/(1+'General inputs'!$H$34)^C122)</f>
        <v/>
      </c>
      <c r="V122" s="95"/>
      <c r="W122" s="94"/>
    </row>
    <row r="123" spans="2:23" x14ac:dyDescent="0.25">
      <c r="B123" s="68"/>
      <c r="C123" s="113">
        <f>IF(D123='General inputs'!$I$16,0,IF(D123&lt;'General inputs'!$I$16,C124-1,C122+1))</f>
        <v>57</v>
      </c>
      <c r="D123" s="113" t="str">
        <f t="shared" ref="D123:D129" si="4">LEFT(D122,4)+1&amp;"-"&amp;RIGHT(D122,2)+1</f>
        <v>2079-80</v>
      </c>
      <c r="E123" s="115" t="str">
        <f>IF(LEFT(D123,4)*1&gt;LEFT('General inputs'!$I$16,4)+'General inputs'!$H$38-1,"",'ET inputs'!D96)</f>
        <v/>
      </c>
      <c r="F123" s="115" t="str">
        <f>IF(LEFT(D123,4)*1&gt;LEFT('General inputs'!$I$16,4)+'General inputs'!$H$38-1,"",E123/(1+'General inputs'!$H$30)^C123)</f>
        <v/>
      </c>
      <c r="G123" s="115" t="str">
        <f>IF(LEFT(D123,4)*1&gt;LEFT('General inputs'!$I$16,4)+'General inputs'!$H$38-1,"",E123/(1+'General inputs'!$H$32)^C123)</f>
        <v/>
      </c>
      <c r="H123" s="115" t="str">
        <f>IF(LEFT(D123,4)*1&lt;LEFT('General inputs'!$I$16,4)*1,"",IF(LEFT(D123,4)*1&gt;LEFT('General inputs'!$I$16,4)+'General inputs'!$H$38-1,"",E123/(1+'General inputs'!$H$34)^C123))</f>
        <v/>
      </c>
      <c r="I123" s="93"/>
      <c r="J123" s="153"/>
      <c r="K123" s="153"/>
      <c r="L123" s="115" t="str">
        <f>IF(LEFT(D123,4)*1&gt;LEFT('General inputs'!$I$18,4)*1,"",SUMIF('Post-1996 commissioned assets'!$F$22:$F$3002,$D123,'Post-1996 commissioned assets'!$P$22:$P$3002)*(1+$K$34)*(1+$K$35))</f>
        <v/>
      </c>
      <c r="M123" s="115" t="str">
        <f>IF(L123="","",L123/(1+'General inputs'!$H$32)^C123)</f>
        <v/>
      </c>
      <c r="N123" s="115">
        <f>IF(LEFT(D123,4)*1&lt;LEFT('General inputs'!$I$18,4)*1+1,"",SUMIF('Uncommissioned assets'!$F$22:$F$2036,$D123,'Uncommissioned assets'!$P$22:$P$2036))</f>
        <v>0</v>
      </c>
      <c r="O123" s="115">
        <f>IF(N123="","",N123/(1+'General inputs'!$H$32)^C123)</f>
        <v>0</v>
      </c>
      <c r="P123" s="93"/>
      <c r="Q123" s="122"/>
      <c r="R123" s="115" t="str">
        <f>IF(OR(LEFT(D123,4)*1&lt;LEFT('General inputs'!$I$16,4)*1,LEFT(D123,4)*1&gt;LEFT('General inputs'!$I$16,4)+'General inputs'!$H$38-1),"",Q123/(1+'General inputs'!$H$34)^C123)</f>
        <v/>
      </c>
      <c r="S123" s="93"/>
      <c r="T123" s="122"/>
      <c r="U123" s="115" t="str">
        <f>IF(OR(LEFT(D123,4)*1&lt;LEFT('General inputs'!$I$16,4)*1,LEFT(D123,4)*1&gt;LEFT('General inputs'!$I$16,4)+'General inputs'!$H$38-1),"",T123/(1+'General inputs'!$H$34)^C123)</f>
        <v/>
      </c>
      <c r="V123" s="95"/>
      <c r="W123" s="94"/>
    </row>
    <row r="124" spans="2:23" x14ac:dyDescent="0.25">
      <c r="B124" s="68"/>
      <c r="C124" s="113">
        <f>IF(D124='General inputs'!$I$16,0,IF(D124&lt;'General inputs'!$I$16,C125-1,C123+1))</f>
        <v>58</v>
      </c>
      <c r="D124" s="113" t="str">
        <f t="shared" si="4"/>
        <v>2080-81</v>
      </c>
      <c r="E124" s="115" t="str">
        <f>IF(LEFT(D124,4)*1&gt;LEFT('General inputs'!$I$16,4)+'General inputs'!$H$38-1,"",'ET inputs'!D97)</f>
        <v/>
      </c>
      <c r="F124" s="115" t="str">
        <f>IF(LEFT(D124,4)*1&gt;LEFT('General inputs'!$I$16,4)+'General inputs'!$H$38-1,"",E124/(1+'General inputs'!$H$30)^C124)</f>
        <v/>
      </c>
      <c r="G124" s="115" t="str">
        <f>IF(LEFT(D124,4)*1&gt;LEFT('General inputs'!$I$16,4)+'General inputs'!$H$38-1,"",E124/(1+'General inputs'!$H$32)^C124)</f>
        <v/>
      </c>
      <c r="H124" s="115" t="str">
        <f>IF(LEFT(D124,4)*1&lt;LEFT('General inputs'!$I$16,4)*1,"",IF(LEFT(D124,4)*1&gt;LEFT('General inputs'!$I$16,4)+'General inputs'!$H$38-1,"",E124/(1+'General inputs'!$H$34)^C124))</f>
        <v/>
      </c>
      <c r="I124" s="93"/>
      <c r="J124" s="153"/>
      <c r="K124" s="153"/>
      <c r="L124" s="115" t="str">
        <f>IF(LEFT(D124,4)*1&gt;LEFT('General inputs'!$I$18,4)*1,"",SUMIF('Post-1996 commissioned assets'!$F$22:$F$3002,$D124,'Post-1996 commissioned assets'!$P$22:$P$3002)*(1+$K$34)*(1+$K$35))</f>
        <v/>
      </c>
      <c r="M124" s="115" t="str">
        <f>IF(L124="","",L124/(1+'General inputs'!$H$32)^C124)</f>
        <v/>
      </c>
      <c r="N124" s="115">
        <f>IF(LEFT(D124,4)*1&lt;LEFT('General inputs'!$I$18,4)*1+1,"",SUMIF('Uncommissioned assets'!$F$22:$F$2036,$D124,'Uncommissioned assets'!$P$22:$P$2036))</f>
        <v>0</v>
      </c>
      <c r="O124" s="115">
        <f>IF(N124="","",N124/(1+'General inputs'!$H$32)^C124)</f>
        <v>0</v>
      </c>
      <c r="P124" s="93"/>
      <c r="Q124" s="122"/>
      <c r="R124" s="115" t="str">
        <f>IF(OR(LEFT(D124,4)*1&lt;LEFT('General inputs'!$I$16,4)*1,LEFT(D124,4)*1&gt;LEFT('General inputs'!$I$16,4)+'General inputs'!$H$38-1),"",Q124/(1+'General inputs'!$H$34)^C124)</f>
        <v/>
      </c>
      <c r="S124" s="93"/>
      <c r="T124" s="122"/>
      <c r="U124" s="115" t="str">
        <f>IF(OR(LEFT(D124,4)*1&lt;LEFT('General inputs'!$I$16,4)*1,LEFT(D124,4)*1&gt;LEFT('General inputs'!$I$16,4)+'General inputs'!$H$38-1),"",T124/(1+'General inputs'!$H$34)^C124)</f>
        <v/>
      </c>
      <c r="V124" s="95"/>
      <c r="W124" s="94"/>
    </row>
    <row r="125" spans="2:23" x14ac:dyDescent="0.25">
      <c r="B125" s="68"/>
      <c r="C125" s="113">
        <f>IF(D125='General inputs'!$I$16,0,IF(D125&lt;'General inputs'!$I$16,C126-1,C124+1))</f>
        <v>59</v>
      </c>
      <c r="D125" s="113" t="str">
        <f t="shared" si="4"/>
        <v>2081-82</v>
      </c>
      <c r="E125" s="115" t="str">
        <f>IF(LEFT(D125,4)*1&gt;LEFT('General inputs'!$I$16,4)+'General inputs'!$H$38-1,"",'ET inputs'!D98)</f>
        <v/>
      </c>
      <c r="F125" s="115" t="str">
        <f>IF(LEFT(D125,4)*1&gt;LEFT('General inputs'!$I$16,4)+'General inputs'!$H$38-1,"",E125/(1+'General inputs'!$H$30)^C125)</f>
        <v/>
      </c>
      <c r="G125" s="115" t="str">
        <f>IF(LEFT(D125,4)*1&gt;LEFT('General inputs'!$I$16,4)+'General inputs'!$H$38-1,"",E125/(1+'General inputs'!$H$32)^C125)</f>
        <v/>
      </c>
      <c r="H125" s="115" t="str">
        <f>IF(LEFT(D125,4)*1&lt;LEFT('General inputs'!$I$16,4)*1,"",IF(LEFT(D125,4)*1&gt;LEFT('General inputs'!$I$16,4)+'General inputs'!$H$38-1,"",E125/(1+'General inputs'!$H$34)^C125))</f>
        <v/>
      </c>
      <c r="I125" s="93"/>
      <c r="J125" s="153"/>
      <c r="K125" s="153"/>
      <c r="L125" s="115" t="str">
        <f>IF(LEFT(D125,4)*1&gt;LEFT('General inputs'!$I$18,4)*1,"",SUMIF('Post-1996 commissioned assets'!$F$22:$F$3002,$D125,'Post-1996 commissioned assets'!$P$22:$P$3002)*(1+$K$34)*(1+$K$35))</f>
        <v/>
      </c>
      <c r="M125" s="115" t="str">
        <f>IF(L125="","",L125/(1+'General inputs'!$H$32)^C125)</f>
        <v/>
      </c>
      <c r="N125" s="115">
        <f>IF(LEFT(D125,4)*1&lt;LEFT('General inputs'!$I$18,4)*1+1,"",SUMIF('Uncommissioned assets'!$F$22:$F$2036,$D125,'Uncommissioned assets'!$P$22:$P$2036))</f>
        <v>0</v>
      </c>
      <c r="O125" s="115">
        <f>IF(N125="","",N125/(1+'General inputs'!$H$32)^C125)</f>
        <v>0</v>
      </c>
      <c r="P125" s="93"/>
      <c r="Q125" s="122"/>
      <c r="R125" s="115" t="str">
        <f>IF(OR(LEFT(D125,4)*1&lt;LEFT('General inputs'!$I$16,4)*1,LEFT(D125,4)*1&gt;LEFT('General inputs'!$I$16,4)+'General inputs'!$H$38-1),"",Q125/(1+'General inputs'!$H$34)^C125)</f>
        <v/>
      </c>
      <c r="S125" s="93"/>
      <c r="T125" s="122"/>
      <c r="U125" s="115" t="str">
        <f>IF(OR(LEFT(D125,4)*1&lt;LEFT('General inputs'!$I$16,4)*1,LEFT(D125,4)*1&gt;LEFT('General inputs'!$I$16,4)+'General inputs'!$H$38-1),"",T125/(1+'General inputs'!$H$34)^C125)</f>
        <v/>
      </c>
      <c r="V125" s="95"/>
      <c r="W125" s="94"/>
    </row>
    <row r="126" spans="2:23" x14ac:dyDescent="0.25">
      <c r="B126" s="68"/>
      <c r="C126" s="113">
        <f>IF(D126='General inputs'!$I$16,0,IF(D126&lt;'General inputs'!$I$16,C127-1,C125+1))</f>
        <v>60</v>
      </c>
      <c r="D126" s="113" t="str">
        <f t="shared" si="4"/>
        <v>2082-83</v>
      </c>
      <c r="E126" s="115" t="str">
        <f>IF(LEFT(D126,4)*1&gt;LEFT('General inputs'!$I$16,4)+'General inputs'!$H$38-1,"",'ET inputs'!D99)</f>
        <v/>
      </c>
      <c r="F126" s="115" t="str">
        <f>IF(LEFT(D126,4)*1&gt;LEFT('General inputs'!$I$16,4)+'General inputs'!$H$38-1,"",E126/(1+'General inputs'!$H$30)^C126)</f>
        <v/>
      </c>
      <c r="G126" s="115" t="str">
        <f>IF(LEFT(D126,4)*1&gt;LEFT('General inputs'!$I$16,4)+'General inputs'!$H$38-1,"",E126/(1+'General inputs'!$H$32)^C126)</f>
        <v/>
      </c>
      <c r="H126" s="115" t="str">
        <f>IF(LEFT(D126,4)*1&lt;LEFT('General inputs'!$I$16,4)*1,"",IF(LEFT(D126,4)*1&gt;LEFT('General inputs'!$I$16,4)+'General inputs'!$H$38-1,"",E126/(1+'General inputs'!$H$34)^C126))</f>
        <v/>
      </c>
      <c r="I126" s="93"/>
      <c r="J126" s="153"/>
      <c r="K126" s="153"/>
      <c r="L126" s="115" t="str">
        <f>IF(LEFT(D126,4)*1&gt;LEFT('General inputs'!$I$18,4)*1,"",SUMIF('Post-1996 commissioned assets'!$F$22:$F$3002,$D126,'Post-1996 commissioned assets'!$P$22:$P$3002)*(1+$K$34)*(1+$K$35))</f>
        <v/>
      </c>
      <c r="M126" s="115" t="str">
        <f>IF(L126="","",L126/(1+'General inputs'!$H$32)^C126)</f>
        <v/>
      </c>
      <c r="N126" s="115">
        <f>IF(LEFT(D126,4)*1&lt;LEFT('General inputs'!$I$18,4)*1+1,"",SUMIF('Uncommissioned assets'!$F$22:$F$2036,$D126,'Uncommissioned assets'!$P$22:$P$2036))</f>
        <v>0</v>
      </c>
      <c r="O126" s="115">
        <f>IF(N126="","",N126/(1+'General inputs'!$H$32)^C126)</f>
        <v>0</v>
      </c>
      <c r="P126" s="93"/>
      <c r="Q126" s="122"/>
      <c r="R126" s="115" t="str">
        <f>IF(OR(LEFT(D126,4)*1&lt;LEFT('General inputs'!$I$16,4)*1,LEFT(D126,4)*1&gt;LEFT('General inputs'!$I$16,4)+'General inputs'!$H$38-1),"",Q126/(1+'General inputs'!$H$34)^C126)</f>
        <v/>
      </c>
      <c r="S126" s="93"/>
      <c r="T126" s="122"/>
      <c r="U126" s="115" t="str">
        <f>IF(OR(LEFT(D126,4)*1&lt;LEFT('General inputs'!$I$16,4)*1,LEFT(D126,4)*1&gt;LEFT('General inputs'!$I$16,4)+'General inputs'!$H$38-1),"",T126/(1+'General inputs'!$H$34)^C126)</f>
        <v/>
      </c>
      <c r="V126" s="95"/>
      <c r="W126" s="94"/>
    </row>
    <row r="127" spans="2:23" x14ac:dyDescent="0.25">
      <c r="B127" s="68"/>
      <c r="C127" s="113">
        <f>IF(D127='General inputs'!$I$16,0,IF(D127&lt;'General inputs'!$I$16,C128-1,C126+1))</f>
        <v>61</v>
      </c>
      <c r="D127" s="113" t="str">
        <f t="shared" si="4"/>
        <v>2083-84</v>
      </c>
      <c r="E127" s="115" t="str">
        <f>IF(LEFT(D127,4)*1&gt;LEFT('General inputs'!$I$16,4)+'General inputs'!$H$38-1,"",'ET inputs'!D100)</f>
        <v/>
      </c>
      <c r="F127" s="115" t="str">
        <f>IF(LEFT(D127,4)*1&gt;LEFT('General inputs'!$I$16,4)+'General inputs'!$H$38-1,"",E127/(1+'General inputs'!$H$30)^C127)</f>
        <v/>
      </c>
      <c r="G127" s="115" t="str">
        <f>IF(LEFT(D127,4)*1&gt;LEFT('General inputs'!$I$16,4)+'General inputs'!$H$38-1,"",E127/(1+'General inputs'!$H$32)^C127)</f>
        <v/>
      </c>
      <c r="H127" s="115" t="str">
        <f>IF(LEFT(D127,4)*1&lt;LEFT('General inputs'!$I$16,4)*1,"",IF(LEFT(D127,4)*1&gt;LEFT('General inputs'!$I$16,4)+'General inputs'!$H$38-1,"",E127/(1+'General inputs'!$H$34)^C127))</f>
        <v/>
      </c>
      <c r="I127" s="93"/>
      <c r="J127" s="153"/>
      <c r="K127" s="153"/>
      <c r="L127" s="115" t="str">
        <f>IF(LEFT(D127,4)*1&gt;LEFT('General inputs'!$I$18,4)*1,"",SUMIF('Post-1996 commissioned assets'!$F$22:$F$3002,$D127,'Post-1996 commissioned assets'!$P$22:$P$3002)*(1+$K$34)*(1+$K$35))</f>
        <v/>
      </c>
      <c r="M127" s="115" t="str">
        <f>IF(L127="","",L127/(1+'General inputs'!$H$32)^C127)</f>
        <v/>
      </c>
      <c r="N127" s="115">
        <f>IF(LEFT(D127,4)*1&lt;LEFT('General inputs'!$I$18,4)*1+1,"",SUMIF('Uncommissioned assets'!$F$22:$F$2036,$D127,'Uncommissioned assets'!$P$22:$P$2036))</f>
        <v>0</v>
      </c>
      <c r="O127" s="115">
        <f>IF(N127="","",N127/(1+'General inputs'!$H$32)^C127)</f>
        <v>0</v>
      </c>
      <c r="P127" s="93"/>
      <c r="Q127" s="122"/>
      <c r="R127" s="115" t="str">
        <f>IF(OR(LEFT(D127,4)*1&lt;LEFT('General inputs'!$I$16,4)*1,LEFT(D127,4)*1&gt;LEFT('General inputs'!$I$16,4)+'General inputs'!$H$38-1),"",Q127/(1+'General inputs'!$H$34)^C127)</f>
        <v/>
      </c>
      <c r="S127" s="93"/>
      <c r="T127" s="122"/>
      <c r="U127" s="115" t="str">
        <f>IF(OR(LEFT(D127,4)*1&lt;LEFT('General inputs'!$I$16,4)*1,LEFT(D127,4)*1&gt;LEFT('General inputs'!$I$16,4)+'General inputs'!$H$38-1),"",T127/(1+'General inputs'!$H$34)^C127)</f>
        <v/>
      </c>
      <c r="V127" s="95"/>
      <c r="W127" s="94"/>
    </row>
    <row r="128" spans="2:23" x14ac:dyDescent="0.25">
      <c r="B128" s="68"/>
      <c r="C128" s="113">
        <f>IF(D128='General inputs'!$I$16,0,IF(D128&lt;'General inputs'!$I$16,C129-1,C127+1))</f>
        <v>62</v>
      </c>
      <c r="D128" s="113" t="str">
        <f t="shared" si="4"/>
        <v>2084-85</v>
      </c>
      <c r="E128" s="115" t="str">
        <f>IF(LEFT(D128,4)*1&gt;LEFT('General inputs'!$I$16,4)+'General inputs'!$H$38-1,"",'ET inputs'!D101)</f>
        <v/>
      </c>
      <c r="F128" s="115" t="str">
        <f>IF(LEFT(D128,4)*1&gt;LEFT('General inputs'!$I$16,4)+'General inputs'!$H$38-1,"",E128/(1+'General inputs'!$H$30)^C128)</f>
        <v/>
      </c>
      <c r="G128" s="115" t="str">
        <f>IF(LEFT(D128,4)*1&gt;LEFT('General inputs'!$I$16,4)+'General inputs'!$H$38-1,"",E128/(1+'General inputs'!$H$32)^C128)</f>
        <v/>
      </c>
      <c r="H128" s="115" t="str">
        <f>IF(LEFT(D128,4)*1&lt;LEFT('General inputs'!$I$16,4)*1,"",IF(LEFT(D128,4)*1&gt;LEFT('General inputs'!$I$16,4)+'General inputs'!$H$38-1,"",E128/(1+'General inputs'!$H$34)^C128))</f>
        <v/>
      </c>
      <c r="I128" s="93"/>
      <c r="J128" s="153"/>
      <c r="K128" s="153"/>
      <c r="L128" s="115" t="str">
        <f>IF(LEFT(D128,4)*1&gt;LEFT('General inputs'!$I$18,4)*1,"",SUMIF('Post-1996 commissioned assets'!$F$22:$F$3002,$D128,'Post-1996 commissioned assets'!$P$22:$P$3002)*(1+$K$34)*(1+$K$35))</f>
        <v/>
      </c>
      <c r="M128" s="115" t="str">
        <f>IF(L128="","",L128/(1+'General inputs'!$H$32)^C128)</f>
        <v/>
      </c>
      <c r="N128" s="115">
        <f>IF(LEFT(D128,4)*1&lt;LEFT('General inputs'!$I$18,4)*1+1,"",SUMIF('Uncommissioned assets'!$F$22:$F$2036,$D128,'Uncommissioned assets'!$P$22:$P$2036))</f>
        <v>0</v>
      </c>
      <c r="O128" s="115">
        <f>IF(N128="","",N128/(1+'General inputs'!$H$32)^C128)</f>
        <v>0</v>
      </c>
      <c r="P128" s="93"/>
      <c r="Q128" s="122"/>
      <c r="R128" s="115" t="str">
        <f>IF(OR(LEFT(D128,4)*1&lt;LEFT('General inputs'!$I$16,4)*1,LEFT(D128,4)*1&gt;LEFT('General inputs'!$I$16,4)+'General inputs'!$H$38-1),"",Q128/(1+'General inputs'!$H$34)^C128)</f>
        <v/>
      </c>
      <c r="S128" s="93"/>
      <c r="T128" s="122"/>
      <c r="U128" s="115" t="str">
        <f>IF(OR(LEFT(D128,4)*1&lt;LEFT('General inputs'!$I$16,4)*1,LEFT(D128,4)*1&gt;LEFT('General inputs'!$I$16,4)+'General inputs'!$H$38-1),"",T128/(1+'General inputs'!$H$34)^C128)</f>
        <v/>
      </c>
      <c r="V128" s="95"/>
      <c r="W128" s="94"/>
    </row>
    <row r="129" spans="2:23" x14ac:dyDescent="0.25">
      <c r="B129" s="68"/>
      <c r="C129" s="113">
        <f>IF(D129='General inputs'!$I$16,0,IF(D129&lt;'General inputs'!$I$16,C130-1,C128+1))</f>
        <v>63</v>
      </c>
      <c r="D129" s="113" t="str">
        <f t="shared" si="4"/>
        <v>2085-86</v>
      </c>
      <c r="E129" s="115" t="str">
        <f>IF(LEFT(D129,4)*1&gt;LEFT('General inputs'!$I$16,4)+'General inputs'!$H$38-1,"",'ET inputs'!D102)</f>
        <v/>
      </c>
      <c r="F129" s="115" t="str">
        <f>IF(LEFT(D129,4)*1&gt;LEFT('General inputs'!$I$16,4)+'General inputs'!$H$38-1,"",E129/(1+'General inputs'!$H$30)^C129)</f>
        <v/>
      </c>
      <c r="G129" s="115" t="str">
        <f>IF(LEFT(D129,4)*1&gt;LEFT('General inputs'!$I$16,4)+'General inputs'!$H$38-1,"",E129/(1+'General inputs'!$H$32)^C129)</f>
        <v/>
      </c>
      <c r="H129" s="115" t="str">
        <f>IF(LEFT(D129,4)*1&lt;LEFT('General inputs'!$I$16,4)*1,"",IF(LEFT(D129,4)*1&gt;LEFT('General inputs'!$I$16,4)+'General inputs'!$H$38-1,"",E129/(1+'General inputs'!$H$34)^C129))</f>
        <v/>
      </c>
      <c r="I129" s="93"/>
      <c r="J129" s="153"/>
      <c r="K129" s="153"/>
      <c r="L129" s="115" t="str">
        <f>IF(LEFT(D129,4)*1&gt;LEFT('General inputs'!$I$18,4)*1,"",SUMIF('Post-1996 commissioned assets'!$F$22:$F$3002,$D129,'Post-1996 commissioned assets'!$P$22:$P$3002)*(1+$K$34)*(1+$K$35))</f>
        <v/>
      </c>
      <c r="M129" s="115" t="str">
        <f>IF(L129="","",L129/(1+'General inputs'!$H$32)^C129)</f>
        <v/>
      </c>
      <c r="N129" s="115">
        <f>IF(LEFT(D129,4)*1&lt;LEFT('General inputs'!$I$18,4)*1+1,"",SUMIF('Uncommissioned assets'!$F$22:$F$2036,$D129,'Uncommissioned assets'!$P$22:$P$2036))</f>
        <v>0</v>
      </c>
      <c r="O129" s="115">
        <f>IF(N129="","",N129/(1+'General inputs'!$H$32)^C129)</f>
        <v>0</v>
      </c>
      <c r="P129" s="93"/>
      <c r="Q129" s="122"/>
      <c r="R129" s="115" t="str">
        <f>IF(OR(LEFT(D129,4)*1&lt;LEFT('General inputs'!$I$16,4)*1,LEFT(D129,4)*1&gt;LEFT('General inputs'!$I$16,4)+'General inputs'!$H$38-1),"",Q129/(1+'General inputs'!$H$34)^C129)</f>
        <v/>
      </c>
      <c r="S129" s="93"/>
      <c r="T129" s="122"/>
      <c r="U129" s="115" t="str">
        <f>IF(OR(LEFT(D129,4)*1&lt;LEFT('General inputs'!$I$16,4)*1,LEFT(D129,4)*1&gt;LEFT('General inputs'!$I$16,4)+'General inputs'!$H$38-1),"",T129/(1+'General inputs'!$H$34)^C129)</f>
        <v/>
      </c>
      <c r="V129" s="95"/>
      <c r="W129" s="94"/>
    </row>
    <row r="130" spans="2:23" x14ac:dyDescent="0.25">
      <c r="B130" s="70"/>
      <c r="C130" s="54"/>
      <c r="D130" s="54"/>
      <c r="E130" s="54"/>
      <c r="F130" s="54"/>
      <c r="G130" s="54"/>
      <c r="H130" s="54"/>
      <c r="I130" s="54"/>
      <c r="J130" s="54"/>
      <c r="K130" s="54"/>
      <c r="L130" s="54"/>
      <c r="M130" s="54"/>
      <c r="N130" s="54"/>
      <c r="O130" s="54"/>
      <c r="P130" s="54"/>
      <c r="Q130" s="54"/>
      <c r="R130" s="54"/>
      <c r="S130" s="54"/>
      <c r="T130" s="54"/>
      <c r="U130" s="54"/>
      <c r="V130" s="71"/>
    </row>
  </sheetData>
  <phoneticPr fontId="27" type="noConversion"/>
  <conditionalFormatting sqref="Q36">
    <cfRule type="containsText" dxfId="18" priority="6" operator="containsText" text="data">
      <formula>NOT(ISERROR(SEARCH("data",Q36)))</formula>
    </cfRule>
  </conditionalFormatting>
  <conditionalFormatting sqref="T36">
    <cfRule type="containsText" dxfId="17" priority="4"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1"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9"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50"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2"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U50"/>
  <sheetViews>
    <sheetView showGridLines="0" zoomScaleNormal="100" workbookViewId="0">
      <selection activeCell="H8" sqref="H8"/>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 min="18" max="18" width="11.69921875" bestFit="1" customWidth="1"/>
    <col min="19" max="19" width="10.3984375" bestFit="1" customWidth="1"/>
  </cols>
  <sheetData>
    <row r="3" spans="3:21" ht="20" x14ac:dyDescent="0.4">
      <c r="C3" s="72" t="s">
        <v>58</v>
      </c>
    </row>
    <row r="5" spans="3:21" ht="15.5" x14ac:dyDescent="0.35">
      <c r="C5" s="3" t="s">
        <v>123</v>
      </c>
      <c r="H5" s="383" t="s">
        <v>128</v>
      </c>
      <c r="I5" s="384"/>
      <c r="L5" s="58" t="str">
        <f>"Do not delete - data validation for option at "&amp;ADDRESS(ROW(H5),COLUMN(H5))</f>
        <v>Do not delete - data validation for option at $H$5</v>
      </c>
      <c r="S5" s="254"/>
      <c r="T5" s="254"/>
      <c r="U5" s="256"/>
    </row>
    <row r="6" spans="3:21" x14ac:dyDescent="0.25">
      <c r="L6" t="s">
        <v>124</v>
      </c>
      <c r="M6" t="s">
        <v>125</v>
      </c>
    </row>
    <row r="7" spans="3:21" ht="15.5" x14ac:dyDescent="0.35">
      <c r="C7" s="3" t="s">
        <v>76</v>
      </c>
      <c r="H7" s="383" t="s">
        <v>1292</v>
      </c>
      <c r="I7" s="384"/>
      <c r="L7" s="55" t="s">
        <v>126</v>
      </c>
      <c r="M7" s="183">
        <v>0</v>
      </c>
    </row>
    <row r="8" spans="3:21" x14ac:dyDescent="0.25">
      <c r="L8" s="56" t="s">
        <v>127</v>
      </c>
      <c r="M8" s="184">
        <v>0.03</v>
      </c>
    </row>
    <row r="9" spans="3:21" ht="15.5" hidden="1" outlineLevel="1" x14ac:dyDescent="0.35">
      <c r="C9" s="3" t="s">
        <v>137</v>
      </c>
      <c r="H9" s="383" t="s">
        <v>138</v>
      </c>
      <c r="I9" s="384"/>
      <c r="L9" s="57" t="s">
        <v>128</v>
      </c>
      <c r="M9" s="185">
        <v>0.03</v>
      </c>
    </row>
    <row r="10" spans="3:21" hidden="1" outlineLevel="1" x14ac:dyDescent="0.25"/>
    <row r="11" spans="3:21" ht="15.5" collapsed="1" x14ac:dyDescent="0.35">
      <c r="C11" s="3" t="s">
        <v>136</v>
      </c>
      <c r="H11" s="383" t="s">
        <v>139</v>
      </c>
      <c r="I11" s="384"/>
    </row>
    <row r="12" spans="3:21" x14ac:dyDescent="0.25">
      <c r="L12" s="58" t="str">
        <f>"Do not delete - data validation for options at "&amp;ADDRESS(ROW(H11),COLUMN(H11))</f>
        <v>Do not delete - data validation for options at $H$11</v>
      </c>
      <c r="S12" s="255"/>
      <c r="T12" s="255"/>
      <c r="U12" s="255"/>
    </row>
    <row r="13" spans="3:21" x14ac:dyDescent="0.25">
      <c r="L13" s="55" t="s">
        <v>139</v>
      </c>
      <c r="T13" s="64"/>
      <c r="U13" s="64"/>
    </row>
    <row r="14" spans="3:21" ht="15.5" x14ac:dyDescent="0.35">
      <c r="C14" s="3" t="s">
        <v>86</v>
      </c>
      <c r="I14" s="146" t="s">
        <v>41</v>
      </c>
      <c r="L14" s="56" t="s">
        <v>140</v>
      </c>
      <c r="T14" s="64"/>
      <c r="U14" s="64"/>
    </row>
    <row r="15" spans="3:21" x14ac:dyDescent="0.25">
      <c r="L15" s="57" t="s">
        <v>141</v>
      </c>
    </row>
    <row r="16" spans="3:21" x14ac:dyDescent="0.25">
      <c r="D16" s="58" t="s">
        <v>221</v>
      </c>
      <c r="I16" s="63" t="s">
        <v>45</v>
      </c>
    </row>
    <row r="17" spans="3:12" x14ac:dyDescent="0.25">
      <c r="D17" s="58"/>
    </row>
    <row r="18" spans="3:12" x14ac:dyDescent="0.25">
      <c r="D18" s="58" t="s">
        <v>54</v>
      </c>
      <c r="H18" s="242">
        <v>44377</v>
      </c>
      <c r="I18" s="80" t="str">
        <f>IF(MONTH(H18)&gt;=7,YEAR(H18)&amp;"-"&amp;RIGHT(YEAR(H18),2)+1,RIGHT(YEAR(H18),4)-1&amp;"-"&amp;RIGHT(YEAR(H18),2))</f>
        <v>2020-21</v>
      </c>
      <c r="L18" s="58" t="str">
        <f>"Do not delete - data validation for options at "&amp;ADDRESS(ROW(I16),COLUMN(I16))&amp;" and "&amp;ADDRESS(ROW(I40),COLUMN(I40))</f>
        <v>Do not delete - data validation for options at $I$16 and $I$40</v>
      </c>
    </row>
    <row r="19" spans="3:12" x14ac:dyDescent="0.25">
      <c r="L19" s="223" t="s">
        <v>15</v>
      </c>
    </row>
    <row r="20" spans="3:12" x14ac:dyDescent="0.25">
      <c r="L20" s="56" t="s">
        <v>98</v>
      </c>
    </row>
    <row r="21" spans="3:12" x14ac:dyDescent="0.25">
      <c r="D21" s="58" t="s">
        <v>40</v>
      </c>
      <c r="L21" s="56" t="s">
        <v>43</v>
      </c>
    </row>
    <row r="22" spans="3:12" x14ac:dyDescent="0.25">
      <c r="L22" s="56" t="s">
        <v>44</v>
      </c>
    </row>
    <row r="23" spans="3:12" x14ac:dyDescent="0.25">
      <c r="D23" s="78" t="s">
        <v>56</v>
      </c>
      <c r="H23" s="79">
        <v>25569</v>
      </c>
      <c r="L23" s="56" t="s">
        <v>45</v>
      </c>
    </row>
    <row r="24" spans="3:12" x14ac:dyDescent="0.25">
      <c r="D24" s="78" t="s">
        <v>57</v>
      </c>
      <c r="H24" s="79">
        <v>35064</v>
      </c>
      <c r="L24" s="56" t="s">
        <v>46</v>
      </c>
    </row>
    <row r="25" spans="3:12" x14ac:dyDescent="0.25">
      <c r="L25" s="56" t="s">
        <v>47</v>
      </c>
    </row>
    <row r="26" spans="3:12" x14ac:dyDescent="0.25">
      <c r="L26" s="56" t="s">
        <v>48</v>
      </c>
    </row>
    <row r="27" spans="3:12" x14ac:dyDescent="0.25">
      <c r="L27" s="56" t="s">
        <v>49</v>
      </c>
    </row>
    <row r="28" spans="3:12" ht="15.5" x14ac:dyDescent="0.35">
      <c r="C28" s="3" t="s">
        <v>85</v>
      </c>
      <c r="L28" s="56" t="s">
        <v>50</v>
      </c>
    </row>
    <row r="29" spans="3:12" x14ac:dyDescent="0.25">
      <c r="L29" s="56" t="s">
        <v>51</v>
      </c>
    </row>
    <row r="30" spans="3:12" x14ac:dyDescent="0.25">
      <c r="D30" s="58" t="s">
        <v>110</v>
      </c>
      <c r="H30" s="81">
        <f>INDEX($M$7:$M$12,MATCH($H$5,$L$7:$L$12))</f>
        <v>0.03</v>
      </c>
      <c r="L30" s="56" t="s">
        <v>52</v>
      </c>
    </row>
    <row r="31" spans="3:12" ht="12" customHeight="1" x14ac:dyDescent="0.35">
      <c r="C31" s="3"/>
      <c r="D31" s="58"/>
      <c r="H31" s="47"/>
      <c r="L31" s="57" t="s">
        <v>53</v>
      </c>
    </row>
    <row r="32" spans="3:12" ht="12" customHeight="1" x14ac:dyDescent="0.35">
      <c r="C32" s="3"/>
      <c r="D32" s="6" t="s">
        <v>111</v>
      </c>
      <c r="H32" s="225">
        <v>4.2000000000000003E-2</v>
      </c>
    </row>
    <row r="33" spans="3:12" ht="12" customHeight="1" x14ac:dyDescent="0.25">
      <c r="D33" s="58"/>
      <c r="H33" s="47"/>
    </row>
    <row r="34" spans="3:12" ht="12" customHeight="1" x14ac:dyDescent="0.25">
      <c r="D34" s="6" t="s">
        <v>92</v>
      </c>
      <c r="H34" s="225">
        <v>4.2000000000000003E-2</v>
      </c>
    </row>
    <row r="35" spans="3:12" ht="12" customHeight="1" x14ac:dyDescent="0.35">
      <c r="C35" s="3"/>
    </row>
    <row r="36" spans="3:12" ht="12" customHeight="1" x14ac:dyDescent="0.35">
      <c r="C36" s="3"/>
      <c r="D36" s="58" t="s">
        <v>112</v>
      </c>
      <c r="H36" s="304">
        <v>183.11</v>
      </c>
      <c r="L36" s="58" t="str">
        <f>"Do not delete - data validation for option at "&amp;ADDRESS(ROW(H42),COLUMN(H42))</f>
        <v>Do not delete - data validation for option at $H$42</v>
      </c>
    </row>
    <row r="37" spans="3:12" ht="12" customHeight="1" x14ac:dyDescent="0.35">
      <c r="C37" s="3"/>
      <c r="L37" s="55" t="s">
        <v>28</v>
      </c>
    </row>
    <row r="38" spans="3:12" ht="12" customHeight="1" x14ac:dyDescent="0.35">
      <c r="C38" s="3"/>
      <c r="D38" s="58" t="s">
        <v>24</v>
      </c>
      <c r="H38" s="82">
        <v>30</v>
      </c>
      <c r="L38" s="56" t="s">
        <v>29</v>
      </c>
    </row>
    <row r="39" spans="3:12" ht="12" customHeight="1" x14ac:dyDescent="0.35">
      <c r="C39" s="3"/>
      <c r="L39" s="57" t="s">
        <v>30</v>
      </c>
    </row>
    <row r="40" spans="3:12" ht="12" customHeight="1" x14ac:dyDescent="0.25">
      <c r="D40" s="58" t="s">
        <v>42</v>
      </c>
      <c r="I40" s="63" t="s">
        <v>45</v>
      </c>
    </row>
    <row r="42" spans="3:12" x14ac:dyDescent="0.25">
      <c r="D42" s="58" t="s">
        <v>27</v>
      </c>
      <c r="H42" s="224" t="s">
        <v>28</v>
      </c>
    </row>
    <row r="43" spans="3:12" x14ac:dyDescent="0.25">
      <c r="D43" s="58"/>
    </row>
    <row r="47" spans="3:12" ht="15.5" x14ac:dyDescent="0.35">
      <c r="C47" s="3"/>
    </row>
    <row r="49" spans="6:6" x14ac:dyDescent="0.25">
      <c r="F49" s="43"/>
    </row>
    <row r="50" spans="6:6" x14ac:dyDescent="0.25">
      <c r="F50" s="43"/>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R794"/>
  <sheetViews>
    <sheetView showGridLines="0" zoomScale="70" zoomScaleNormal="70" workbookViewId="0">
      <pane ySplit="21" topLeftCell="A22" activePane="bottomLeft" state="frozen"/>
      <selection activeCell="A22" sqref="A22"/>
      <selection pane="bottomLeft" activeCell="B1" sqref="A1:B1048576"/>
    </sheetView>
  </sheetViews>
  <sheetFormatPr defaultColWidth="28" defaultRowHeight="11.5" outlineLevelRow="1" x14ac:dyDescent="0.25"/>
  <cols>
    <col min="1" max="1" width="6.59765625" style="367" customWidth="1"/>
    <col min="2" max="2" width="11.5" style="367" bestFit="1" customWidth="1"/>
    <col min="3" max="3" width="15.69921875" style="277"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7.3984375" style="281" customWidth="1"/>
  </cols>
  <sheetData>
    <row r="1" spans="3:18" x14ac:dyDescent="0.25">
      <c r="E1" s="43"/>
    </row>
    <row r="2" spans="3:18" x14ac:dyDescent="0.25">
      <c r="E2" s="43"/>
    </row>
    <row r="3" spans="3:18" ht="20" x14ac:dyDescent="0.4">
      <c r="C3" s="283" t="s">
        <v>203</v>
      </c>
    </row>
    <row r="4" spans="3:18" hidden="1" outlineLevel="1" x14ac:dyDescent="0.25"/>
    <row r="5" spans="3:18" hidden="1" outlineLevel="1" x14ac:dyDescent="0.25"/>
    <row r="6" spans="3:18" hidden="1" outlineLevel="1" x14ac:dyDescent="0.25">
      <c r="C6" s="28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4"/>
      <c r="E6" s="94"/>
      <c r="F6" s="94"/>
      <c r="G6" s="94"/>
      <c r="H6" s="94"/>
      <c r="I6" s="94"/>
      <c r="J6" s="94"/>
      <c r="K6" s="94"/>
      <c r="L6" s="94"/>
      <c r="M6" s="94"/>
      <c r="N6" s="94"/>
      <c r="O6" s="94"/>
      <c r="P6" s="94"/>
      <c r="Q6" s="276"/>
      <c r="R6" s="94"/>
    </row>
    <row r="7" spans="3:18" hidden="1" outlineLevel="1" x14ac:dyDescent="0.25">
      <c r="C7" s="285" t="str">
        <f ca="1">"Hyperlink to the '"&amp;MID(CELL("filename",'Asset exclusions'!A1),FIND("]",CELL("filename",'Asset exclusions'!A1))+1,255)&amp;"' worksheet:"</f>
        <v>Hyperlink to the 'Asset exclusions' worksheet:</v>
      </c>
      <c r="E7" s="215" t="s">
        <v>189</v>
      </c>
      <c r="F7" s="94"/>
      <c r="G7" s="94"/>
      <c r="H7" s="94"/>
      <c r="I7" s="94"/>
      <c r="J7" s="94"/>
      <c r="K7" s="94"/>
      <c r="L7" s="94"/>
      <c r="M7" s="94"/>
      <c r="N7" s="94"/>
      <c r="O7" s="94"/>
      <c r="P7" s="94"/>
      <c r="Q7" s="276"/>
      <c r="R7" s="94"/>
    </row>
    <row r="8" spans="3:18" hidden="1" outlineLevel="1" x14ac:dyDescent="0.25">
      <c r="C8" s="285"/>
      <c r="E8" s="215"/>
      <c r="F8" s="94"/>
      <c r="G8" s="94"/>
      <c r="H8" s="94"/>
      <c r="I8" s="94"/>
      <c r="J8" s="94"/>
      <c r="K8" s="94"/>
      <c r="L8" s="94"/>
      <c r="M8" s="94"/>
      <c r="N8" s="94"/>
      <c r="O8" s="94"/>
      <c r="P8" s="94"/>
      <c r="Q8" s="276"/>
      <c r="R8" s="94"/>
    </row>
    <row r="9" spans="3:18" hidden="1" outlineLevel="1" x14ac:dyDescent="0.25">
      <c r="C9" s="285" t="s">
        <v>244</v>
      </c>
      <c r="E9" s="215"/>
      <c r="F9" s="94"/>
      <c r="G9" s="94"/>
      <c r="H9" s="94"/>
      <c r="I9" s="94"/>
      <c r="J9" s="94"/>
      <c r="K9" s="94"/>
      <c r="L9" s="94"/>
      <c r="M9" s="94"/>
      <c r="N9" s="94"/>
      <c r="O9" s="94"/>
      <c r="P9" s="94"/>
      <c r="Q9" s="276"/>
      <c r="R9" s="94"/>
    </row>
    <row r="10" spans="3:18" hidden="1" outlineLevel="1" x14ac:dyDescent="0.25">
      <c r="C10" s="285" t="s">
        <v>247</v>
      </c>
      <c r="E10" s="215"/>
      <c r="F10" s="94"/>
      <c r="G10" s="94"/>
      <c r="H10" s="94"/>
      <c r="I10" s="94"/>
      <c r="J10" s="94"/>
      <c r="K10" s="94"/>
      <c r="L10" s="94"/>
      <c r="M10" s="94"/>
      <c r="N10" s="94"/>
      <c r="O10" s="94"/>
      <c r="P10" s="94"/>
      <c r="Q10" s="276"/>
      <c r="R10" s="94"/>
    </row>
    <row r="11" spans="3:18" hidden="1" outlineLevel="1" x14ac:dyDescent="0.25">
      <c r="C11" s="285" t="s">
        <v>246</v>
      </c>
      <c r="E11" s="215"/>
      <c r="F11" s="94"/>
      <c r="G11" s="94"/>
      <c r="H11" s="94"/>
      <c r="I11" s="94"/>
      <c r="J11" s="94"/>
      <c r="K11" s="94"/>
      <c r="L11" s="94"/>
      <c r="M11" s="94"/>
      <c r="N11" s="94"/>
      <c r="O11" s="94"/>
      <c r="P11" s="94"/>
      <c r="Q11" s="276"/>
      <c r="R11" s="94"/>
    </row>
    <row r="12" spans="3:18" hidden="1" outlineLevel="1" x14ac:dyDescent="0.25">
      <c r="C12" s="285" t="s">
        <v>245</v>
      </c>
      <c r="E12" s="215"/>
      <c r="F12" s="94"/>
      <c r="G12" s="94"/>
      <c r="H12" s="94"/>
      <c r="I12" s="94"/>
      <c r="J12" s="94"/>
      <c r="K12" s="94"/>
      <c r="L12" s="94"/>
      <c r="M12" s="94"/>
      <c r="N12" s="94"/>
      <c r="O12" s="94"/>
      <c r="P12" s="94"/>
      <c r="Q12" s="276"/>
      <c r="R12" s="94"/>
    </row>
    <row r="13" spans="3:18" collapsed="1" x14ac:dyDescent="0.25">
      <c r="C13" s="286"/>
      <c r="D13" s="94"/>
      <c r="E13" s="94"/>
      <c r="F13" s="94"/>
      <c r="G13" s="94"/>
      <c r="H13" s="123"/>
      <c r="I13" s="94"/>
      <c r="J13" s="94"/>
      <c r="K13" s="94"/>
      <c r="L13" s="94"/>
      <c r="M13" s="94"/>
      <c r="N13" s="94"/>
      <c r="O13" s="94"/>
      <c r="P13" s="94"/>
      <c r="Q13" s="276"/>
      <c r="R13" s="94"/>
    </row>
    <row r="14" spans="3:18" ht="12" x14ac:dyDescent="0.3">
      <c r="C14" s="287" t="s">
        <v>55</v>
      </c>
      <c r="D14" s="94"/>
      <c r="E14" s="94"/>
      <c r="F14" s="94"/>
      <c r="G14" s="94"/>
      <c r="H14" s="262" t="s">
        <v>286</v>
      </c>
      <c r="J14" s="94"/>
      <c r="K14" s="94"/>
      <c r="L14" s="94"/>
      <c r="M14" s="94"/>
      <c r="N14" s="94"/>
      <c r="O14" s="94"/>
      <c r="P14" s="94"/>
      <c r="Q14" s="276"/>
      <c r="R14" s="94"/>
    </row>
    <row r="15" spans="3:18" ht="12" x14ac:dyDescent="0.3">
      <c r="C15" s="288" t="s">
        <v>59</v>
      </c>
      <c r="D15" s="94"/>
      <c r="E15" s="126">
        <f>'General inputs'!$H$23</f>
        <v>25569</v>
      </c>
      <c r="F15" s="94"/>
      <c r="G15" s="94"/>
      <c r="H15" s="263" t="s">
        <v>279</v>
      </c>
      <c r="I15" s="264">
        <f>SUMIF($B$22:$B$793,H15,$P$22:$P$793)/$J$22</f>
        <v>37919995.611977391</v>
      </c>
      <c r="J15" s="94"/>
      <c r="K15" s="94"/>
      <c r="L15" s="94"/>
      <c r="M15" s="94"/>
      <c r="N15" s="94"/>
      <c r="O15" s="94"/>
      <c r="P15" s="94"/>
      <c r="Q15" s="276"/>
      <c r="R15" s="94"/>
    </row>
    <row r="16" spans="3:18" ht="12" x14ac:dyDescent="0.3">
      <c r="C16" s="288" t="s">
        <v>60</v>
      </c>
      <c r="D16" s="94"/>
      <c r="E16" s="127">
        <f>'General inputs'!$H$24</f>
        <v>35064</v>
      </c>
      <c r="F16" s="94"/>
      <c r="G16" s="94"/>
      <c r="H16" s="265" t="s">
        <v>282</v>
      </c>
      <c r="I16" s="266">
        <f>SUMIF($B$22:$B$793,H16,$P$22:$P$793)/$J$22</f>
        <v>0</v>
      </c>
      <c r="J16" s="94"/>
      <c r="K16" s="94"/>
      <c r="L16" s="94"/>
      <c r="M16" s="94"/>
      <c r="N16" s="94"/>
      <c r="O16" s="94"/>
      <c r="P16" s="94"/>
      <c r="Q16" s="276"/>
      <c r="R16" s="94"/>
    </row>
    <row r="17" spans="1:18" ht="12" x14ac:dyDescent="0.3">
      <c r="C17" s="286"/>
      <c r="D17" s="94"/>
      <c r="E17" s="94"/>
      <c r="F17" s="94"/>
      <c r="G17" s="94"/>
      <c r="H17" s="269" t="s">
        <v>283</v>
      </c>
      <c r="I17" s="270">
        <f>SUMIF($B$22:$B$793,H17,$P$22:$P$793)/$J$22</f>
        <v>5606924.871773839</v>
      </c>
      <c r="J17" s="94"/>
      <c r="K17" s="94"/>
      <c r="L17" s="94"/>
      <c r="M17" s="94"/>
      <c r="N17" s="94"/>
      <c r="O17" s="94"/>
      <c r="P17" s="94"/>
      <c r="Q17" s="276"/>
      <c r="R17" s="94"/>
    </row>
    <row r="18" spans="1:18" ht="15.5" x14ac:dyDescent="0.35">
      <c r="C18" s="289" t="s">
        <v>209</v>
      </c>
      <c r="E18" s="94"/>
      <c r="F18" s="94"/>
      <c r="G18" s="94"/>
      <c r="H18" s="267" t="s">
        <v>285</v>
      </c>
      <c r="I18" s="268">
        <f>SUMIF($B$22:$B$793,H18,$P$22:$P$793)/$J$22</f>
        <v>11249138.934460999</v>
      </c>
      <c r="J18" s="94"/>
      <c r="K18" s="94"/>
      <c r="L18" s="94"/>
      <c r="M18" s="94"/>
      <c r="N18" s="94"/>
      <c r="P18" s="94"/>
      <c r="Q18" s="276"/>
      <c r="R18" s="94"/>
    </row>
    <row r="19" spans="1:18" ht="12" x14ac:dyDescent="0.3">
      <c r="C19" s="286"/>
      <c r="D19" s="94"/>
      <c r="E19" s="94"/>
      <c r="F19" s="94"/>
      <c r="G19" s="94"/>
      <c r="H19" s="347" t="s">
        <v>1083</v>
      </c>
      <c r="I19" s="348">
        <f>SUMIF($B$22:$B$793,H19,$P$22:$P$793)/$J$22</f>
        <v>116880892.43000001</v>
      </c>
      <c r="K19" s="94"/>
      <c r="L19" s="94"/>
      <c r="M19" s="94"/>
      <c r="N19" s="94"/>
      <c r="O19" s="94"/>
      <c r="P19" s="94"/>
      <c r="Q19" s="276"/>
      <c r="R19" s="94"/>
    </row>
    <row r="20" spans="1:18" x14ac:dyDescent="0.25">
      <c r="C20" s="287" t="s">
        <v>16</v>
      </c>
      <c r="D20" s="94"/>
      <c r="F20" s="94"/>
      <c r="G20" s="94"/>
      <c r="H20" s="124" t="s">
        <v>17</v>
      </c>
      <c r="I20" s="94"/>
      <c r="K20" s="94"/>
      <c r="L20" s="124" t="s">
        <v>18</v>
      </c>
      <c r="M20" s="124"/>
      <c r="P20" s="94"/>
      <c r="Q20" s="276"/>
      <c r="R20" s="94"/>
    </row>
    <row r="21" spans="1:18" ht="46" x14ac:dyDescent="0.25">
      <c r="C21" s="292" t="s">
        <v>13</v>
      </c>
      <c r="D21" s="35" t="s">
        <v>12</v>
      </c>
      <c r="E21" s="226" t="s">
        <v>14</v>
      </c>
      <c r="F21" s="35" t="s">
        <v>25</v>
      </c>
      <c r="G21" s="94"/>
      <c r="H21" s="226" t="s">
        <v>31</v>
      </c>
      <c r="I21" s="226" t="s">
        <v>90</v>
      </c>
      <c r="J21" s="226" t="s">
        <v>88</v>
      </c>
      <c r="K21" s="94"/>
      <c r="L21" s="226" t="s">
        <v>89</v>
      </c>
      <c r="M21" s="35" t="s">
        <v>114</v>
      </c>
      <c r="N21" s="226" t="str">
        <f>"MEERA value per unit/measure of length (B) 
("&amp;'General inputs'!$H$42&amp;" as at 1 July "&amp;LEFT('General inputs'!$I$40,4)&amp;")"</f>
        <v>MEERA value per unit/measure of length (B) 
($ as at 1 July 2022)</v>
      </c>
      <c r="O21" s="226" t="str">
        <f>"Total MEERA value (A x B)
("&amp;'General inputs'!$H$42&amp;", $"&amp;'General inputs'!$I$40&amp;")"</f>
        <v>Total MEERA value (A x B)
($, $2022-23)</v>
      </c>
      <c r="P21" s="35" t="str">
        <f>"MEERA value to be recovered via DSP ("&amp;'General inputs'!$H$42&amp;", $"&amp;'General inputs'!$I$40&amp;")"</f>
        <v>MEERA value to be recovered via DSP ($, $2022-23)</v>
      </c>
      <c r="Q21" s="280" t="s">
        <v>281</v>
      </c>
      <c r="R21" s="94"/>
    </row>
    <row r="22" spans="1:18" ht="23" x14ac:dyDescent="0.25">
      <c r="A22" s="368">
        <v>1978</v>
      </c>
      <c r="B22" s="367" t="s">
        <v>279</v>
      </c>
      <c r="C22" s="278" t="s">
        <v>303</v>
      </c>
      <c r="D22" s="158" t="s">
        <v>320</v>
      </c>
      <c r="E22" s="44">
        <f>DATEVALUE("30 Jun "&amp;A22)</f>
        <v>28671</v>
      </c>
      <c r="F22" s="128" t="str">
        <f>IF(E22="","-",IF(OR(E22&lt;$E$15,E22&gt;$E$16),"ERROR - date outside of range","Date check - OK"))</f>
        <v>Date check - OK</v>
      </c>
      <c r="G22" s="1"/>
      <c r="H22" s="162" t="s">
        <v>280</v>
      </c>
      <c r="I22" s="36"/>
      <c r="J22" s="137">
        <f>'ET inputs'!AP20</f>
        <v>0.2264796475295433</v>
      </c>
      <c r="K22" s="94"/>
      <c r="L22" s="36">
        <v>1805</v>
      </c>
      <c r="M22" s="227" t="s">
        <v>142</v>
      </c>
      <c r="N22" s="36">
        <v>626.34789848661228</v>
      </c>
      <c r="O22" s="131">
        <f>IF(N22="","-",L22*N22)</f>
        <v>1130557.9567683351</v>
      </c>
      <c r="P22" s="133">
        <f>IF(O22="-","-",IF(OR(E22&lt;$E$15,E22&gt;$E$16),0,O22*J22))*Q22</f>
        <v>256048.36756061317</v>
      </c>
      <c r="Q22" s="260">
        <v>1</v>
      </c>
      <c r="R22" s="94"/>
    </row>
    <row r="23" spans="1:18" ht="24" customHeight="1" x14ac:dyDescent="0.25">
      <c r="A23" s="368">
        <v>1978</v>
      </c>
      <c r="B23" s="367" t="s">
        <v>279</v>
      </c>
      <c r="C23" s="279" t="s">
        <v>303</v>
      </c>
      <c r="D23" s="159" t="s">
        <v>320</v>
      </c>
      <c r="E23" s="45">
        <f t="shared" ref="E23:E86" si="0">DATEVALUE("30 Jun "&amp;A23)</f>
        <v>28671</v>
      </c>
      <c r="F23" s="129" t="str">
        <f>IF(E23="","-",IF(OR(E23&lt;$E$15,E23&gt;$E$16),"ERROR - date outside of range","Date check - OK"))</f>
        <v>Date check - OK</v>
      </c>
      <c r="G23" s="1"/>
      <c r="H23" s="163"/>
      <c r="I23" s="37"/>
      <c r="J23" s="138">
        <f>J22</f>
        <v>0.2264796475295433</v>
      </c>
      <c r="L23" s="37">
        <v>339</v>
      </c>
      <c r="M23" s="37" t="s">
        <v>142</v>
      </c>
      <c r="N23" s="187">
        <v>404.51635110593713</v>
      </c>
      <c r="O23" s="132">
        <f>IF(N23="","-",L23*N23)</f>
        <v>137131.04302491268</v>
      </c>
      <c r="P23" s="134">
        <f>IF(O23="-","-",IF(OR(E23&lt;$E$15,E23&gt;$E$16),0,O23*J23))*Q23</f>
        <v>31057.390289640862</v>
      </c>
      <c r="Q23" s="261">
        <v>1</v>
      </c>
      <c r="R23" s="94"/>
    </row>
    <row r="24" spans="1:18" ht="23" x14ac:dyDescent="0.25">
      <c r="A24" s="368">
        <v>1979</v>
      </c>
      <c r="B24" s="367" t="s">
        <v>279</v>
      </c>
      <c r="C24" s="279" t="s">
        <v>303</v>
      </c>
      <c r="D24" s="159" t="s">
        <v>320</v>
      </c>
      <c r="E24" s="45">
        <f t="shared" si="0"/>
        <v>29036</v>
      </c>
      <c r="F24" s="129" t="str">
        <f t="shared" ref="F24:F87" si="1">IF(E24="","-",IF(OR(E24&lt;$E$15,E24&gt;$E$16),"ERROR - date outside of range","Date check - OK"))</f>
        <v>Date check - OK</v>
      </c>
      <c r="G24" s="1"/>
      <c r="H24" s="163"/>
      <c r="I24" s="37"/>
      <c r="J24" s="138">
        <f t="shared" ref="J24:J87" si="2">J23</f>
        <v>0.2264796475295433</v>
      </c>
      <c r="K24" s="114"/>
      <c r="L24" s="37">
        <v>104</v>
      </c>
      <c r="M24" s="37" t="s">
        <v>142</v>
      </c>
      <c r="N24" s="37">
        <v>789.45933038416763</v>
      </c>
      <c r="O24" s="132">
        <f t="shared" ref="O24:O75" si="3">IF(N24="","-",L24*N24)</f>
        <v>82103.770359953429</v>
      </c>
      <c r="P24" s="134">
        <f t="shared" ref="P24:P75" si="4">IF(O24="-","-",IF(OR(E24&lt;$E$15,E24&gt;$E$16),0,O24*J24))*Q24</f>
        <v>18594.832971968819</v>
      </c>
      <c r="Q24" s="261">
        <v>1</v>
      </c>
      <c r="R24" s="94"/>
    </row>
    <row r="25" spans="1:18" ht="23" x14ac:dyDescent="0.25">
      <c r="A25" s="368">
        <v>1984</v>
      </c>
      <c r="B25" s="367" t="s">
        <v>279</v>
      </c>
      <c r="C25" s="279" t="s">
        <v>304</v>
      </c>
      <c r="D25" s="159" t="s">
        <v>321</v>
      </c>
      <c r="E25" s="45">
        <f t="shared" si="0"/>
        <v>30863</v>
      </c>
      <c r="F25" s="129" t="str">
        <f t="shared" si="1"/>
        <v>Date check - OK</v>
      </c>
      <c r="G25" s="1"/>
      <c r="H25" s="163"/>
      <c r="I25" s="37"/>
      <c r="J25" s="138">
        <f t="shared" si="2"/>
        <v>0.2264796475295433</v>
      </c>
      <c r="K25" s="114"/>
      <c r="L25" s="37">
        <v>2475</v>
      </c>
      <c r="M25" s="37" t="s">
        <v>142</v>
      </c>
      <c r="N25" s="37">
        <v>789.45933038416763</v>
      </c>
      <c r="O25" s="132">
        <f t="shared" si="3"/>
        <v>1953911.8427008148</v>
      </c>
      <c r="P25" s="134">
        <f t="shared" si="4"/>
        <v>442521.265438681</v>
      </c>
      <c r="Q25" s="261">
        <v>1</v>
      </c>
      <c r="R25" s="94"/>
    </row>
    <row r="26" spans="1:18" ht="23" x14ac:dyDescent="0.25">
      <c r="A26" s="368">
        <v>1984</v>
      </c>
      <c r="B26" s="367" t="s">
        <v>279</v>
      </c>
      <c r="C26" s="279" t="s">
        <v>304</v>
      </c>
      <c r="D26" s="159" t="s">
        <v>321</v>
      </c>
      <c r="E26" s="45">
        <f t="shared" si="0"/>
        <v>30863</v>
      </c>
      <c r="F26" s="129" t="str">
        <f t="shared" si="1"/>
        <v>Date check - OK</v>
      </c>
      <c r="G26" s="1"/>
      <c r="H26" s="163"/>
      <c r="I26" s="37"/>
      <c r="J26" s="138">
        <f t="shared" si="2"/>
        <v>0.2264796475295433</v>
      </c>
      <c r="K26" s="114"/>
      <c r="L26" s="37">
        <v>37</v>
      </c>
      <c r="M26" s="37" t="s">
        <v>142</v>
      </c>
      <c r="N26" s="37">
        <v>789.45933038416763</v>
      </c>
      <c r="O26" s="132">
        <f t="shared" si="3"/>
        <v>29209.995224214203</v>
      </c>
      <c r="P26" s="134">
        <f t="shared" si="4"/>
        <v>6615.469422719676</v>
      </c>
      <c r="Q26" s="261">
        <v>1</v>
      </c>
      <c r="R26" s="94"/>
    </row>
    <row r="27" spans="1:18" ht="23" x14ac:dyDescent="0.25">
      <c r="A27" s="368">
        <v>1984</v>
      </c>
      <c r="B27" s="367" t="s">
        <v>279</v>
      </c>
      <c r="C27" s="279" t="s">
        <v>304</v>
      </c>
      <c r="D27" s="159" t="s">
        <v>321</v>
      </c>
      <c r="E27" s="45">
        <f t="shared" si="0"/>
        <v>30863</v>
      </c>
      <c r="F27" s="129" t="str">
        <f t="shared" si="1"/>
        <v>Date check - OK</v>
      </c>
      <c r="G27" s="1"/>
      <c r="H27" s="163"/>
      <c r="I27" s="37"/>
      <c r="J27" s="138">
        <f t="shared" si="2"/>
        <v>0.2264796475295433</v>
      </c>
      <c r="K27" s="114"/>
      <c r="L27" s="37">
        <v>516</v>
      </c>
      <c r="M27" s="37" t="s">
        <v>142</v>
      </c>
      <c r="N27" s="37">
        <v>626.34789848661228</v>
      </c>
      <c r="O27" s="132">
        <f t="shared" si="3"/>
        <v>323195.51561909192</v>
      </c>
      <c r="P27" s="134">
        <f t="shared" si="4"/>
        <v>73197.20646054094</v>
      </c>
      <c r="Q27" s="261">
        <v>1</v>
      </c>
      <c r="R27" s="94"/>
    </row>
    <row r="28" spans="1:18" ht="23" x14ac:dyDescent="0.25">
      <c r="A28" s="368">
        <v>1984</v>
      </c>
      <c r="B28" s="367" t="s">
        <v>279</v>
      </c>
      <c r="C28" s="279" t="s">
        <v>304</v>
      </c>
      <c r="D28" s="159" t="s">
        <v>321</v>
      </c>
      <c r="E28" s="45">
        <f t="shared" si="0"/>
        <v>30863</v>
      </c>
      <c r="F28" s="129" t="str">
        <f t="shared" si="1"/>
        <v>Date check - OK</v>
      </c>
      <c r="G28" s="1"/>
      <c r="H28" s="163"/>
      <c r="I28" s="37"/>
      <c r="J28" s="138">
        <f t="shared" si="2"/>
        <v>0.2264796475295433</v>
      </c>
      <c r="K28" s="114"/>
      <c r="L28" s="37">
        <v>34</v>
      </c>
      <c r="M28" s="37" t="s">
        <v>142</v>
      </c>
      <c r="N28" s="37">
        <v>314.8050635622817</v>
      </c>
      <c r="O28" s="132">
        <f t="shared" si="3"/>
        <v>10703.372161117579</v>
      </c>
      <c r="P28" s="134">
        <f t="shared" si="4"/>
        <v>2424.0959544274356</v>
      </c>
      <c r="Q28" s="261">
        <v>1</v>
      </c>
      <c r="R28" s="94"/>
    </row>
    <row r="29" spans="1:18" x14ac:dyDescent="0.25">
      <c r="A29" s="368">
        <v>1986</v>
      </c>
      <c r="B29" s="367" t="s">
        <v>279</v>
      </c>
      <c r="C29" s="279">
        <v>31465</v>
      </c>
      <c r="D29" s="159" t="s">
        <v>322</v>
      </c>
      <c r="E29" s="45">
        <f t="shared" si="0"/>
        <v>31593</v>
      </c>
      <c r="F29" s="129" t="str">
        <f t="shared" si="1"/>
        <v>Date check - OK</v>
      </c>
      <c r="G29" s="1"/>
      <c r="H29" s="163"/>
      <c r="I29" s="37"/>
      <c r="J29" s="138">
        <f t="shared" si="2"/>
        <v>0.2264796475295433</v>
      </c>
      <c r="K29" s="114"/>
      <c r="L29" s="37">
        <v>2930</v>
      </c>
      <c r="M29" s="37" t="s">
        <v>142</v>
      </c>
      <c r="N29" s="37">
        <v>2401.000277532014</v>
      </c>
      <c r="O29" s="132">
        <f t="shared" si="3"/>
        <v>7034930.8131688014</v>
      </c>
      <c r="P29" s="134">
        <f t="shared" si="4"/>
        <v>1593268.6509611935</v>
      </c>
      <c r="Q29" s="261">
        <v>1</v>
      </c>
      <c r="R29" s="94"/>
    </row>
    <row r="30" spans="1:18" x14ac:dyDescent="0.25">
      <c r="A30" s="368">
        <v>1991</v>
      </c>
      <c r="B30" s="367" t="s">
        <v>279</v>
      </c>
      <c r="C30" s="279" t="s">
        <v>305</v>
      </c>
      <c r="D30" s="159" t="s">
        <v>323</v>
      </c>
      <c r="E30" s="45">
        <f t="shared" si="0"/>
        <v>33419</v>
      </c>
      <c r="F30" s="129" t="str">
        <f t="shared" si="1"/>
        <v>Date check - OK</v>
      </c>
      <c r="G30" s="1"/>
      <c r="H30" s="163"/>
      <c r="I30" s="37"/>
      <c r="J30" s="138">
        <f t="shared" si="2"/>
        <v>0.2264796475295433</v>
      </c>
      <c r="K30" s="114"/>
      <c r="L30" s="37">
        <v>461</v>
      </c>
      <c r="M30" s="37" t="s">
        <v>142</v>
      </c>
      <c r="N30" s="37">
        <v>2401.000277532014</v>
      </c>
      <c r="O30" s="132">
        <f t="shared" si="3"/>
        <v>1106861.1279422585</v>
      </c>
      <c r="P30" s="134">
        <f t="shared" si="4"/>
        <v>250681.51812051545</v>
      </c>
      <c r="Q30" s="261">
        <v>1</v>
      </c>
      <c r="R30" s="94"/>
    </row>
    <row r="31" spans="1:18" x14ac:dyDescent="0.25">
      <c r="A31" s="368">
        <v>1970</v>
      </c>
      <c r="B31" s="367" t="s">
        <v>279</v>
      </c>
      <c r="C31" s="279" t="s">
        <v>306</v>
      </c>
      <c r="D31" s="159" t="s">
        <v>324</v>
      </c>
      <c r="E31" s="45">
        <f t="shared" si="0"/>
        <v>25749</v>
      </c>
      <c r="F31" s="129" t="str">
        <f t="shared" si="1"/>
        <v>Date check - OK</v>
      </c>
      <c r="G31" s="1"/>
      <c r="H31" s="163"/>
      <c r="I31" s="37"/>
      <c r="J31" s="138">
        <f t="shared" si="2"/>
        <v>0.2264796475295433</v>
      </c>
      <c r="K31" s="114"/>
      <c r="L31" s="37">
        <v>300</v>
      </c>
      <c r="M31" s="37" t="s">
        <v>142</v>
      </c>
      <c r="N31" s="37">
        <v>1637.6387762514551</v>
      </c>
      <c r="O31" s="132">
        <f t="shared" si="3"/>
        <v>491291.63287543651</v>
      </c>
      <c r="P31" s="134">
        <f t="shared" si="4"/>
        <v>110154.88028936423</v>
      </c>
      <c r="Q31" s="261">
        <v>0.99</v>
      </c>
      <c r="R31" s="94"/>
    </row>
    <row r="32" spans="1:18" x14ac:dyDescent="0.25">
      <c r="A32" s="368">
        <v>1971</v>
      </c>
      <c r="B32" s="367" t="s">
        <v>279</v>
      </c>
      <c r="C32" s="279" t="s">
        <v>307</v>
      </c>
      <c r="D32" s="159" t="s">
        <v>325</v>
      </c>
      <c r="E32" s="45">
        <f t="shared" si="0"/>
        <v>26114</v>
      </c>
      <c r="F32" s="129" t="str">
        <f t="shared" si="1"/>
        <v>Date check - OK</v>
      </c>
      <c r="G32" s="1"/>
      <c r="H32" s="163"/>
      <c r="I32" s="37"/>
      <c r="J32" s="138">
        <f t="shared" si="2"/>
        <v>0.2264796475295433</v>
      </c>
      <c r="K32" s="114"/>
      <c r="L32" s="37">
        <v>576.072</v>
      </c>
      <c r="M32" s="37" t="s">
        <v>142</v>
      </c>
      <c r="N32" s="37">
        <v>528.48103934807921</v>
      </c>
      <c r="O32" s="132">
        <f t="shared" si="3"/>
        <v>304443.12929932668</v>
      </c>
      <c r="P32" s="134">
        <f t="shared" si="4"/>
        <v>68950.172616502692</v>
      </c>
      <c r="Q32" s="261">
        <v>1</v>
      </c>
      <c r="R32" s="94"/>
    </row>
    <row r="33" spans="1:18" x14ac:dyDescent="0.25">
      <c r="A33" s="368">
        <v>1971</v>
      </c>
      <c r="B33" s="367" t="s">
        <v>279</v>
      </c>
      <c r="C33" s="279" t="s">
        <v>307</v>
      </c>
      <c r="D33" s="159" t="s">
        <v>326</v>
      </c>
      <c r="E33" s="45">
        <f t="shared" si="0"/>
        <v>26114</v>
      </c>
      <c r="F33" s="129" t="str">
        <f t="shared" si="1"/>
        <v>Date check - OK</v>
      </c>
      <c r="G33" s="1"/>
      <c r="H33" s="163"/>
      <c r="I33" s="37"/>
      <c r="J33" s="138">
        <f t="shared" si="2"/>
        <v>0.2264796475295433</v>
      </c>
      <c r="K33" s="114"/>
      <c r="L33" s="37">
        <v>97.536000000000001</v>
      </c>
      <c r="M33" s="37" t="s">
        <v>142</v>
      </c>
      <c r="N33" s="37">
        <v>481.17872409778812</v>
      </c>
      <c r="O33" s="132">
        <f t="shared" si="3"/>
        <v>46932.248033601863</v>
      </c>
      <c r="P33" s="134">
        <f t="shared" si="4"/>
        <v>10629.198992419251</v>
      </c>
      <c r="Q33" s="261">
        <v>1</v>
      </c>
      <c r="R33" s="94"/>
    </row>
    <row r="34" spans="1:18" x14ac:dyDescent="0.25">
      <c r="A34" s="368">
        <v>1971</v>
      </c>
      <c r="B34" s="367" t="s">
        <v>279</v>
      </c>
      <c r="C34" s="279" t="s">
        <v>308</v>
      </c>
      <c r="D34" s="159" t="s">
        <v>327</v>
      </c>
      <c r="E34" s="45">
        <f t="shared" si="0"/>
        <v>26114</v>
      </c>
      <c r="F34" s="129" t="str">
        <f t="shared" si="1"/>
        <v>Date check - OK</v>
      </c>
      <c r="G34" s="1"/>
      <c r="H34" s="163"/>
      <c r="I34" s="37"/>
      <c r="J34" s="138">
        <f t="shared" si="2"/>
        <v>0.2264796475295433</v>
      </c>
      <c r="K34" s="114"/>
      <c r="L34" s="37">
        <v>344.42400000000004</v>
      </c>
      <c r="M34" s="37" t="s">
        <v>142</v>
      </c>
      <c r="N34" s="37">
        <v>314.8050635622817</v>
      </c>
      <c r="O34" s="132">
        <f t="shared" si="3"/>
        <v>108426.41921237533</v>
      </c>
      <c r="P34" s="134">
        <f t="shared" si="4"/>
        <v>24556.377206109268</v>
      </c>
      <c r="Q34" s="261">
        <v>1</v>
      </c>
      <c r="R34" s="94"/>
    </row>
    <row r="35" spans="1:18" x14ac:dyDescent="0.25">
      <c r="A35" s="368">
        <v>1971</v>
      </c>
      <c r="B35" s="367" t="s">
        <v>279</v>
      </c>
      <c r="C35" s="279" t="s">
        <v>309</v>
      </c>
      <c r="D35" s="159" t="s">
        <v>328</v>
      </c>
      <c r="E35" s="45">
        <f t="shared" si="0"/>
        <v>26114</v>
      </c>
      <c r="F35" s="129" t="str">
        <f t="shared" si="1"/>
        <v>Date check - OK</v>
      </c>
      <c r="G35" s="1"/>
      <c r="H35" s="163"/>
      <c r="I35" s="37"/>
      <c r="J35" s="138">
        <f t="shared" si="2"/>
        <v>0.2264796475295433</v>
      </c>
      <c r="K35" s="114"/>
      <c r="L35" s="37">
        <v>195.072</v>
      </c>
      <c r="M35" s="37" t="s">
        <v>142</v>
      </c>
      <c r="N35" s="37">
        <v>270.7649769499418</v>
      </c>
      <c r="O35" s="132">
        <f t="shared" si="3"/>
        <v>52818.665583579044</v>
      </c>
      <c r="P35" s="134">
        <f t="shared" si="4"/>
        <v>11962.352764349802</v>
      </c>
      <c r="Q35" s="261">
        <v>1</v>
      </c>
      <c r="R35" s="94"/>
    </row>
    <row r="36" spans="1:18" ht="23" x14ac:dyDescent="0.25">
      <c r="A36" s="368">
        <v>1973</v>
      </c>
      <c r="B36" s="367" t="s">
        <v>279</v>
      </c>
      <c r="C36" s="279" t="s">
        <v>310</v>
      </c>
      <c r="D36" s="159" t="s">
        <v>329</v>
      </c>
      <c r="E36" s="45">
        <f t="shared" si="0"/>
        <v>26845</v>
      </c>
      <c r="F36" s="129" t="str">
        <f t="shared" si="1"/>
        <v>Date check - OK</v>
      </c>
      <c r="G36" s="1"/>
      <c r="H36" s="163"/>
      <c r="I36" s="37"/>
      <c r="J36" s="138">
        <f t="shared" si="2"/>
        <v>0.2264796475295433</v>
      </c>
      <c r="K36" s="114"/>
      <c r="L36" s="37">
        <v>53</v>
      </c>
      <c r="M36" s="37" t="s">
        <v>142</v>
      </c>
      <c r="N36" s="37">
        <v>895.48176111757846</v>
      </c>
      <c r="O36" s="132">
        <f t="shared" si="3"/>
        <v>47460.533339231661</v>
      </c>
      <c r="P36" s="134">
        <f t="shared" si="4"/>
        <v>3224.6534586699977</v>
      </c>
      <c r="Q36" s="261">
        <v>0.3</v>
      </c>
      <c r="R36" s="94"/>
    </row>
    <row r="37" spans="1:18" ht="23" x14ac:dyDescent="0.25">
      <c r="A37" s="368">
        <v>1973</v>
      </c>
      <c r="B37" s="367" t="s">
        <v>279</v>
      </c>
      <c r="C37" s="279" t="s">
        <v>310</v>
      </c>
      <c r="D37" s="159" t="s">
        <v>330</v>
      </c>
      <c r="E37" s="45">
        <f t="shared" si="0"/>
        <v>26845</v>
      </c>
      <c r="F37" s="129" t="str">
        <f t="shared" si="1"/>
        <v>Date check - OK</v>
      </c>
      <c r="G37" s="1"/>
      <c r="H37" s="163"/>
      <c r="I37" s="37"/>
      <c r="J37" s="138">
        <f t="shared" si="2"/>
        <v>0.2264796475295433</v>
      </c>
      <c r="K37" s="114"/>
      <c r="L37" s="37">
        <v>128</v>
      </c>
      <c r="M37" s="37" t="s">
        <v>142</v>
      </c>
      <c r="N37" s="37">
        <v>895.48176111757846</v>
      </c>
      <c r="O37" s="132">
        <f t="shared" si="3"/>
        <v>114621.66542305004</v>
      </c>
      <c r="P37" s="134">
        <f t="shared" si="4"/>
        <v>16614.063605927433</v>
      </c>
      <c r="Q37" s="261">
        <v>0.64</v>
      </c>
      <c r="R37" s="94"/>
    </row>
    <row r="38" spans="1:18" x14ac:dyDescent="0.25">
      <c r="A38" s="368">
        <v>1973</v>
      </c>
      <c r="B38" s="367" t="s">
        <v>279</v>
      </c>
      <c r="C38" s="279" t="s">
        <v>310</v>
      </c>
      <c r="D38" s="159" t="s">
        <v>331</v>
      </c>
      <c r="E38" s="45">
        <f t="shared" si="0"/>
        <v>26845</v>
      </c>
      <c r="F38" s="129" t="str">
        <f t="shared" si="1"/>
        <v>Date check - OK</v>
      </c>
      <c r="G38" s="1"/>
      <c r="H38" s="163"/>
      <c r="I38" s="37"/>
      <c r="J38" s="138">
        <f t="shared" si="2"/>
        <v>0.2264796475295433</v>
      </c>
      <c r="K38" s="114"/>
      <c r="L38" s="37">
        <v>587</v>
      </c>
      <c r="M38" s="37" t="s">
        <v>142</v>
      </c>
      <c r="N38" s="37">
        <v>895.48176111757846</v>
      </c>
      <c r="O38" s="132">
        <f t="shared" si="3"/>
        <v>525647.79377601855</v>
      </c>
      <c r="P38" s="134">
        <f t="shared" si="4"/>
        <v>119048.52705907475</v>
      </c>
      <c r="Q38" s="261">
        <v>1</v>
      </c>
      <c r="R38" s="94"/>
    </row>
    <row r="39" spans="1:18" ht="23" x14ac:dyDescent="0.25">
      <c r="A39" s="368">
        <v>1973</v>
      </c>
      <c r="B39" s="367" t="s">
        <v>279</v>
      </c>
      <c r="C39" s="279" t="s">
        <v>310</v>
      </c>
      <c r="D39" s="159" t="s">
        <v>332</v>
      </c>
      <c r="E39" s="45">
        <f t="shared" si="0"/>
        <v>26845</v>
      </c>
      <c r="F39" s="129" t="str">
        <f t="shared" si="1"/>
        <v>Date check - OK</v>
      </c>
      <c r="G39" s="1"/>
      <c r="H39" s="163"/>
      <c r="I39" s="37"/>
      <c r="J39" s="138">
        <f t="shared" si="2"/>
        <v>0.2264796475295433</v>
      </c>
      <c r="K39" s="114"/>
      <c r="L39" s="37">
        <v>62</v>
      </c>
      <c r="M39" s="37" t="s">
        <v>142</v>
      </c>
      <c r="N39" s="37">
        <v>626.34789848661228</v>
      </c>
      <c r="O39" s="132">
        <f t="shared" si="3"/>
        <v>38833.569706169961</v>
      </c>
      <c r="P39" s="134">
        <f t="shared" si="4"/>
        <v>4925.2073804457013</v>
      </c>
      <c r="Q39" s="261">
        <v>0.56000000000000005</v>
      </c>
      <c r="R39" s="94"/>
    </row>
    <row r="40" spans="1:18" x14ac:dyDescent="0.25">
      <c r="A40" s="368">
        <v>1973</v>
      </c>
      <c r="B40" s="367" t="s">
        <v>279</v>
      </c>
      <c r="C40" s="279" t="s">
        <v>310</v>
      </c>
      <c r="D40" s="159" t="s">
        <v>331</v>
      </c>
      <c r="E40" s="45">
        <f t="shared" si="0"/>
        <v>26845</v>
      </c>
      <c r="F40" s="129" t="str">
        <f t="shared" si="1"/>
        <v>Date check - OK</v>
      </c>
      <c r="G40" s="1"/>
      <c r="H40" s="163"/>
      <c r="I40" s="37"/>
      <c r="J40" s="138">
        <f t="shared" si="2"/>
        <v>0.2264796475295433</v>
      </c>
      <c r="K40" s="114"/>
      <c r="L40" s="37">
        <v>31</v>
      </c>
      <c r="M40" s="37" t="s">
        <v>142</v>
      </c>
      <c r="N40" s="37">
        <v>626.34789848661228</v>
      </c>
      <c r="O40" s="132">
        <f t="shared" si="3"/>
        <v>19416.784853084981</v>
      </c>
      <c r="P40" s="134">
        <f t="shared" si="4"/>
        <v>4397.5065896836613</v>
      </c>
      <c r="Q40" s="261">
        <v>1</v>
      </c>
      <c r="R40" s="94"/>
    </row>
    <row r="41" spans="1:18" x14ac:dyDescent="0.25">
      <c r="A41" s="368">
        <v>1973</v>
      </c>
      <c r="B41" s="367" t="s">
        <v>279</v>
      </c>
      <c r="C41" s="279" t="s">
        <v>310</v>
      </c>
      <c r="D41" s="159" t="s">
        <v>331</v>
      </c>
      <c r="E41" s="45">
        <f t="shared" si="0"/>
        <v>26845</v>
      </c>
      <c r="F41" s="129" t="str">
        <f t="shared" si="1"/>
        <v>Date check - OK</v>
      </c>
      <c r="G41" s="1"/>
      <c r="H41" s="163"/>
      <c r="I41" s="37"/>
      <c r="J41" s="138">
        <f t="shared" si="2"/>
        <v>0.2264796475295433</v>
      </c>
      <c r="K41" s="114"/>
      <c r="L41" s="37">
        <v>46</v>
      </c>
      <c r="M41" s="37" t="s">
        <v>142</v>
      </c>
      <c r="N41" s="37">
        <v>481.17872409778812</v>
      </c>
      <c r="O41" s="132">
        <f t="shared" si="3"/>
        <v>22134.221308498254</v>
      </c>
      <c r="P41" s="134">
        <f t="shared" si="4"/>
        <v>5012.9506402895913</v>
      </c>
      <c r="Q41" s="261">
        <v>1</v>
      </c>
      <c r="R41" s="94"/>
    </row>
    <row r="42" spans="1:18" x14ac:dyDescent="0.25">
      <c r="A42" s="368">
        <v>1990</v>
      </c>
      <c r="B42" s="367" t="s">
        <v>279</v>
      </c>
      <c r="C42" s="279" t="s">
        <v>311</v>
      </c>
      <c r="D42" s="159" t="s">
        <v>333</v>
      </c>
      <c r="E42" s="45">
        <f t="shared" si="0"/>
        <v>33054</v>
      </c>
      <c r="F42" s="129" t="str">
        <f t="shared" si="1"/>
        <v>Date check - OK</v>
      </c>
      <c r="G42" s="1"/>
      <c r="H42" s="163"/>
      <c r="I42" s="37"/>
      <c r="J42" s="138">
        <f t="shared" si="2"/>
        <v>0.2264796475295433</v>
      </c>
      <c r="K42" s="114"/>
      <c r="L42" s="37">
        <v>458</v>
      </c>
      <c r="M42" s="37" t="s">
        <v>142</v>
      </c>
      <c r="N42" s="37">
        <v>314.8050635622817</v>
      </c>
      <c r="O42" s="132">
        <f t="shared" si="3"/>
        <v>144180.71911152502</v>
      </c>
      <c r="P42" s="134">
        <f t="shared" si="4"/>
        <v>32653.998444934274</v>
      </c>
      <c r="Q42" s="261">
        <v>1</v>
      </c>
      <c r="R42" s="94"/>
    </row>
    <row r="43" spans="1:18" x14ac:dyDescent="0.25">
      <c r="A43" s="368">
        <v>1990</v>
      </c>
      <c r="B43" s="367" t="s">
        <v>279</v>
      </c>
      <c r="C43" s="279" t="s">
        <v>312</v>
      </c>
      <c r="D43" s="159" t="s">
        <v>334</v>
      </c>
      <c r="E43" s="45">
        <f t="shared" si="0"/>
        <v>33054</v>
      </c>
      <c r="F43" s="129" t="str">
        <f t="shared" si="1"/>
        <v>Date check - OK</v>
      </c>
      <c r="G43" s="1"/>
      <c r="H43" s="163"/>
      <c r="I43" s="37"/>
      <c r="J43" s="138">
        <f t="shared" si="2"/>
        <v>0.2264796475295433</v>
      </c>
      <c r="K43" s="114"/>
      <c r="L43" s="37">
        <v>259</v>
      </c>
      <c r="M43" s="37" t="s">
        <v>142</v>
      </c>
      <c r="N43" s="37">
        <v>314.8050635622817</v>
      </c>
      <c r="O43" s="132">
        <f t="shared" si="3"/>
        <v>81534.511462630966</v>
      </c>
      <c r="P43" s="134">
        <f t="shared" si="4"/>
        <v>18465.90741755017</v>
      </c>
      <c r="Q43" s="261">
        <v>1</v>
      </c>
      <c r="R43" s="94"/>
    </row>
    <row r="44" spans="1:18" x14ac:dyDescent="0.25">
      <c r="A44" s="368">
        <v>1991</v>
      </c>
      <c r="B44" s="367" t="s">
        <v>279</v>
      </c>
      <c r="C44" s="279" t="s">
        <v>313</v>
      </c>
      <c r="D44" s="159" t="s">
        <v>335</v>
      </c>
      <c r="E44" s="45">
        <f t="shared" si="0"/>
        <v>33419</v>
      </c>
      <c r="F44" s="129" t="str">
        <f t="shared" si="1"/>
        <v>Date check - OK</v>
      </c>
      <c r="G44" s="1"/>
      <c r="H44" s="163"/>
      <c r="I44" s="37"/>
      <c r="J44" s="138">
        <f t="shared" si="2"/>
        <v>0.2264796475295433</v>
      </c>
      <c r="K44" s="114"/>
      <c r="L44" s="37">
        <v>600</v>
      </c>
      <c r="M44" s="37" t="s">
        <v>142</v>
      </c>
      <c r="N44" s="37">
        <v>528.48103934807921</v>
      </c>
      <c r="O44" s="132">
        <f t="shared" si="3"/>
        <v>317088.6236088475</v>
      </c>
      <c r="P44" s="134">
        <f t="shared" si="4"/>
        <v>71814.119710559811</v>
      </c>
      <c r="Q44" s="261">
        <v>1</v>
      </c>
      <c r="R44" s="94"/>
    </row>
    <row r="45" spans="1:18" x14ac:dyDescent="0.25">
      <c r="A45" s="368">
        <v>1973</v>
      </c>
      <c r="B45" s="367" t="s">
        <v>279</v>
      </c>
      <c r="C45" s="279" t="s">
        <v>310</v>
      </c>
      <c r="D45" s="159" t="s">
        <v>336</v>
      </c>
      <c r="E45" s="45">
        <f t="shared" si="0"/>
        <v>26845</v>
      </c>
      <c r="F45" s="129" t="str">
        <f t="shared" si="1"/>
        <v>Date check - OK</v>
      </c>
      <c r="G45" s="1"/>
      <c r="H45" s="163"/>
      <c r="I45" s="37"/>
      <c r="J45" s="138">
        <f t="shared" si="2"/>
        <v>0.2264796475295433</v>
      </c>
      <c r="K45" s="114"/>
      <c r="L45" s="37">
        <v>113</v>
      </c>
      <c r="M45" s="37" t="s">
        <v>142</v>
      </c>
      <c r="N45" s="37">
        <v>626.34789848661228</v>
      </c>
      <c r="O45" s="132">
        <f t="shared" si="3"/>
        <v>70777.312528987182</v>
      </c>
      <c r="P45" s="134">
        <f t="shared" si="4"/>
        <v>16029.620794653347</v>
      </c>
      <c r="Q45" s="261">
        <v>1</v>
      </c>
      <c r="R45" s="94"/>
    </row>
    <row r="46" spans="1:18" x14ac:dyDescent="0.25">
      <c r="A46" s="368">
        <v>1971</v>
      </c>
      <c r="B46" s="367" t="s">
        <v>279</v>
      </c>
      <c r="C46" s="279">
        <v>71176</v>
      </c>
      <c r="D46" s="159" t="s">
        <v>337</v>
      </c>
      <c r="E46" s="45">
        <f t="shared" si="0"/>
        <v>26114</v>
      </c>
      <c r="F46" s="129" t="str">
        <f t="shared" si="1"/>
        <v>Date check - OK</v>
      </c>
      <c r="G46" s="1"/>
      <c r="H46" s="163"/>
      <c r="I46" s="37"/>
      <c r="J46" s="138">
        <f t="shared" si="2"/>
        <v>0.2264796475295433</v>
      </c>
      <c r="K46" s="114"/>
      <c r="L46" s="37">
        <v>51</v>
      </c>
      <c r="M46" s="37" t="s">
        <v>142</v>
      </c>
      <c r="N46" s="37">
        <v>528.48103934807921</v>
      </c>
      <c r="O46" s="132">
        <f t="shared" si="3"/>
        <v>26952.533006752041</v>
      </c>
      <c r="P46" s="134">
        <f t="shared" si="4"/>
        <v>6104.2001753975846</v>
      </c>
      <c r="Q46" s="261">
        <v>1</v>
      </c>
      <c r="R46" s="94"/>
    </row>
    <row r="47" spans="1:18" x14ac:dyDescent="0.25">
      <c r="A47" s="368">
        <v>1983</v>
      </c>
      <c r="B47" s="367" t="s">
        <v>279</v>
      </c>
      <c r="C47" s="279">
        <v>18124</v>
      </c>
      <c r="D47" s="159" t="s">
        <v>338</v>
      </c>
      <c r="E47" s="45">
        <f t="shared" si="0"/>
        <v>30497</v>
      </c>
      <c r="F47" s="129" t="str">
        <f t="shared" si="1"/>
        <v>Date check - OK</v>
      </c>
      <c r="G47" s="1"/>
      <c r="H47" s="163"/>
      <c r="I47" s="37"/>
      <c r="J47" s="138">
        <f t="shared" si="2"/>
        <v>0.2264796475295433</v>
      </c>
      <c r="K47" s="114"/>
      <c r="L47" s="37">
        <v>85</v>
      </c>
      <c r="M47" s="37" t="s">
        <v>142</v>
      </c>
      <c r="N47" s="37">
        <v>789.45933038416763</v>
      </c>
      <c r="O47" s="132">
        <f t="shared" si="3"/>
        <v>67104.043082654243</v>
      </c>
      <c r="P47" s="134">
        <f t="shared" si="4"/>
        <v>15197.700025166821</v>
      </c>
      <c r="Q47" s="261">
        <v>1</v>
      </c>
      <c r="R47" s="94"/>
    </row>
    <row r="48" spans="1:18" x14ac:dyDescent="0.25">
      <c r="A48" s="368">
        <v>1973</v>
      </c>
      <c r="B48" s="367" t="s">
        <v>279</v>
      </c>
      <c r="C48" s="279">
        <v>71266</v>
      </c>
      <c r="D48" s="159" t="s">
        <v>339</v>
      </c>
      <c r="E48" s="45">
        <f t="shared" si="0"/>
        <v>26845</v>
      </c>
      <c r="F48" s="129" t="str">
        <f t="shared" si="1"/>
        <v>Date check - OK</v>
      </c>
      <c r="G48" s="1"/>
      <c r="H48" s="163"/>
      <c r="I48" s="37"/>
      <c r="J48" s="138">
        <f t="shared" si="2"/>
        <v>0.2264796475295433</v>
      </c>
      <c r="K48" s="114"/>
      <c r="L48" s="37">
        <v>671</v>
      </c>
      <c r="M48" s="37" t="s">
        <v>142</v>
      </c>
      <c r="N48" s="37">
        <v>3557.4603296856808</v>
      </c>
      <c r="O48" s="132">
        <f t="shared" si="3"/>
        <v>2387055.8812190918</v>
      </c>
      <c r="P48" s="134">
        <f t="shared" si="4"/>
        <v>540619.57461182331</v>
      </c>
      <c r="Q48" s="261">
        <v>1</v>
      </c>
      <c r="R48" s="94"/>
    </row>
    <row r="49" spans="1:18" x14ac:dyDescent="0.25">
      <c r="A49" s="368">
        <v>1992</v>
      </c>
      <c r="B49" s="367" t="s">
        <v>279</v>
      </c>
      <c r="C49" s="279">
        <v>104663</v>
      </c>
      <c r="D49" s="159" t="s">
        <v>340</v>
      </c>
      <c r="E49" s="45">
        <f t="shared" si="0"/>
        <v>33785</v>
      </c>
      <c r="F49" s="129" t="str">
        <f t="shared" si="1"/>
        <v>Date check - OK</v>
      </c>
      <c r="G49" s="1"/>
      <c r="H49" s="163"/>
      <c r="I49" s="37"/>
      <c r="J49" s="138">
        <f t="shared" si="2"/>
        <v>0.2264796475295433</v>
      </c>
      <c r="K49" s="114"/>
      <c r="L49" s="37">
        <v>975</v>
      </c>
      <c r="M49" s="37" t="s">
        <v>142</v>
      </c>
      <c r="N49" s="37">
        <v>528.48103934807921</v>
      </c>
      <c r="O49" s="132">
        <f t="shared" si="3"/>
        <v>515269.0133643772</v>
      </c>
      <c r="P49" s="134">
        <f t="shared" si="4"/>
        <v>9335.8355623727748</v>
      </c>
      <c r="Q49" s="261">
        <v>0.08</v>
      </c>
      <c r="R49" s="94"/>
    </row>
    <row r="50" spans="1:18" ht="23" x14ac:dyDescent="0.25">
      <c r="A50" s="368">
        <v>1993</v>
      </c>
      <c r="B50" s="367" t="s">
        <v>279</v>
      </c>
      <c r="C50" s="279">
        <v>103866</v>
      </c>
      <c r="D50" s="159" t="s">
        <v>341</v>
      </c>
      <c r="E50" s="45">
        <f t="shared" si="0"/>
        <v>34150</v>
      </c>
      <c r="F50" s="129" t="str">
        <f t="shared" si="1"/>
        <v>Date check - OK</v>
      </c>
      <c r="G50" s="1"/>
      <c r="H50" s="163"/>
      <c r="I50" s="37"/>
      <c r="J50" s="138">
        <f t="shared" si="2"/>
        <v>0.2264796475295433</v>
      </c>
      <c r="K50" s="114"/>
      <c r="L50" s="37">
        <v>66</v>
      </c>
      <c r="M50" s="37" t="s">
        <v>142</v>
      </c>
      <c r="N50" s="37">
        <v>270.7649769499418</v>
      </c>
      <c r="O50" s="132">
        <f t="shared" si="3"/>
        <v>17870.488478696159</v>
      </c>
      <c r="P50" s="134">
        <f t="shared" si="4"/>
        <v>4047.3019318358706</v>
      </c>
      <c r="Q50" s="261">
        <v>1</v>
      </c>
      <c r="R50" s="94"/>
    </row>
    <row r="51" spans="1:18" x14ac:dyDescent="0.25">
      <c r="A51" s="368">
        <v>1993</v>
      </c>
      <c r="B51" s="367" t="s">
        <v>279</v>
      </c>
      <c r="C51" s="279">
        <v>103858</v>
      </c>
      <c r="D51" s="159" t="s">
        <v>342</v>
      </c>
      <c r="E51" s="45">
        <f t="shared" si="0"/>
        <v>34150</v>
      </c>
      <c r="F51" s="129" t="str">
        <f t="shared" si="1"/>
        <v>Date check - OK</v>
      </c>
      <c r="G51" s="1"/>
      <c r="H51" s="163"/>
      <c r="I51" s="37"/>
      <c r="J51" s="138">
        <f t="shared" si="2"/>
        <v>0.2264796475295433</v>
      </c>
      <c r="K51" s="114"/>
      <c r="L51" s="37">
        <v>65</v>
      </c>
      <c r="M51" s="37" t="s">
        <v>142</v>
      </c>
      <c r="N51" s="37">
        <v>270.7649769499418</v>
      </c>
      <c r="O51" s="132">
        <f t="shared" si="3"/>
        <v>17599.723501746215</v>
      </c>
      <c r="P51" s="134">
        <f t="shared" si="4"/>
        <v>3985.9791752929023</v>
      </c>
      <c r="Q51" s="261">
        <v>1</v>
      </c>
      <c r="R51" s="94"/>
    </row>
    <row r="52" spans="1:18" ht="23" x14ac:dyDescent="0.25">
      <c r="A52" s="368">
        <v>1993</v>
      </c>
      <c r="B52" s="367" t="s">
        <v>279</v>
      </c>
      <c r="C52" s="279">
        <v>103857</v>
      </c>
      <c r="D52" s="159" t="s">
        <v>343</v>
      </c>
      <c r="E52" s="45">
        <f t="shared" si="0"/>
        <v>34150</v>
      </c>
      <c r="F52" s="129" t="str">
        <f t="shared" si="1"/>
        <v>Date check - OK</v>
      </c>
      <c r="G52" s="1"/>
      <c r="H52" s="163"/>
      <c r="I52" s="37"/>
      <c r="J52" s="138">
        <f t="shared" si="2"/>
        <v>0.2264796475295433</v>
      </c>
      <c r="K52" s="114"/>
      <c r="L52" s="37">
        <v>55</v>
      </c>
      <c r="M52" s="37" t="s">
        <v>142</v>
      </c>
      <c r="N52" s="37">
        <v>270.7649769499418</v>
      </c>
      <c r="O52" s="132">
        <f t="shared" si="3"/>
        <v>14892.073732246799</v>
      </c>
      <c r="P52" s="134">
        <f t="shared" si="4"/>
        <v>3372.7516098632254</v>
      </c>
      <c r="Q52" s="261">
        <v>1</v>
      </c>
      <c r="R52" s="94"/>
    </row>
    <row r="53" spans="1:18" ht="23" x14ac:dyDescent="0.25">
      <c r="A53" s="368">
        <v>1993</v>
      </c>
      <c r="B53" s="367" t="s">
        <v>279</v>
      </c>
      <c r="C53" s="279">
        <v>103605</v>
      </c>
      <c r="D53" s="159" t="s">
        <v>344</v>
      </c>
      <c r="E53" s="45">
        <f t="shared" si="0"/>
        <v>34150</v>
      </c>
      <c r="F53" s="129" t="str">
        <f t="shared" si="1"/>
        <v>Date check - OK</v>
      </c>
      <c r="G53" s="1"/>
      <c r="H53" s="163"/>
      <c r="I53" s="37"/>
      <c r="J53" s="138">
        <f t="shared" si="2"/>
        <v>0.2264796475295433</v>
      </c>
      <c r="K53" s="114"/>
      <c r="L53" s="37">
        <v>385</v>
      </c>
      <c r="M53" s="37" t="s">
        <v>142</v>
      </c>
      <c r="N53" s="37">
        <v>314.8050635622817</v>
      </c>
      <c r="O53" s="132">
        <f t="shared" si="3"/>
        <v>121199.94947147845</v>
      </c>
      <c r="P53" s="134">
        <f t="shared" si="4"/>
        <v>27449.321836898896</v>
      </c>
      <c r="Q53" s="261">
        <v>1</v>
      </c>
      <c r="R53" s="94"/>
    </row>
    <row r="54" spans="1:18" x14ac:dyDescent="0.25">
      <c r="A54" s="368">
        <v>1973</v>
      </c>
      <c r="B54" s="367" t="s">
        <v>279</v>
      </c>
      <c r="C54" s="279" t="s">
        <v>314</v>
      </c>
      <c r="D54" s="159" t="s">
        <v>345</v>
      </c>
      <c r="E54" s="45">
        <f t="shared" si="0"/>
        <v>26845</v>
      </c>
      <c r="F54" s="129" t="str">
        <f t="shared" si="1"/>
        <v>Date check - OK</v>
      </c>
      <c r="G54" s="1"/>
      <c r="H54" s="163"/>
      <c r="I54" s="37"/>
      <c r="J54" s="138">
        <f t="shared" si="2"/>
        <v>0.2264796475295433</v>
      </c>
      <c r="K54" s="114"/>
      <c r="L54" s="37">
        <v>580</v>
      </c>
      <c r="M54" s="37" t="s">
        <v>142</v>
      </c>
      <c r="N54" s="37">
        <v>626.34789848661228</v>
      </c>
      <c r="O54" s="132">
        <f t="shared" si="3"/>
        <v>363281.78112223512</v>
      </c>
      <c r="P54" s="134">
        <f t="shared" si="4"/>
        <v>82275.929742468506</v>
      </c>
      <c r="Q54" s="261">
        <v>1</v>
      </c>
      <c r="R54" s="94"/>
    </row>
    <row r="55" spans="1:18" x14ac:dyDescent="0.25">
      <c r="A55" s="368">
        <v>1973</v>
      </c>
      <c r="B55" s="367" t="s">
        <v>279</v>
      </c>
      <c r="C55" s="279" t="s">
        <v>315</v>
      </c>
      <c r="D55" s="159" t="s">
        <v>346</v>
      </c>
      <c r="E55" s="45">
        <f t="shared" si="0"/>
        <v>26845</v>
      </c>
      <c r="F55" s="129" t="str">
        <f t="shared" si="1"/>
        <v>Date check - OK</v>
      </c>
      <c r="G55" s="1"/>
      <c r="H55" s="163"/>
      <c r="I55" s="37"/>
      <c r="J55" s="138">
        <f t="shared" si="2"/>
        <v>0.2264796475295433</v>
      </c>
      <c r="K55" s="114"/>
      <c r="L55" s="37">
        <v>168</v>
      </c>
      <c r="M55" s="37" t="s">
        <v>142</v>
      </c>
      <c r="N55" s="37">
        <v>481.17872409778812</v>
      </c>
      <c r="O55" s="132">
        <f t="shared" si="3"/>
        <v>80838.025648428404</v>
      </c>
      <c r="P55" s="134">
        <f t="shared" si="4"/>
        <v>18308.167555840246</v>
      </c>
      <c r="Q55" s="261">
        <v>1</v>
      </c>
      <c r="R55" s="94"/>
    </row>
    <row r="56" spans="1:18" ht="23" x14ac:dyDescent="0.25">
      <c r="A56" s="368">
        <v>1974</v>
      </c>
      <c r="B56" s="367" t="s">
        <v>279</v>
      </c>
      <c r="C56" s="279" t="s">
        <v>316</v>
      </c>
      <c r="D56" s="159" t="s">
        <v>347</v>
      </c>
      <c r="E56" s="45">
        <f t="shared" si="0"/>
        <v>27210</v>
      </c>
      <c r="F56" s="129" t="str">
        <f t="shared" si="1"/>
        <v>Date check - OK</v>
      </c>
      <c r="G56" s="1"/>
      <c r="H56" s="163"/>
      <c r="I56" s="37"/>
      <c r="J56" s="138">
        <f t="shared" si="2"/>
        <v>0.2264796475295433</v>
      </c>
      <c r="K56" s="114"/>
      <c r="L56" s="37">
        <v>440</v>
      </c>
      <c r="M56" s="37" t="s">
        <v>142</v>
      </c>
      <c r="N56" s="37">
        <v>528.48103934807921</v>
      </c>
      <c r="O56" s="132">
        <f t="shared" si="3"/>
        <v>232531.65731315486</v>
      </c>
      <c r="P56" s="134">
        <f t="shared" si="4"/>
        <v>52663.687787743867</v>
      </c>
      <c r="Q56" s="261">
        <v>1</v>
      </c>
      <c r="R56" s="94"/>
    </row>
    <row r="57" spans="1:18" ht="23" x14ac:dyDescent="0.25">
      <c r="A57" s="368">
        <v>1976</v>
      </c>
      <c r="B57" s="367" t="s">
        <v>279</v>
      </c>
      <c r="C57" s="279" t="s">
        <v>317</v>
      </c>
      <c r="D57" s="159" t="s">
        <v>348</v>
      </c>
      <c r="E57" s="45">
        <f t="shared" si="0"/>
        <v>27941</v>
      </c>
      <c r="F57" s="129" t="str">
        <f t="shared" si="1"/>
        <v>Date check - OK</v>
      </c>
      <c r="G57" s="1"/>
      <c r="H57" s="163"/>
      <c r="I57" s="37"/>
      <c r="J57" s="138">
        <f t="shared" si="2"/>
        <v>0.2264796475295433</v>
      </c>
      <c r="K57" s="114"/>
      <c r="L57" s="37">
        <v>113</v>
      </c>
      <c r="M57" s="37" t="s">
        <v>142</v>
      </c>
      <c r="N57" s="37">
        <v>895.48176111757846</v>
      </c>
      <c r="O57" s="132">
        <f t="shared" si="3"/>
        <v>101189.43900628637</v>
      </c>
      <c r="P57" s="134">
        <f t="shared" si="4"/>
        <v>22917.348479855958</v>
      </c>
      <c r="Q57" s="261">
        <v>1</v>
      </c>
      <c r="R57" s="94"/>
    </row>
    <row r="58" spans="1:18" ht="23" x14ac:dyDescent="0.25">
      <c r="A58" s="368">
        <v>1976</v>
      </c>
      <c r="B58" s="367" t="s">
        <v>279</v>
      </c>
      <c r="C58" s="279" t="s">
        <v>318</v>
      </c>
      <c r="D58" s="159" t="s">
        <v>349</v>
      </c>
      <c r="E58" s="45">
        <f t="shared" si="0"/>
        <v>27941</v>
      </c>
      <c r="F58" s="129" t="str">
        <f t="shared" si="1"/>
        <v>Date check - OK</v>
      </c>
      <c r="G58" s="1"/>
      <c r="H58" s="163"/>
      <c r="I58" s="37"/>
      <c r="J58" s="138">
        <f t="shared" si="2"/>
        <v>0.2264796475295433</v>
      </c>
      <c r="K58" s="114"/>
      <c r="L58" s="37">
        <v>135</v>
      </c>
      <c r="M58" s="37" t="s">
        <v>142</v>
      </c>
      <c r="N58" s="37">
        <v>481.17872409778812</v>
      </c>
      <c r="O58" s="132">
        <f t="shared" si="3"/>
        <v>64959.127753201399</v>
      </c>
      <c r="P58" s="134">
        <f t="shared" si="4"/>
        <v>14711.920357371628</v>
      </c>
      <c r="Q58" s="261">
        <v>1</v>
      </c>
      <c r="R58" s="94"/>
    </row>
    <row r="59" spans="1:18" x14ac:dyDescent="0.25">
      <c r="A59" s="369">
        <v>1978</v>
      </c>
      <c r="B59" s="367" t="s">
        <v>279</v>
      </c>
      <c r="C59" s="279" t="s">
        <v>319</v>
      </c>
      <c r="D59" s="159" t="s">
        <v>350</v>
      </c>
      <c r="E59" s="45">
        <f t="shared" si="0"/>
        <v>28671</v>
      </c>
      <c r="F59" s="129" t="str">
        <f t="shared" si="1"/>
        <v>Date check - OK</v>
      </c>
      <c r="G59" s="1"/>
      <c r="H59" s="163"/>
      <c r="I59" s="37"/>
      <c r="J59" s="138">
        <f t="shared" si="2"/>
        <v>0.2264796475295433</v>
      </c>
      <c r="K59" s="114"/>
      <c r="L59" s="37">
        <v>55</v>
      </c>
      <c r="M59" s="37" t="s">
        <v>142</v>
      </c>
      <c r="N59" s="37">
        <v>789.45933038416763</v>
      </c>
      <c r="O59" s="132">
        <f t="shared" si="3"/>
        <v>43420.26317112922</v>
      </c>
      <c r="P59" s="134">
        <f t="shared" si="4"/>
        <v>9833.8058986373562</v>
      </c>
      <c r="Q59" s="261">
        <v>1</v>
      </c>
      <c r="R59" s="94"/>
    </row>
    <row r="60" spans="1:18" ht="23" x14ac:dyDescent="0.25">
      <c r="A60" s="369">
        <v>1979</v>
      </c>
      <c r="B60" s="367" t="s">
        <v>279</v>
      </c>
      <c r="C60" s="279"/>
      <c r="D60" s="159" t="s">
        <v>351</v>
      </c>
      <c r="E60" s="45">
        <f t="shared" si="0"/>
        <v>29036</v>
      </c>
      <c r="F60" s="129" t="str">
        <f t="shared" si="1"/>
        <v>Date check - OK</v>
      </c>
      <c r="G60" s="1"/>
      <c r="H60" s="163"/>
      <c r="I60" s="37"/>
      <c r="J60" s="138">
        <f t="shared" si="2"/>
        <v>0.2264796475295433</v>
      </c>
      <c r="K60" s="114"/>
      <c r="L60" s="37">
        <v>261</v>
      </c>
      <c r="M60" s="37" t="s">
        <v>142</v>
      </c>
      <c r="N60" s="37">
        <v>528.48103934807921</v>
      </c>
      <c r="O60" s="132">
        <f t="shared" si="3"/>
        <v>137933.55126984869</v>
      </c>
      <c r="P60" s="134">
        <f t="shared" si="4"/>
        <v>31239.142074093521</v>
      </c>
      <c r="Q60" s="261">
        <v>1</v>
      </c>
      <c r="R60" s="94"/>
    </row>
    <row r="61" spans="1:18" x14ac:dyDescent="0.25">
      <c r="A61" s="369">
        <v>1979</v>
      </c>
      <c r="B61" s="367" t="s">
        <v>279</v>
      </c>
      <c r="C61" s="279"/>
      <c r="D61" s="159" t="s">
        <v>352</v>
      </c>
      <c r="E61" s="45">
        <f t="shared" si="0"/>
        <v>29036</v>
      </c>
      <c r="F61" s="129" t="str">
        <f t="shared" si="1"/>
        <v>Date check - OK</v>
      </c>
      <c r="G61" s="1"/>
      <c r="H61" s="163"/>
      <c r="I61" s="37"/>
      <c r="J61" s="138">
        <f t="shared" si="2"/>
        <v>0.2264796475295433</v>
      </c>
      <c r="K61" s="114"/>
      <c r="L61" s="37">
        <v>33</v>
      </c>
      <c r="M61" s="37" t="s">
        <v>142</v>
      </c>
      <c r="N61" s="37">
        <v>626.34789848661228</v>
      </c>
      <c r="O61" s="132">
        <f t="shared" si="3"/>
        <v>20669.480650058205</v>
      </c>
      <c r="P61" s="134">
        <f t="shared" si="4"/>
        <v>4681.2166922438983</v>
      </c>
      <c r="Q61" s="261">
        <v>1</v>
      </c>
      <c r="R61" s="94"/>
    </row>
    <row r="62" spans="1:18" x14ac:dyDescent="0.25">
      <c r="A62" s="367">
        <v>1973</v>
      </c>
      <c r="B62" s="367" t="s">
        <v>279</v>
      </c>
      <c r="C62" s="279"/>
      <c r="D62" s="159" t="s">
        <v>353</v>
      </c>
      <c r="E62" s="45">
        <f t="shared" si="0"/>
        <v>26845</v>
      </c>
      <c r="F62" s="129" t="str">
        <f t="shared" si="1"/>
        <v>Date check - OK</v>
      </c>
      <c r="G62" s="1"/>
      <c r="H62" s="163"/>
      <c r="I62" s="37"/>
      <c r="J62" s="138">
        <f t="shared" si="2"/>
        <v>0.2264796475295433</v>
      </c>
      <c r="K62" s="114"/>
      <c r="L62" s="37">
        <v>214</v>
      </c>
      <c r="M62" s="37" t="s">
        <v>142</v>
      </c>
      <c r="N62" s="37">
        <v>481.17872409778812</v>
      </c>
      <c r="O62" s="132">
        <f t="shared" si="3"/>
        <v>102972.24695692665</v>
      </c>
      <c r="P62" s="134">
        <f t="shared" si="4"/>
        <v>23321.118196129835</v>
      </c>
      <c r="Q62" s="261">
        <v>1</v>
      </c>
      <c r="R62" s="94"/>
    </row>
    <row r="63" spans="1:18" x14ac:dyDescent="0.25">
      <c r="A63" s="367">
        <v>1979</v>
      </c>
      <c r="B63" s="367" t="s">
        <v>279</v>
      </c>
      <c r="C63" s="279"/>
      <c r="D63" s="159" t="s">
        <v>354</v>
      </c>
      <c r="E63" s="45">
        <f t="shared" si="0"/>
        <v>29036</v>
      </c>
      <c r="F63" s="129" t="str">
        <f t="shared" si="1"/>
        <v>Date check - OK</v>
      </c>
      <c r="G63" s="1"/>
      <c r="H63" s="163"/>
      <c r="I63" s="37"/>
      <c r="J63" s="138">
        <f t="shared" si="2"/>
        <v>0.2264796475295433</v>
      </c>
      <c r="K63" s="114"/>
      <c r="L63" s="37">
        <v>2320</v>
      </c>
      <c r="M63" s="37" t="s">
        <v>142</v>
      </c>
      <c r="N63" s="37">
        <v>895.48176111757846</v>
      </c>
      <c r="O63" s="132">
        <f t="shared" si="3"/>
        <v>2077517.6857927821</v>
      </c>
      <c r="P63" s="134">
        <f t="shared" si="4"/>
        <v>470515.4732147418</v>
      </c>
      <c r="Q63" s="261">
        <v>1</v>
      </c>
      <c r="R63" s="94"/>
    </row>
    <row r="64" spans="1:18" x14ac:dyDescent="0.25">
      <c r="A64" s="367">
        <v>1980</v>
      </c>
      <c r="B64" s="367" t="s">
        <v>279</v>
      </c>
      <c r="C64" s="279"/>
      <c r="D64" s="159" t="s">
        <v>355</v>
      </c>
      <c r="E64" s="45">
        <f t="shared" si="0"/>
        <v>29402</v>
      </c>
      <c r="F64" s="129" t="str">
        <f t="shared" si="1"/>
        <v>Date check - OK</v>
      </c>
      <c r="G64" s="1"/>
      <c r="H64" s="163"/>
      <c r="I64" s="37"/>
      <c r="J64" s="138">
        <f t="shared" si="2"/>
        <v>0.2264796475295433</v>
      </c>
      <c r="K64" s="114"/>
      <c r="L64" s="37">
        <v>250</v>
      </c>
      <c r="M64" s="37" t="s">
        <v>142</v>
      </c>
      <c r="N64" s="37">
        <v>895.48176111757846</v>
      </c>
      <c r="O64" s="132">
        <f t="shared" si="3"/>
        <v>223870.44027939462</v>
      </c>
      <c r="P64" s="134">
        <f t="shared" si="4"/>
        <v>50702.098406760968</v>
      </c>
      <c r="Q64" s="261">
        <v>1</v>
      </c>
      <c r="R64" s="94"/>
    </row>
    <row r="65" spans="1:18" x14ac:dyDescent="0.25">
      <c r="A65" s="367">
        <v>1983</v>
      </c>
      <c r="B65" s="367" t="s">
        <v>279</v>
      </c>
      <c r="C65" s="279"/>
      <c r="D65" s="159" t="s">
        <v>356</v>
      </c>
      <c r="E65" s="45">
        <f t="shared" si="0"/>
        <v>30497</v>
      </c>
      <c r="F65" s="129" t="str">
        <f t="shared" si="1"/>
        <v>Date check - OK</v>
      </c>
      <c r="G65" s="1"/>
      <c r="H65" s="163"/>
      <c r="I65" s="37"/>
      <c r="J65" s="138">
        <f t="shared" si="2"/>
        <v>0.2264796475295433</v>
      </c>
      <c r="K65" s="114"/>
      <c r="L65" s="37">
        <v>50</v>
      </c>
      <c r="M65" s="37" t="s">
        <v>142</v>
      </c>
      <c r="N65" s="37">
        <v>626.34789848661228</v>
      </c>
      <c r="O65" s="132">
        <f t="shared" si="3"/>
        <v>31317.394924330612</v>
      </c>
      <c r="P65" s="134">
        <f t="shared" si="4"/>
        <v>7092.7525640059057</v>
      </c>
      <c r="Q65" s="261">
        <v>1</v>
      </c>
      <c r="R65" s="94"/>
    </row>
    <row r="66" spans="1:18" x14ac:dyDescent="0.25">
      <c r="A66" s="367">
        <v>1983</v>
      </c>
      <c r="B66" s="367" t="s">
        <v>279</v>
      </c>
      <c r="C66" s="279"/>
      <c r="D66" s="159" t="s">
        <v>357</v>
      </c>
      <c r="E66" s="45">
        <f t="shared" si="0"/>
        <v>30497</v>
      </c>
      <c r="F66" s="129" t="str">
        <f t="shared" si="1"/>
        <v>Date check - OK</v>
      </c>
      <c r="G66" s="1"/>
      <c r="H66" s="163"/>
      <c r="I66" s="37"/>
      <c r="J66" s="138">
        <f t="shared" si="2"/>
        <v>0.2264796475295433</v>
      </c>
      <c r="K66" s="114"/>
      <c r="L66" s="37">
        <v>40</v>
      </c>
      <c r="M66" s="37" t="s">
        <v>142</v>
      </c>
      <c r="N66" s="37">
        <v>895.48176111757846</v>
      </c>
      <c r="O66" s="132">
        <f t="shared" si="3"/>
        <v>35819.270444703136</v>
      </c>
      <c r="P66" s="134">
        <f t="shared" si="4"/>
        <v>8112.3357450817539</v>
      </c>
      <c r="Q66" s="261">
        <v>1</v>
      </c>
      <c r="R66" s="94"/>
    </row>
    <row r="67" spans="1:18" x14ac:dyDescent="0.25">
      <c r="A67" s="367">
        <v>1983</v>
      </c>
      <c r="B67" s="367" t="s">
        <v>279</v>
      </c>
      <c r="C67" s="279"/>
      <c r="D67" s="159" t="s">
        <v>358</v>
      </c>
      <c r="E67" s="45">
        <f t="shared" si="0"/>
        <v>30497</v>
      </c>
      <c r="F67" s="129" t="str">
        <f t="shared" si="1"/>
        <v>Date check - OK</v>
      </c>
      <c r="G67" s="1"/>
      <c r="H67" s="163"/>
      <c r="I67" s="37"/>
      <c r="J67" s="138">
        <f t="shared" si="2"/>
        <v>0.2264796475295433</v>
      </c>
      <c r="K67" s="114"/>
      <c r="L67" s="37">
        <v>1605</v>
      </c>
      <c r="M67" s="37" t="s">
        <v>142</v>
      </c>
      <c r="N67" s="37">
        <v>1285.3180833527358</v>
      </c>
      <c r="O67" s="132">
        <f t="shared" si="3"/>
        <v>2062935.523781141</v>
      </c>
      <c r="P67" s="134">
        <f t="shared" si="4"/>
        <v>467212.91030212661</v>
      </c>
      <c r="Q67" s="261">
        <v>1</v>
      </c>
      <c r="R67" s="94"/>
    </row>
    <row r="68" spans="1:18" x14ac:dyDescent="0.25">
      <c r="A68" s="367">
        <v>1983</v>
      </c>
      <c r="B68" s="367" t="s">
        <v>279</v>
      </c>
      <c r="C68" s="279"/>
      <c r="D68" s="159" t="s">
        <v>358</v>
      </c>
      <c r="E68" s="45">
        <f t="shared" si="0"/>
        <v>30497</v>
      </c>
      <c r="F68" s="129" t="str">
        <f t="shared" si="1"/>
        <v>Date check - OK</v>
      </c>
      <c r="G68" s="1"/>
      <c r="H68" s="163"/>
      <c r="I68" s="37"/>
      <c r="J68" s="138">
        <f t="shared" si="2"/>
        <v>0.2264796475295433</v>
      </c>
      <c r="K68" s="114"/>
      <c r="L68" s="37">
        <v>49</v>
      </c>
      <c r="M68" s="37" t="s">
        <v>142</v>
      </c>
      <c r="N68" s="37">
        <v>1285.3180833527358</v>
      </c>
      <c r="O68" s="132">
        <f t="shared" si="3"/>
        <v>62980.586084284056</v>
      </c>
      <c r="P68" s="134">
        <f t="shared" si="4"/>
        <v>14263.820937572713</v>
      </c>
      <c r="Q68" s="261">
        <v>1</v>
      </c>
      <c r="R68" s="94"/>
    </row>
    <row r="69" spans="1:18" x14ac:dyDescent="0.25">
      <c r="A69" s="367">
        <v>1983</v>
      </c>
      <c r="B69" s="367" t="s">
        <v>279</v>
      </c>
      <c r="C69" s="279"/>
      <c r="D69" s="159" t="s">
        <v>359</v>
      </c>
      <c r="E69" s="45">
        <f t="shared" si="0"/>
        <v>30497</v>
      </c>
      <c r="F69" s="129" t="str">
        <f t="shared" si="1"/>
        <v>Date check - OK</v>
      </c>
      <c r="G69" s="1"/>
      <c r="H69" s="163"/>
      <c r="I69" s="37"/>
      <c r="J69" s="138">
        <f t="shared" si="2"/>
        <v>0.2264796475295433</v>
      </c>
      <c r="K69" s="114"/>
      <c r="L69" s="37">
        <v>1744</v>
      </c>
      <c r="M69" s="37" t="s">
        <v>142</v>
      </c>
      <c r="N69" s="37">
        <v>895.48176111757846</v>
      </c>
      <c r="O69" s="132">
        <f t="shared" si="3"/>
        <v>1561720.1913890569</v>
      </c>
      <c r="P69" s="134">
        <f t="shared" si="4"/>
        <v>353697.83848556451</v>
      </c>
      <c r="Q69" s="261">
        <v>1</v>
      </c>
      <c r="R69" s="94"/>
    </row>
    <row r="70" spans="1:18" x14ac:dyDescent="0.25">
      <c r="A70" s="367">
        <v>1991</v>
      </c>
      <c r="B70" s="367" t="s">
        <v>279</v>
      </c>
      <c r="C70" s="279"/>
      <c r="D70" s="159" t="s">
        <v>360</v>
      </c>
      <c r="E70" s="45">
        <f t="shared" si="0"/>
        <v>33419</v>
      </c>
      <c r="F70" s="129" t="str">
        <f t="shared" si="1"/>
        <v>Date check - OK</v>
      </c>
      <c r="G70" s="1"/>
      <c r="H70" s="163"/>
      <c r="I70" s="37"/>
      <c r="J70" s="138">
        <f t="shared" si="2"/>
        <v>0.2264796475295433</v>
      </c>
      <c r="K70" s="114"/>
      <c r="L70" s="37">
        <v>1290</v>
      </c>
      <c r="M70" s="37" t="s">
        <v>142</v>
      </c>
      <c r="N70" s="37">
        <v>481.17872409778812</v>
      </c>
      <c r="O70" s="132">
        <f t="shared" si="3"/>
        <v>620720.55408614664</v>
      </c>
      <c r="P70" s="134">
        <f t="shared" si="4"/>
        <v>140580.57230377331</v>
      </c>
      <c r="Q70" s="261">
        <v>1</v>
      </c>
      <c r="R70" s="94"/>
    </row>
    <row r="71" spans="1:18" x14ac:dyDescent="0.25">
      <c r="A71" s="367">
        <v>1991</v>
      </c>
      <c r="B71" s="367" t="s">
        <v>279</v>
      </c>
      <c r="C71" s="279"/>
      <c r="D71" s="159" t="s">
        <v>361</v>
      </c>
      <c r="E71" s="45">
        <f t="shared" si="0"/>
        <v>33419</v>
      </c>
      <c r="F71" s="129" t="str">
        <f t="shared" si="1"/>
        <v>Date check - OK</v>
      </c>
      <c r="G71" s="1"/>
      <c r="H71" s="163"/>
      <c r="I71" s="37"/>
      <c r="J71" s="138">
        <f t="shared" si="2"/>
        <v>0.2264796475295433</v>
      </c>
      <c r="K71" s="114"/>
      <c r="L71" s="37">
        <v>615</v>
      </c>
      <c r="M71" s="37" t="s">
        <v>142</v>
      </c>
      <c r="N71" s="37">
        <v>528.48103934807921</v>
      </c>
      <c r="O71" s="132">
        <f t="shared" si="3"/>
        <v>325015.83919906872</v>
      </c>
      <c r="P71" s="134">
        <f t="shared" si="4"/>
        <v>73609.472703323801</v>
      </c>
      <c r="Q71" s="261">
        <v>1</v>
      </c>
      <c r="R71" s="94"/>
    </row>
    <row r="72" spans="1:18" x14ac:dyDescent="0.25">
      <c r="A72" s="367">
        <v>1992</v>
      </c>
      <c r="B72" s="367" t="s">
        <v>279</v>
      </c>
      <c r="C72" s="279"/>
      <c r="D72" s="159" t="s">
        <v>362</v>
      </c>
      <c r="E72" s="45">
        <f t="shared" si="0"/>
        <v>33785</v>
      </c>
      <c r="F72" s="129" t="str">
        <f t="shared" si="1"/>
        <v>Date check - OK</v>
      </c>
      <c r="G72" s="1"/>
      <c r="H72" s="163"/>
      <c r="I72" s="37"/>
      <c r="J72" s="138">
        <f t="shared" si="2"/>
        <v>0.2264796475295433</v>
      </c>
      <c r="K72" s="114"/>
      <c r="L72" s="37">
        <v>100</v>
      </c>
      <c r="M72" s="37" t="s">
        <v>142</v>
      </c>
      <c r="N72" s="37">
        <v>626.34789848661228</v>
      </c>
      <c r="O72" s="132">
        <f t="shared" si="3"/>
        <v>62634.789848661225</v>
      </c>
      <c r="P72" s="134">
        <f t="shared" si="4"/>
        <v>14185.505128011811</v>
      </c>
      <c r="Q72" s="261">
        <v>1</v>
      </c>
      <c r="R72" s="94"/>
    </row>
    <row r="73" spans="1:18" x14ac:dyDescent="0.25">
      <c r="A73" s="367">
        <v>1992</v>
      </c>
      <c r="B73" s="367" t="s">
        <v>279</v>
      </c>
      <c r="C73" s="279"/>
      <c r="D73" s="159" t="s">
        <v>363</v>
      </c>
      <c r="E73" s="45">
        <f t="shared" si="0"/>
        <v>33785</v>
      </c>
      <c r="F73" s="129" t="str">
        <f t="shared" si="1"/>
        <v>Date check - OK</v>
      </c>
      <c r="G73" s="1"/>
      <c r="H73" s="163"/>
      <c r="I73" s="37"/>
      <c r="J73" s="138">
        <f t="shared" si="2"/>
        <v>0.2264796475295433</v>
      </c>
      <c r="K73" s="114"/>
      <c r="L73" s="37">
        <v>347</v>
      </c>
      <c r="M73" s="37" t="s">
        <v>142</v>
      </c>
      <c r="N73" s="37">
        <v>1756.7101215366704</v>
      </c>
      <c r="O73" s="132">
        <f t="shared" si="3"/>
        <v>609578.41217322461</v>
      </c>
      <c r="P73" s="134">
        <f t="shared" si="4"/>
        <v>138057.10393061058</v>
      </c>
      <c r="Q73" s="261">
        <v>1</v>
      </c>
      <c r="R73" s="94"/>
    </row>
    <row r="74" spans="1:18" ht="23" x14ac:dyDescent="0.25">
      <c r="A74" s="367">
        <v>1971</v>
      </c>
      <c r="B74" s="367" t="s">
        <v>279</v>
      </c>
      <c r="C74" s="279"/>
      <c r="D74" s="159" t="s">
        <v>364</v>
      </c>
      <c r="E74" s="45">
        <f t="shared" si="0"/>
        <v>26114</v>
      </c>
      <c r="F74" s="129" t="str">
        <f t="shared" si="1"/>
        <v>Date check - OK</v>
      </c>
      <c r="G74" s="1"/>
      <c r="H74" s="163"/>
      <c r="I74" s="37"/>
      <c r="J74" s="138">
        <f t="shared" si="2"/>
        <v>0.2264796475295433</v>
      </c>
      <c r="K74" s="114"/>
      <c r="L74" s="37">
        <v>280</v>
      </c>
      <c r="M74" s="37" t="s">
        <v>142</v>
      </c>
      <c r="N74" s="37">
        <v>2401.000277532014</v>
      </c>
      <c r="O74" s="132">
        <f t="shared" si="3"/>
        <v>672280.07770896389</v>
      </c>
      <c r="P74" s="134">
        <f t="shared" si="4"/>
        <v>152257.75504066012</v>
      </c>
      <c r="Q74" s="261">
        <v>1</v>
      </c>
      <c r="R74" s="94"/>
    </row>
    <row r="75" spans="1:18" ht="23" x14ac:dyDescent="0.25">
      <c r="A75" s="367">
        <v>1972</v>
      </c>
      <c r="B75" s="367" t="s">
        <v>279</v>
      </c>
      <c r="C75" s="279"/>
      <c r="D75" s="159" t="s">
        <v>365</v>
      </c>
      <c r="E75" s="45">
        <f t="shared" si="0"/>
        <v>26480</v>
      </c>
      <c r="F75" s="129" t="str">
        <f t="shared" si="1"/>
        <v>Date check - OK</v>
      </c>
      <c r="G75" s="1"/>
      <c r="H75" s="163"/>
      <c r="I75" s="37"/>
      <c r="J75" s="138">
        <f t="shared" si="2"/>
        <v>0.2264796475295433</v>
      </c>
      <c r="K75" s="114"/>
      <c r="L75" s="37">
        <v>255</v>
      </c>
      <c r="M75" s="37" t="s">
        <v>142</v>
      </c>
      <c r="N75" s="37">
        <v>626.34789848661228</v>
      </c>
      <c r="O75" s="132">
        <f t="shared" si="3"/>
        <v>159718.71411408612</v>
      </c>
      <c r="P75" s="134">
        <f t="shared" si="4"/>
        <v>36173.038076430115</v>
      </c>
      <c r="Q75" s="261">
        <v>1</v>
      </c>
      <c r="R75" s="94"/>
    </row>
    <row r="76" spans="1:18" ht="23" x14ac:dyDescent="0.25">
      <c r="A76" s="367">
        <v>1972</v>
      </c>
      <c r="B76" s="367" t="s">
        <v>279</v>
      </c>
      <c r="C76" s="279"/>
      <c r="D76" s="159" t="s">
        <v>365</v>
      </c>
      <c r="E76" s="45">
        <f t="shared" si="0"/>
        <v>26480</v>
      </c>
      <c r="F76" s="129" t="str">
        <f t="shared" si="1"/>
        <v>Date check - OK</v>
      </c>
      <c r="G76" s="1"/>
      <c r="H76" s="163"/>
      <c r="I76" s="37"/>
      <c r="J76" s="138">
        <f t="shared" si="2"/>
        <v>0.2264796475295433</v>
      </c>
      <c r="K76" s="114"/>
      <c r="L76" s="37">
        <v>279</v>
      </c>
      <c r="M76" s="37" t="s">
        <v>142</v>
      </c>
      <c r="N76" s="37">
        <v>528.48103934807921</v>
      </c>
      <c r="O76" s="132">
        <f t="shared" ref="O76:O121" si="5">IF(N76="","-",L76*N76)</f>
        <v>147446.20997811409</v>
      </c>
      <c r="P76" s="134">
        <f t="shared" ref="P76:P121" si="6">IF(O76="-","-",IF(OR(E76&lt;$E$15,E76&gt;$E$16),0,O76*J76))*Q76</f>
        <v>33393.565665410308</v>
      </c>
      <c r="Q76" s="261">
        <v>1</v>
      </c>
      <c r="R76" s="94"/>
    </row>
    <row r="77" spans="1:18" ht="23" x14ac:dyDescent="0.25">
      <c r="A77" s="367">
        <v>1972</v>
      </c>
      <c r="B77" s="367" t="s">
        <v>279</v>
      </c>
      <c r="C77" s="279"/>
      <c r="D77" s="159" t="s">
        <v>365</v>
      </c>
      <c r="E77" s="45">
        <f t="shared" si="0"/>
        <v>26480</v>
      </c>
      <c r="F77" s="129" t="str">
        <f t="shared" si="1"/>
        <v>Date check - OK</v>
      </c>
      <c r="G77" s="1"/>
      <c r="H77" s="163"/>
      <c r="I77" s="37"/>
      <c r="J77" s="138">
        <f t="shared" si="2"/>
        <v>0.2264796475295433</v>
      </c>
      <c r="K77" s="114"/>
      <c r="L77" s="37">
        <v>200</v>
      </c>
      <c r="M77" s="37" t="s">
        <v>142</v>
      </c>
      <c r="N77" s="37">
        <v>481.17872409778812</v>
      </c>
      <c r="O77" s="132">
        <f t="shared" si="5"/>
        <v>96235.744819557629</v>
      </c>
      <c r="P77" s="134">
        <f t="shared" si="6"/>
        <v>21795.437566476485</v>
      </c>
      <c r="Q77" s="261">
        <v>1</v>
      </c>
      <c r="R77" s="94"/>
    </row>
    <row r="78" spans="1:18" ht="23" x14ac:dyDescent="0.25">
      <c r="A78" s="367">
        <v>1972</v>
      </c>
      <c r="B78" s="367" t="s">
        <v>279</v>
      </c>
      <c r="C78" s="279"/>
      <c r="D78" s="159" t="s">
        <v>365</v>
      </c>
      <c r="E78" s="45">
        <f t="shared" si="0"/>
        <v>26480</v>
      </c>
      <c r="F78" s="129" t="str">
        <f t="shared" si="1"/>
        <v>Date check - OK</v>
      </c>
      <c r="G78" s="1"/>
      <c r="H78" s="163"/>
      <c r="I78" s="37"/>
      <c r="J78" s="138">
        <f t="shared" si="2"/>
        <v>0.2264796475295433</v>
      </c>
      <c r="K78" s="114"/>
      <c r="L78" s="37">
        <v>420</v>
      </c>
      <c r="M78" s="37" t="s">
        <v>142</v>
      </c>
      <c r="N78" s="37">
        <v>404.51635110593713</v>
      </c>
      <c r="O78" s="132">
        <f t="shared" si="5"/>
        <v>169896.86746449358</v>
      </c>
      <c r="P78" s="134">
        <f t="shared" si="6"/>
        <v>38478.18265973204</v>
      </c>
      <c r="Q78" s="261">
        <v>1</v>
      </c>
      <c r="R78" s="94"/>
    </row>
    <row r="79" spans="1:18" ht="23" x14ac:dyDescent="0.25">
      <c r="A79" s="367">
        <v>1972</v>
      </c>
      <c r="B79" s="367" t="s">
        <v>279</v>
      </c>
      <c r="C79" s="279"/>
      <c r="D79" s="159" t="s">
        <v>365</v>
      </c>
      <c r="E79" s="45">
        <f t="shared" si="0"/>
        <v>26480</v>
      </c>
      <c r="F79" s="129" t="str">
        <f t="shared" si="1"/>
        <v>Date check - OK</v>
      </c>
      <c r="G79" s="1"/>
      <c r="H79" s="163"/>
      <c r="I79" s="37"/>
      <c r="J79" s="138">
        <f t="shared" si="2"/>
        <v>0.2264796475295433</v>
      </c>
      <c r="K79" s="114"/>
      <c r="L79" s="37">
        <v>684</v>
      </c>
      <c r="M79" s="37" t="s">
        <v>142</v>
      </c>
      <c r="N79" s="37">
        <v>314.8050635622817</v>
      </c>
      <c r="O79" s="132">
        <f t="shared" si="5"/>
        <v>215326.66347660069</v>
      </c>
      <c r="P79" s="134">
        <f t="shared" si="6"/>
        <v>48767.106847893112</v>
      </c>
      <c r="Q79" s="261">
        <v>1</v>
      </c>
      <c r="R79" s="94"/>
    </row>
    <row r="80" spans="1:18" ht="23" x14ac:dyDescent="0.25">
      <c r="A80" s="367">
        <v>1973</v>
      </c>
      <c r="B80" s="367" t="s">
        <v>279</v>
      </c>
      <c r="C80" s="279"/>
      <c r="D80" s="159" t="s">
        <v>366</v>
      </c>
      <c r="E80" s="45">
        <f t="shared" si="0"/>
        <v>26845</v>
      </c>
      <c r="F80" s="129" t="str">
        <f t="shared" si="1"/>
        <v>Date check - OK</v>
      </c>
      <c r="G80" s="1"/>
      <c r="H80" s="163"/>
      <c r="I80" s="37"/>
      <c r="J80" s="138">
        <f t="shared" si="2"/>
        <v>0.2264796475295433</v>
      </c>
      <c r="K80" s="114"/>
      <c r="L80" s="37">
        <v>688</v>
      </c>
      <c r="M80" s="37" t="s">
        <v>142</v>
      </c>
      <c r="N80" s="37">
        <v>895.48176111757846</v>
      </c>
      <c r="O80" s="132">
        <f t="shared" si="5"/>
        <v>616091.451648894</v>
      </c>
      <c r="P80" s="134">
        <f t="shared" si="6"/>
        <v>139532.17481540618</v>
      </c>
      <c r="Q80" s="261">
        <v>1</v>
      </c>
      <c r="R80" s="94"/>
    </row>
    <row r="81" spans="1:18" ht="23" x14ac:dyDescent="0.25">
      <c r="A81" s="367">
        <v>1973</v>
      </c>
      <c r="B81" s="367" t="s">
        <v>279</v>
      </c>
      <c r="C81" s="279"/>
      <c r="D81" s="159" t="s">
        <v>366</v>
      </c>
      <c r="E81" s="45">
        <f t="shared" si="0"/>
        <v>26845</v>
      </c>
      <c r="F81" s="129" t="str">
        <f t="shared" si="1"/>
        <v>Date check - OK</v>
      </c>
      <c r="G81" s="1"/>
      <c r="H81" s="163"/>
      <c r="I81" s="37"/>
      <c r="J81" s="138">
        <f t="shared" si="2"/>
        <v>0.2264796475295433</v>
      </c>
      <c r="K81" s="114"/>
      <c r="L81" s="37">
        <v>30</v>
      </c>
      <c r="M81" s="37" t="s">
        <v>142</v>
      </c>
      <c r="N81" s="37">
        <v>895.48176111757846</v>
      </c>
      <c r="O81" s="132">
        <f t="shared" si="5"/>
        <v>26864.452833527354</v>
      </c>
      <c r="P81" s="134">
        <f t="shared" si="6"/>
        <v>6084.2518088113156</v>
      </c>
      <c r="Q81" s="261">
        <v>1</v>
      </c>
      <c r="R81" s="94"/>
    </row>
    <row r="82" spans="1:18" ht="23" x14ac:dyDescent="0.25">
      <c r="A82" s="367">
        <v>1973</v>
      </c>
      <c r="B82" s="367" t="s">
        <v>279</v>
      </c>
      <c r="C82" s="279"/>
      <c r="D82" s="159" t="s">
        <v>366</v>
      </c>
      <c r="E82" s="45">
        <f t="shared" si="0"/>
        <v>26845</v>
      </c>
      <c r="F82" s="129" t="str">
        <f t="shared" si="1"/>
        <v>Date check - OK</v>
      </c>
      <c r="G82" s="1"/>
      <c r="H82" s="163"/>
      <c r="I82" s="37"/>
      <c r="J82" s="138">
        <f t="shared" si="2"/>
        <v>0.2264796475295433</v>
      </c>
      <c r="K82" s="114"/>
      <c r="L82" s="37">
        <v>18</v>
      </c>
      <c r="M82" s="37" t="s">
        <v>142</v>
      </c>
      <c r="N82" s="37">
        <v>789.45933038416763</v>
      </c>
      <c r="O82" s="132">
        <f t="shared" si="5"/>
        <v>14210.267946915017</v>
      </c>
      <c r="P82" s="134">
        <f t="shared" si="6"/>
        <v>3218.3364759176802</v>
      </c>
      <c r="Q82" s="261">
        <v>1</v>
      </c>
      <c r="R82" s="94"/>
    </row>
    <row r="83" spans="1:18" ht="23" x14ac:dyDescent="0.25">
      <c r="A83" s="367">
        <v>1973</v>
      </c>
      <c r="B83" s="367" t="s">
        <v>279</v>
      </c>
      <c r="C83" s="279"/>
      <c r="D83" s="159" t="s">
        <v>366</v>
      </c>
      <c r="E83" s="45">
        <f t="shared" si="0"/>
        <v>26845</v>
      </c>
      <c r="F83" s="129" t="str">
        <f t="shared" si="1"/>
        <v>Date check - OK</v>
      </c>
      <c r="G83" s="1"/>
      <c r="H83" s="163"/>
      <c r="I83" s="37"/>
      <c r="J83" s="138">
        <f t="shared" si="2"/>
        <v>0.2264796475295433</v>
      </c>
      <c r="K83" s="114"/>
      <c r="L83" s="37">
        <v>840</v>
      </c>
      <c r="M83" s="37" t="s">
        <v>142</v>
      </c>
      <c r="N83" s="37">
        <v>789.45933038416763</v>
      </c>
      <c r="O83" s="132">
        <f t="shared" si="5"/>
        <v>663145.83752270078</v>
      </c>
      <c r="P83" s="134">
        <f t="shared" si="6"/>
        <v>150189.03554282506</v>
      </c>
      <c r="Q83" s="261">
        <v>1</v>
      </c>
      <c r="R83" s="94"/>
    </row>
    <row r="84" spans="1:18" ht="23" x14ac:dyDescent="0.25">
      <c r="A84" s="367">
        <v>1973</v>
      </c>
      <c r="B84" s="367" t="s">
        <v>279</v>
      </c>
      <c r="C84" s="279"/>
      <c r="D84" s="159" t="s">
        <v>366</v>
      </c>
      <c r="E84" s="45">
        <f t="shared" si="0"/>
        <v>26845</v>
      </c>
      <c r="F84" s="129" t="str">
        <f t="shared" si="1"/>
        <v>Date check - OK</v>
      </c>
      <c r="G84" s="1"/>
      <c r="H84" s="163"/>
      <c r="I84" s="37"/>
      <c r="J84" s="138">
        <f t="shared" si="2"/>
        <v>0.2264796475295433</v>
      </c>
      <c r="K84" s="114"/>
      <c r="L84" s="37">
        <v>360</v>
      </c>
      <c r="M84" s="37" t="s">
        <v>142</v>
      </c>
      <c r="N84" s="37">
        <v>626.34789848661228</v>
      </c>
      <c r="O84" s="132">
        <f t="shared" si="5"/>
        <v>225485.24345518043</v>
      </c>
      <c r="P84" s="134">
        <f t="shared" si="6"/>
        <v>51067.818460842529</v>
      </c>
      <c r="Q84" s="261">
        <v>1</v>
      </c>
      <c r="R84" s="94"/>
    </row>
    <row r="85" spans="1:18" ht="23" x14ac:dyDescent="0.25">
      <c r="A85" s="367">
        <v>1973</v>
      </c>
      <c r="B85" s="367" t="s">
        <v>279</v>
      </c>
      <c r="C85" s="279"/>
      <c r="D85" s="159" t="s">
        <v>366</v>
      </c>
      <c r="E85" s="45">
        <f t="shared" si="0"/>
        <v>26845</v>
      </c>
      <c r="F85" s="129" t="str">
        <f t="shared" si="1"/>
        <v>Date check - OK</v>
      </c>
      <c r="G85" s="1"/>
      <c r="H85" s="163"/>
      <c r="I85" s="37"/>
      <c r="J85" s="138">
        <f t="shared" si="2"/>
        <v>0.2264796475295433</v>
      </c>
      <c r="K85" s="114"/>
      <c r="L85" s="37">
        <v>291</v>
      </c>
      <c r="M85" s="37" t="s">
        <v>142</v>
      </c>
      <c r="N85" s="37">
        <v>481.17872409778812</v>
      </c>
      <c r="O85" s="132">
        <f t="shared" si="5"/>
        <v>140023.00871245633</v>
      </c>
      <c r="P85" s="134">
        <f t="shared" si="6"/>
        <v>31712.361659223279</v>
      </c>
      <c r="Q85" s="261">
        <v>1</v>
      </c>
      <c r="R85" s="94"/>
    </row>
    <row r="86" spans="1:18" ht="23" x14ac:dyDescent="0.25">
      <c r="A86" s="367">
        <v>1973</v>
      </c>
      <c r="B86" s="367" t="s">
        <v>279</v>
      </c>
      <c r="C86" s="279"/>
      <c r="D86" s="159" t="s">
        <v>366</v>
      </c>
      <c r="E86" s="45">
        <f t="shared" si="0"/>
        <v>26845</v>
      </c>
      <c r="F86" s="129" t="str">
        <f t="shared" si="1"/>
        <v>Date check - OK</v>
      </c>
      <c r="G86" s="1"/>
      <c r="H86" s="163"/>
      <c r="I86" s="37"/>
      <c r="J86" s="138">
        <f t="shared" si="2"/>
        <v>0.2264796475295433</v>
      </c>
      <c r="K86" s="114"/>
      <c r="L86" s="37">
        <v>967</v>
      </c>
      <c r="M86" s="37" t="s">
        <v>142</v>
      </c>
      <c r="N86" s="37">
        <v>314.8050635622817</v>
      </c>
      <c r="O86" s="132">
        <f t="shared" si="5"/>
        <v>304416.4964647264</v>
      </c>
      <c r="P86" s="134">
        <f t="shared" si="6"/>
        <v>68944.140821509704</v>
      </c>
      <c r="Q86" s="261">
        <v>1</v>
      </c>
      <c r="R86" s="94"/>
    </row>
    <row r="87" spans="1:18" ht="23" x14ac:dyDescent="0.25">
      <c r="A87" s="367">
        <v>1974</v>
      </c>
      <c r="B87" s="367" t="s">
        <v>279</v>
      </c>
      <c r="C87" s="279"/>
      <c r="D87" s="159" t="s">
        <v>367</v>
      </c>
      <c r="E87" s="45">
        <f t="shared" ref="E87:E121" si="7">DATEVALUE("30 Jun "&amp;A87)</f>
        <v>27210</v>
      </c>
      <c r="F87" s="129" t="str">
        <f t="shared" si="1"/>
        <v>Date check - OK</v>
      </c>
      <c r="G87" s="1"/>
      <c r="H87" s="163"/>
      <c r="I87" s="37"/>
      <c r="J87" s="138">
        <f t="shared" si="2"/>
        <v>0.2264796475295433</v>
      </c>
      <c r="K87" s="114"/>
      <c r="L87" s="37">
        <v>833</v>
      </c>
      <c r="M87" s="37" t="s">
        <v>142</v>
      </c>
      <c r="N87" s="37">
        <v>1756.7101215366704</v>
      </c>
      <c r="O87" s="132">
        <f t="shared" si="5"/>
        <v>1463339.5312400465</v>
      </c>
      <c r="P87" s="134">
        <f t="shared" si="6"/>
        <v>331416.62125129288</v>
      </c>
      <c r="Q87" s="261">
        <v>1</v>
      </c>
      <c r="R87" s="94"/>
    </row>
    <row r="88" spans="1:18" ht="23" x14ac:dyDescent="0.25">
      <c r="A88" s="367">
        <v>1974</v>
      </c>
      <c r="B88" s="367" t="s">
        <v>279</v>
      </c>
      <c r="C88" s="279"/>
      <c r="D88" s="159" t="s">
        <v>367</v>
      </c>
      <c r="E88" s="45">
        <f t="shared" si="7"/>
        <v>27210</v>
      </c>
      <c r="F88" s="129" t="str">
        <f t="shared" ref="F88:F121" si="8">IF(E88="","-",IF(OR(E88&lt;$E$15,E88&gt;$E$16),"ERROR - date outside of range","Date check - OK"))</f>
        <v>Date check - OK</v>
      </c>
      <c r="G88" s="1"/>
      <c r="H88" s="163"/>
      <c r="I88" s="37"/>
      <c r="J88" s="138">
        <f t="shared" ref="J88:J132" si="9">J87</f>
        <v>0.2264796475295433</v>
      </c>
      <c r="K88" s="114"/>
      <c r="L88" s="37">
        <v>6</v>
      </c>
      <c r="M88" s="37" t="s">
        <v>142</v>
      </c>
      <c r="N88" s="37">
        <v>895.48176111757846</v>
      </c>
      <c r="O88" s="132">
        <f t="shared" si="5"/>
        <v>5372.8905667054705</v>
      </c>
      <c r="P88" s="134">
        <f t="shared" si="6"/>
        <v>1216.8503617622632</v>
      </c>
      <c r="Q88" s="261">
        <v>1</v>
      </c>
      <c r="R88" s="94"/>
    </row>
    <row r="89" spans="1:18" ht="23" x14ac:dyDescent="0.25">
      <c r="A89" s="367">
        <v>1974</v>
      </c>
      <c r="B89" s="367" t="s">
        <v>279</v>
      </c>
      <c r="C89" s="279"/>
      <c r="D89" s="159" t="s">
        <v>367</v>
      </c>
      <c r="E89" s="45">
        <f t="shared" si="7"/>
        <v>27210</v>
      </c>
      <c r="F89" s="129" t="str">
        <f t="shared" si="8"/>
        <v>Date check - OK</v>
      </c>
      <c r="G89" s="1"/>
      <c r="H89" s="163"/>
      <c r="I89" s="37"/>
      <c r="J89" s="138">
        <f t="shared" si="9"/>
        <v>0.2264796475295433</v>
      </c>
      <c r="K89" s="114"/>
      <c r="L89" s="37">
        <v>875</v>
      </c>
      <c r="M89" s="37" t="s">
        <v>142</v>
      </c>
      <c r="N89" s="37">
        <v>626.34789848661228</v>
      </c>
      <c r="O89" s="132">
        <f t="shared" si="5"/>
        <v>548054.4111757857</v>
      </c>
      <c r="P89" s="134">
        <f t="shared" si="6"/>
        <v>124123.16987010335</v>
      </c>
      <c r="Q89" s="261">
        <v>1</v>
      </c>
      <c r="R89" s="94"/>
    </row>
    <row r="90" spans="1:18" ht="23" x14ac:dyDescent="0.25">
      <c r="A90" s="367">
        <v>1974</v>
      </c>
      <c r="B90" s="367" t="s">
        <v>279</v>
      </c>
      <c r="C90" s="279"/>
      <c r="D90" s="159" t="s">
        <v>367</v>
      </c>
      <c r="E90" s="45">
        <f t="shared" si="7"/>
        <v>27210</v>
      </c>
      <c r="F90" s="129" t="str">
        <f t="shared" si="8"/>
        <v>Date check - OK</v>
      </c>
      <c r="G90" s="1"/>
      <c r="H90" s="163"/>
      <c r="I90" s="37"/>
      <c r="J90" s="138">
        <f t="shared" si="9"/>
        <v>0.2264796475295433</v>
      </c>
      <c r="K90" s="114"/>
      <c r="L90" s="37">
        <v>6</v>
      </c>
      <c r="M90" s="37" t="s">
        <v>142</v>
      </c>
      <c r="N90" s="37">
        <v>404.51635110593713</v>
      </c>
      <c r="O90" s="132">
        <f t="shared" si="5"/>
        <v>2427.0981066356226</v>
      </c>
      <c r="P90" s="134">
        <f t="shared" si="6"/>
        <v>549.68832371045767</v>
      </c>
      <c r="Q90" s="261">
        <v>1</v>
      </c>
      <c r="R90" s="94"/>
    </row>
    <row r="91" spans="1:18" ht="23" x14ac:dyDescent="0.25">
      <c r="A91" s="367">
        <v>1974</v>
      </c>
      <c r="B91" s="367" t="s">
        <v>279</v>
      </c>
      <c r="C91" s="279"/>
      <c r="D91" s="159" t="s">
        <v>367</v>
      </c>
      <c r="E91" s="45">
        <f t="shared" si="7"/>
        <v>27210</v>
      </c>
      <c r="F91" s="129" t="str">
        <f t="shared" si="8"/>
        <v>Date check - OK</v>
      </c>
      <c r="G91" s="1"/>
      <c r="H91" s="163"/>
      <c r="I91" s="37"/>
      <c r="J91" s="138">
        <f t="shared" si="9"/>
        <v>0.2264796475295433</v>
      </c>
      <c r="K91" s="114"/>
      <c r="L91" s="37">
        <v>6</v>
      </c>
      <c r="M91" s="37" t="s">
        <v>142</v>
      </c>
      <c r="N91" s="37">
        <v>314.8050635622817</v>
      </c>
      <c r="O91" s="132">
        <f t="shared" si="5"/>
        <v>1888.8303813736902</v>
      </c>
      <c r="P91" s="134">
        <f t="shared" si="6"/>
        <v>427.78163901660622</v>
      </c>
      <c r="Q91" s="261">
        <v>1</v>
      </c>
      <c r="R91" s="94"/>
    </row>
    <row r="92" spans="1:18" ht="23" x14ac:dyDescent="0.25">
      <c r="A92" s="367">
        <v>1974</v>
      </c>
      <c r="B92" s="367" t="s">
        <v>279</v>
      </c>
      <c r="C92" s="279"/>
      <c r="D92" s="159" t="s">
        <v>367</v>
      </c>
      <c r="E92" s="45">
        <f t="shared" si="7"/>
        <v>27210</v>
      </c>
      <c r="F92" s="129" t="str">
        <f t="shared" si="8"/>
        <v>Date check - OK</v>
      </c>
      <c r="G92" s="1"/>
      <c r="H92" s="163"/>
      <c r="I92" s="37"/>
      <c r="J92" s="138">
        <f t="shared" si="9"/>
        <v>0.2264796475295433</v>
      </c>
      <c r="K92" s="114"/>
      <c r="L92" s="37">
        <v>12</v>
      </c>
      <c r="M92" s="37" t="s">
        <v>142</v>
      </c>
      <c r="N92" s="37">
        <v>270.7649769499418</v>
      </c>
      <c r="O92" s="132">
        <f t="shared" si="5"/>
        <v>3249.1797233993016</v>
      </c>
      <c r="P92" s="134">
        <f t="shared" si="6"/>
        <v>735.87307851561286</v>
      </c>
      <c r="Q92" s="261">
        <v>1</v>
      </c>
      <c r="R92" s="94"/>
    </row>
    <row r="93" spans="1:18" x14ac:dyDescent="0.25">
      <c r="A93" s="367">
        <v>1975</v>
      </c>
      <c r="B93" s="367" t="s">
        <v>279</v>
      </c>
      <c r="C93" s="279"/>
      <c r="D93" s="159" t="s">
        <v>368</v>
      </c>
      <c r="E93" s="45">
        <f t="shared" si="7"/>
        <v>27575</v>
      </c>
      <c r="F93" s="129" t="str">
        <f t="shared" si="8"/>
        <v>Date check - OK</v>
      </c>
      <c r="G93" s="1"/>
      <c r="H93" s="163"/>
      <c r="I93" s="37"/>
      <c r="J93" s="138">
        <f t="shared" si="9"/>
        <v>0.2264796475295433</v>
      </c>
      <c r="K93" s="114"/>
      <c r="L93" s="37">
        <v>623</v>
      </c>
      <c r="M93" s="37" t="s">
        <v>142</v>
      </c>
      <c r="N93" s="37">
        <v>528.48103934807921</v>
      </c>
      <c r="O93" s="132">
        <f t="shared" si="5"/>
        <v>329243.68751385337</v>
      </c>
      <c r="P93" s="134">
        <f t="shared" si="6"/>
        <v>74566.994299464612</v>
      </c>
      <c r="Q93" s="261">
        <v>1</v>
      </c>
      <c r="R93" s="94"/>
    </row>
    <row r="94" spans="1:18" x14ac:dyDescent="0.25">
      <c r="A94" s="367">
        <v>1975</v>
      </c>
      <c r="B94" s="367" t="s">
        <v>279</v>
      </c>
      <c r="C94" s="279"/>
      <c r="D94" s="159" t="s">
        <v>368</v>
      </c>
      <c r="E94" s="45">
        <f t="shared" si="7"/>
        <v>27575</v>
      </c>
      <c r="F94" s="129" t="str">
        <f t="shared" si="8"/>
        <v>Date check - OK</v>
      </c>
      <c r="G94" s="1"/>
      <c r="H94" s="163"/>
      <c r="I94" s="37"/>
      <c r="J94" s="138">
        <f t="shared" si="9"/>
        <v>0.2264796475295433</v>
      </c>
      <c r="K94" s="114"/>
      <c r="L94" s="37">
        <v>6</v>
      </c>
      <c r="M94" s="37" t="s">
        <v>142</v>
      </c>
      <c r="N94" s="37">
        <v>314.8050635622817</v>
      </c>
      <c r="O94" s="132">
        <f t="shared" si="5"/>
        <v>1888.8303813736902</v>
      </c>
      <c r="P94" s="134">
        <f t="shared" si="6"/>
        <v>427.78163901660622</v>
      </c>
      <c r="Q94" s="261">
        <v>1</v>
      </c>
      <c r="R94" s="94"/>
    </row>
    <row r="95" spans="1:18" x14ac:dyDescent="0.25">
      <c r="A95" s="367">
        <v>1978</v>
      </c>
      <c r="B95" s="367" t="s">
        <v>279</v>
      </c>
      <c r="C95" s="279"/>
      <c r="D95" s="159" t="s">
        <v>369</v>
      </c>
      <c r="E95" s="45">
        <f t="shared" si="7"/>
        <v>28671</v>
      </c>
      <c r="F95" s="129" t="str">
        <f t="shared" si="8"/>
        <v>Date check - OK</v>
      </c>
      <c r="G95" s="1"/>
      <c r="H95" s="163"/>
      <c r="I95" s="37"/>
      <c r="J95" s="138">
        <f t="shared" si="9"/>
        <v>0.2264796475295433</v>
      </c>
      <c r="K95" s="114"/>
      <c r="L95" s="37">
        <v>141</v>
      </c>
      <c r="M95" s="37" t="s">
        <v>142</v>
      </c>
      <c r="N95" s="37">
        <v>481.17872409778812</v>
      </c>
      <c r="O95" s="132">
        <f t="shared" si="5"/>
        <v>67846.200097788125</v>
      </c>
      <c r="P95" s="134">
        <f t="shared" si="6"/>
        <v>7682.8917421829601</v>
      </c>
      <c r="Q95" s="261">
        <v>0.5</v>
      </c>
      <c r="R95" s="94"/>
    </row>
    <row r="96" spans="1:18" x14ac:dyDescent="0.25">
      <c r="A96" s="367">
        <v>1978</v>
      </c>
      <c r="B96" s="367" t="s">
        <v>279</v>
      </c>
      <c r="C96" s="279"/>
      <c r="D96" s="159" t="s">
        <v>369</v>
      </c>
      <c r="E96" s="45">
        <f t="shared" si="7"/>
        <v>28671</v>
      </c>
      <c r="F96" s="129" t="str">
        <f t="shared" si="8"/>
        <v>Date check - OK</v>
      </c>
      <c r="G96" s="1"/>
      <c r="H96" s="163"/>
      <c r="I96" s="37"/>
      <c r="J96" s="138">
        <f t="shared" si="9"/>
        <v>0.2264796475295433</v>
      </c>
      <c r="K96" s="114"/>
      <c r="L96" s="37">
        <v>141</v>
      </c>
      <c r="M96" s="37" t="s">
        <v>142</v>
      </c>
      <c r="N96" s="37">
        <v>404.51635110593713</v>
      </c>
      <c r="O96" s="132">
        <f t="shared" si="5"/>
        <v>57036.805505937133</v>
      </c>
      <c r="P96" s="134">
        <f t="shared" si="6"/>
        <v>6458.8378035978785</v>
      </c>
      <c r="Q96" s="261">
        <v>0.5</v>
      </c>
      <c r="R96" s="94"/>
    </row>
    <row r="97" spans="1:18" x14ac:dyDescent="0.25">
      <c r="A97" s="367">
        <v>1978</v>
      </c>
      <c r="B97" s="367" t="s">
        <v>279</v>
      </c>
      <c r="C97" s="279"/>
      <c r="D97" s="159" t="s">
        <v>369</v>
      </c>
      <c r="E97" s="45">
        <f t="shared" si="7"/>
        <v>28671</v>
      </c>
      <c r="F97" s="129" t="str">
        <f t="shared" si="8"/>
        <v>Date check - OK</v>
      </c>
      <c r="G97" s="1"/>
      <c r="H97" s="163"/>
      <c r="I97" s="37"/>
      <c r="J97" s="138">
        <f t="shared" si="9"/>
        <v>0.2264796475295433</v>
      </c>
      <c r="K97" s="114"/>
      <c r="L97" s="37">
        <v>135</v>
      </c>
      <c r="M97" s="37" t="s">
        <v>142</v>
      </c>
      <c r="N97" s="37">
        <v>314.8050635622817</v>
      </c>
      <c r="O97" s="132">
        <f t="shared" si="5"/>
        <v>42498.683580908029</v>
      </c>
      <c r="P97" s="134">
        <f t="shared" si="6"/>
        <v>4812.5434389368202</v>
      </c>
      <c r="Q97" s="261">
        <v>0.5</v>
      </c>
      <c r="R97" s="94"/>
    </row>
    <row r="98" spans="1:18" x14ac:dyDescent="0.25">
      <c r="A98" s="367">
        <v>1978</v>
      </c>
      <c r="B98" s="367" t="s">
        <v>279</v>
      </c>
      <c r="C98" s="279"/>
      <c r="D98" s="159" t="s">
        <v>369</v>
      </c>
      <c r="E98" s="45">
        <f t="shared" si="7"/>
        <v>28671</v>
      </c>
      <c r="F98" s="129" t="str">
        <f t="shared" si="8"/>
        <v>Date check - OK</v>
      </c>
      <c r="G98" s="1"/>
      <c r="H98" s="163"/>
      <c r="I98" s="37"/>
      <c r="J98" s="138">
        <f t="shared" si="9"/>
        <v>0.2264796475295433</v>
      </c>
      <c r="K98" s="114"/>
      <c r="L98" s="37">
        <v>135</v>
      </c>
      <c r="M98" s="37" t="s">
        <v>142</v>
      </c>
      <c r="N98" s="37">
        <v>270.7649769499418</v>
      </c>
      <c r="O98" s="132">
        <f t="shared" si="5"/>
        <v>36553.27188824214</v>
      </c>
      <c r="P98" s="134">
        <f t="shared" si="6"/>
        <v>4139.286066650322</v>
      </c>
      <c r="Q98" s="261">
        <v>0.5</v>
      </c>
      <c r="R98" s="94"/>
    </row>
    <row r="99" spans="1:18" x14ac:dyDescent="0.25">
      <c r="A99" s="367">
        <v>1978</v>
      </c>
      <c r="B99" s="367" t="s">
        <v>279</v>
      </c>
      <c r="C99" s="279"/>
      <c r="D99" s="159" t="s">
        <v>369</v>
      </c>
      <c r="E99" s="45">
        <f t="shared" si="7"/>
        <v>28671</v>
      </c>
      <c r="F99" s="129" t="str">
        <f t="shared" si="8"/>
        <v>Date check - OK</v>
      </c>
      <c r="G99" s="1"/>
      <c r="H99" s="163"/>
      <c r="I99" s="37"/>
      <c r="J99" s="138">
        <f t="shared" si="9"/>
        <v>0.2264796475295433</v>
      </c>
      <c r="K99" s="114"/>
      <c r="L99" s="37">
        <v>597</v>
      </c>
      <c r="M99" s="37" t="s">
        <v>142</v>
      </c>
      <c r="N99" s="37">
        <v>270.7649769499418</v>
      </c>
      <c r="O99" s="132">
        <f t="shared" si="5"/>
        <v>161646.69123911526</v>
      </c>
      <c r="P99" s="134">
        <f t="shared" si="6"/>
        <v>18304.842828075871</v>
      </c>
      <c r="Q99" s="261">
        <v>0.5</v>
      </c>
      <c r="R99" s="94"/>
    </row>
    <row r="100" spans="1:18" ht="23" x14ac:dyDescent="0.25">
      <c r="A100" s="367">
        <v>1980</v>
      </c>
      <c r="B100" s="367" t="s">
        <v>279</v>
      </c>
      <c r="C100" s="279"/>
      <c r="D100" s="159" t="s">
        <v>370</v>
      </c>
      <c r="E100" s="45">
        <f t="shared" si="7"/>
        <v>29402</v>
      </c>
      <c r="F100" s="129" t="str">
        <f t="shared" si="8"/>
        <v>Date check - OK</v>
      </c>
      <c r="G100" s="1"/>
      <c r="H100" s="163"/>
      <c r="I100" s="37"/>
      <c r="J100" s="138">
        <f t="shared" si="9"/>
        <v>0.2264796475295433</v>
      </c>
      <c r="K100" s="114"/>
      <c r="L100" s="37">
        <v>2196</v>
      </c>
      <c r="M100" s="37" t="s">
        <v>142</v>
      </c>
      <c r="N100" s="37">
        <v>626.34789848661228</v>
      </c>
      <c r="O100" s="132">
        <f t="shared" si="5"/>
        <v>1375459.9850766005</v>
      </c>
      <c r="P100" s="134">
        <f t="shared" si="6"/>
        <v>311513.69261113938</v>
      </c>
      <c r="Q100" s="261">
        <v>1</v>
      </c>
      <c r="R100" s="94"/>
    </row>
    <row r="101" spans="1:18" ht="23" x14ac:dyDescent="0.25">
      <c r="A101" s="367">
        <v>1980</v>
      </c>
      <c r="B101" s="367" t="s">
        <v>279</v>
      </c>
      <c r="C101" s="279"/>
      <c r="D101" s="159" t="s">
        <v>370</v>
      </c>
      <c r="E101" s="45">
        <f t="shared" si="7"/>
        <v>29402</v>
      </c>
      <c r="F101" s="129" t="str">
        <f t="shared" si="8"/>
        <v>Date check - OK</v>
      </c>
      <c r="G101" s="1"/>
      <c r="H101" s="163"/>
      <c r="I101" s="37"/>
      <c r="J101" s="138">
        <f t="shared" si="9"/>
        <v>0.2264796475295433</v>
      </c>
      <c r="K101" s="114"/>
      <c r="L101" s="37">
        <v>1150</v>
      </c>
      <c r="M101" s="37" t="s">
        <v>142</v>
      </c>
      <c r="N101" s="37">
        <v>626.34789848661228</v>
      </c>
      <c r="O101" s="132">
        <f t="shared" si="5"/>
        <v>720300.08325960417</v>
      </c>
      <c r="P101" s="134">
        <f t="shared" si="6"/>
        <v>163133.30897213586</v>
      </c>
      <c r="Q101" s="261">
        <v>1</v>
      </c>
      <c r="R101" s="94"/>
    </row>
    <row r="102" spans="1:18" ht="23" x14ac:dyDescent="0.25">
      <c r="A102" s="367">
        <v>1980</v>
      </c>
      <c r="B102" s="367" t="s">
        <v>279</v>
      </c>
      <c r="C102" s="279"/>
      <c r="D102" s="159" t="s">
        <v>370</v>
      </c>
      <c r="E102" s="45">
        <f t="shared" si="7"/>
        <v>29402</v>
      </c>
      <c r="F102" s="129" t="str">
        <f t="shared" si="8"/>
        <v>Date check - OK</v>
      </c>
      <c r="G102" s="1"/>
      <c r="H102" s="163"/>
      <c r="I102" s="37"/>
      <c r="J102" s="138">
        <f t="shared" si="9"/>
        <v>0.2264796475295433</v>
      </c>
      <c r="K102" s="114"/>
      <c r="L102" s="37">
        <v>2</v>
      </c>
      <c r="M102" s="37" t="s">
        <v>142</v>
      </c>
      <c r="N102" s="37">
        <v>404.51635110593713</v>
      </c>
      <c r="O102" s="132">
        <f t="shared" si="5"/>
        <v>809.03270221187427</v>
      </c>
      <c r="P102" s="134">
        <f t="shared" si="6"/>
        <v>183.22944123681924</v>
      </c>
      <c r="Q102" s="261">
        <v>1</v>
      </c>
      <c r="R102" s="94"/>
    </row>
    <row r="103" spans="1:18" ht="23" x14ac:dyDescent="0.25">
      <c r="A103" s="367">
        <v>1980</v>
      </c>
      <c r="B103" s="367" t="s">
        <v>279</v>
      </c>
      <c r="C103" s="279"/>
      <c r="D103" s="159" t="s">
        <v>370</v>
      </c>
      <c r="E103" s="45">
        <f t="shared" si="7"/>
        <v>29402</v>
      </c>
      <c r="F103" s="129" t="str">
        <f t="shared" si="8"/>
        <v>Date check - OK</v>
      </c>
      <c r="G103" s="1"/>
      <c r="H103" s="163"/>
      <c r="I103" s="37"/>
      <c r="J103" s="138">
        <f t="shared" si="9"/>
        <v>0.2264796475295433</v>
      </c>
      <c r="K103" s="114"/>
      <c r="L103" s="37">
        <v>29</v>
      </c>
      <c r="M103" s="37" t="s">
        <v>142</v>
      </c>
      <c r="N103" s="37">
        <v>314.8050635622817</v>
      </c>
      <c r="O103" s="132">
        <f t="shared" si="5"/>
        <v>9129.3468433061698</v>
      </c>
      <c r="P103" s="134">
        <f t="shared" si="6"/>
        <v>2067.6112552469303</v>
      </c>
      <c r="Q103" s="261">
        <v>1</v>
      </c>
      <c r="R103" s="94"/>
    </row>
    <row r="104" spans="1:18" ht="23" x14ac:dyDescent="0.25">
      <c r="A104" s="367">
        <v>1981</v>
      </c>
      <c r="B104" s="367" t="s">
        <v>279</v>
      </c>
      <c r="C104" s="279"/>
      <c r="D104" s="159" t="s">
        <v>371</v>
      </c>
      <c r="E104" s="45">
        <f t="shared" si="7"/>
        <v>29767</v>
      </c>
      <c r="F104" s="129" t="str">
        <f t="shared" si="8"/>
        <v>Date check - OK</v>
      </c>
      <c r="G104" s="1"/>
      <c r="H104" s="163"/>
      <c r="I104" s="37"/>
      <c r="J104" s="138">
        <f t="shared" si="9"/>
        <v>0.2264796475295433</v>
      </c>
      <c r="K104" s="114"/>
      <c r="L104" s="37">
        <v>414</v>
      </c>
      <c r="M104" s="37" t="s">
        <v>142</v>
      </c>
      <c r="N104" s="37">
        <v>528.48103934807921</v>
      </c>
      <c r="O104" s="132">
        <f t="shared" si="5"/>
        <v>218791.15029010479</v>
      </c>
      <c r="P104" s="134">
        <f t="shared" si="6"/>
        <v>24775.871300143135</v>
      </c>
      <c r="Q104" s="261">
        <v>0.5</v>
      </c>
      <c r="R104" s="94"/>
    </row>
    <row r="105" spans="1:18" ht="23" x14ac:dyDescent="0.25">
      <c r="A105" s="367">
        <v>1981</v>
      </c>
      <c r="B105" s="367" t="s">
        <v>279</v>
      </c>
      <c r="C105" s="279"/>
      <c r="D105" s="159" t="s">
        <v>371</v>
      </c>
      <c r="E105" s="45">
        <f t="shared" si="7"/>
        <v>29767</v>
      </c>
      <c r="F105" s="129" t="str">
        <f t="shared" si="8"/>
        <v>Date check - OK</v>
      </c>
      <c r="G105" s="1"/>
      <c r="H105" s="163"/>
      <c r="I105" s="37"/>
      <c r="J105" s="138">
        <f t="shared" si="9"/>
        <v>0.2264796475295433</v>
      </c>
      <c r="K105" s="114"/>
      <c r="L105" s="37">
        <v>29</v>
      </c>
      <c r="M105" s="37" t="s">
        <v>142</v>
      </c>
      <c r="N105" s="37">
        <v>481.17872409778812</v>
      </c>
      <c r="O105" s="132">
        <f t="shared" si="5"/>
        <v>13954.182998835855</v>
      </c>
      <c r="P105" s="134">
        <f t="shared" si="6"/>
        <v>1580.169223569545</v>
      </c>
      <c r="Q105" s="261">
        <v>0.5</v>
      </c>
      <c r="R105" s="94"/>
    </row>
    <row r="106" spans="1:18" ht="23" x14ac:dyDescent="0.25">
      <c r="A106" s="367">
        <v>1981</v>
      </c>
      <c r="B106" s="367" t="s">
        <v>279</v>
      </c>
      <c r="C106" s="279"/>
      <c r="D106" s="159" t="s">
        <v>371</v>
      </c>
      <c r="E106" s="45">
        <f t="shared" si="7"/>
        <v>29767</v>
      </c>
      <c r="F106" s="129" t="str">
        <f t="shared" si="8"/>
        <v>Date check - OK</v>
      </c>
      <c r="G106" s="1"/>
      <c r="H106" s="163"/>
      <c r="I106" s="37"/>
      <c r="J106" s="138">
        <f t="shared" si="9"/>
        <v>0.2264796475295433</v>
      </c>
      <c r="K106" s="114"/>
      <c r="L106" s="37">
        <v>344</v>
      </c>
      <c r="M106" s="37" t="s">
        <v>142</v>
      </c>
      <c r="N106" s="37">
        <v>314.8050635622817</v>
      </c>
      <c r="O106" s="132">
        <f t="shared" si="5"/>
        <v>108292.9418654249</v>
      </c>
      <c r="P106" s="134">
        <f t="shared" si="6"/>
        <v>12263.073651809378</v>
      </c>
      <c r="Q106" s="261">
        <v>0.5</v>
      </c>
      <c r="R106" s="94"/>
    </row>
    <row r="107" spans="1:18" ht="23" x14ac:dyDescent="0.25">
      <c r="A107" s="367">
        <v>1981</v>
      </c>
      <c r="B107" s="367" t="s">
        <v>279</v>
      </c>
      <c r="C107" s="279"/>
      <c r="D107" s="159" t="s">
        <v>371</v>
      </c>
      <c r="E107" s="45">
        <f t="shared" si="7"/>
        <v>29767</v>
      </c>
      <c r="F107" s="129" t="str">
        <f t="shared" si="8"/>
        <v>Date check - OK</v>
      </c>
      <c r="G107" s="1"/>
      <c r="H107" s="163"/>
      <c r="I107" s="37"/>
      <c r="J107" s="138">
        <f t="shared" si="9"/>
        <v>0.2264796475295433</v>
      </c>
      <c r="K107" s="114"/>
      <c r="L107" s="37">
        <v>787</v>
      </c>
      <c r="M107" s="37" t="s">
        <v>142</v>
      </c>
      <c r="N107" s="37">
        <v>270.7649769499418</v>
      </c>
      <c r="O107" s="132">
        <f t="shared" si="5"/>
        <v>213092.03685960418</v>
      </c>
      <c r="P107" s="134">
        <f t="shared" si="6"/>
        <v>24130.504699657802</v>
      </c>
      <c r="Q107" s="261">
        <v>0.5</v>
      </c>
      <c r="R107" s="94"/>
    </row>
    <row r="108" spans="1:18" ht="23" x14ac:dyDescent="0.25">
      <c r="A108" s="367">
        <v>1983</v>
      </c>
      <c r="B108" s="367" t="s">
        <v>279</v>
      </c>
      <c r="C108" s="279"/>
      <c r="D108" s="159" t="s">
        <v>372</v>
      </c>
      <c r="E108" s="45">
        <f t="shared" si="7"/>
        <v>30497</v>
      </c>
      <c r="F108" s="129" t="str">
        <f t="shared" si="8"/>
        <v>Date check - OK</v>
      </c>
      <c r="G108" s="1"/>
      <c r="H108" s="163"/>
      <c r="I108" s="37"/>
      <c r="J108" s="138">
        <f t="shared" si="9"/>
        <v>0.2264796475295433</v>
      </c>
      <c r="K108" s="114"/>
      <c r="L108" s="37">
        <v>1710</v>
      </c>
      <c r="M108" s="37" t="s">
        <v>142</v>
      </c>
      <c r="N108" s="37">
        <v>895.48176111757846</v>
      </c>
      <c r="O108" s="132">
        <f t="shared" si="5"/>
        <v>1531273.8115110591</v>
      </c>
      <c r="P108" s="134">
        <f t="shared" si="6"/>
        <v>346802.35310224496</v>
      </c>
      <c r="Q108" s="261">
        <v>1</v>
      </c>
      <c r="R108" s="94"/>
    </row>
    <row r="109" spans="1:18" ht="23" x14ac:dyDescent="0.25">
      <c r="A109" s="367">
        <v>1987</v>
      </c>
      <c r="B109" s="367" t="s">
        <v>279</v>
      </c>
      <c r="C109" s="279"/>
      <c r="D109" s="159" t="s">
        <v>373</v>
      </c>
      <c r="E109" s="45">
        <f t="shared" si="7"/>
        <v>31958</v>
      </c>
      <c r="F109" s="129" t="str">
        <f t="shared" si="8"/>
        <v>Date check - OK</v>
      </c>
      <c r="G109" s="1"/>
      <c r="H109" s="163"/>
      <c r="I109" s="37"/>
      <c r="J109" s="138">
        <f t="shared" si="9"/>
        <v>0.2264796475295433</v>
      </c>
      <c r="K109" s="114"/>
      <c r="L109" s="37">
        <v>390</v>
      </c>
      <c r="M109" s="37" t="s">
        <v>142</v>
      </c>
      <c r="N109" s="37">
        <v>314.8050635622817</v>
      </c>
      <c r="O109" s="132">
        <f t="shared" si="5"/>
        <v>122773.97478928986</v>
      </c>
      <c r="P109" s="134">
        <f t="shared" si="6"/>
        <v>27805.806536079403</v>
      </c>
      <c r="Q109" s="261">
        <v>1</v>
      </c>
      <c r="R109" s="94"/>
    </row>
    <row r="110" spans="1:18" ht="23" x14ac:dyDescent="0.25">
      <c r="A110" s="367">
        <v>1987</v>
      </c>
      <c r="B110" s="367" t="s">
        <v>279</v>
      </c>
      <c r="C110" s="279"/>
      <c r="D110" s="159" t="s">
        <v>373</v>
      </c>
      <c r="E110" s="45">
        <f t="shared" si="7"/>
        <v>31958</v>
      </c>
      <c r="F110" s="129" t="str">
        <f t="shared" si="8"/>
        <v>Date check - OK</v>
      </c>
      <c r="G110" s="1"/>
      <c r="H110" s="163"/>
      <c r="I110" s="37"/>
      <c r="J110" s="138">
        <f t="shared" si="9"/>
        <v>0.2264796475295433</v>
      </c>
      <c r="K110" s="114"/>
      <c r="L110" s="37">
        <v>390</v>
      </c>
      <c r="M110" s="37" t="s">
        <v>142</v>
      </c>
      <c r="N110" s="37">
        <v>270.7649769499418</v>
      </c>
      <c r="O110" s="132">
        <f t="shared" si="5"/>
        <v>105598.34101047731</v>
      </c>
      <c r="P110" s="134">
        <f t="shared" si="6"/>
        <v>23915.875051757419</v>
      </c>
      <c r="Q110" s="261">
        <v>1</v>
      </c>
      <c r="R110" s="94"/>
    </row>
    <row r="111" spans="1:18" x14ac:dyDescent="0.25">
      <c r="A111" s="367">
        <v>1988</v>
      </c>
      <c r="B111" s="367" t="s">
        <v>279</v>
      </c>
      <c r="C111" s="279"/>
      <c r="D111" s="159" t="s">
        <v>374</v>
      </c>
      <c r="E111" s="45">
        <f t="shared" si="7"/>
        <v>32324</v>
      </c>
      <c r="F111" s="129" t="str">
        <f t="shared" si="8"/>
        <v>Date check - OK</v>
      </c>
      <c r="G111" s="1"/>
      <c r="H111" s="163"/>
      <c r="I111" s="37"/>
      <c r="J111" s="138">
        <f t="shared" si="9"/>
        <v>0.2264796475295433</v>
      </c>
      <c r="K111" s="114"/>
      <c r="L111" s="37">
        <v>245</v>
      </c>
      <c r="M111" s="37" t="s">
        <v>142</v>
      </c>
      <c r="N111" s="37">
        <v>314.8050635622817</v>
      </c>
      <c r="O111" s="132">
        <f t="shared" si="5"/>
        <v>77127.240572759023</v>
      </c>
      <c r="P111" s="134">
        <f t="shared" si="6"/>
        <v>2445.4850363782657</v>
      </c>
      <c r="Q111" s="261">
        <v>0.14000000000000001</v>
      </c>
      <c r="R111" s="94"/>
    </row>
    <row r="112" spans="1:18" x14ac:dyDescent="0.25">
      <c r="A112" s="367">
        <v>1990</v>
      </c>
      <c r="B112" s="367" t="s">
        <v>279</v>
      </c>
      <c r="C112" s="279"/>
      <c r="D112" s="159" t="s">
        <v>375</v>
      </c>
      <c r="E112" s="45">
        <f t="shared" si="7"/>
        <v>33054</v>
      </c>
      <c r="F112" s="129" t="str">
        <f t="shared" si="8"/>
        <v>Date check - OK</v>
      </c>
      <c r="G112" s="1"/>
      <c r="H112" s="163"/>
      <c r="I112" s="37"/>
      <c r="J112" s="138">
        <f t="shared" si="9"/>
        <v>0.2264796475295433</v>
      </c>
      <c r="K112" s="114"/>
      <c r="L112" s="37">
        <v>42</v>
      </c>
      <c r="M112" s="37" t="s">
        <v>142</v>
      </c>
      <c r="N112" s="37">
        <v>270.7649769499418</v>
      </c>
      <c r="O112" s="132">
        <f t="shared" si="5"/>
        <v>11372.129031897555</v>
      </c>
      <c r="P112" s="134">
        <f t="shared" si="6"/>
        <v>2575.5557748046449</v>
      </c>
      <c r="Q112" s="261">
        <v>1</v>
      </c>
      <c r="R112" s="94"/>
    </row>
    <row r="113" spans="1:18" ht="23" x14ac:dyDescent="0.25">
      <c r="A113" s="367">
        <v>1991</v>
      </c>
      <c r="B113" s="367" t="s">
        <v>279</v>
      </c>
      <c r="C113" s="279"/>
      <c r="D113" s="159" t="s">
        <v>376</v>
      </c>
      <c r="E113" s="45">
        <f t="shared" si="7"/>
        <v>33419</v>
      </c>
      <c r="F113" s="129" t="str">
        <f t="shared" si="8"/>
        <v>Date check - OK</v>
      </c>
      <c r="G113" s="1"/>
      <c r="H113" s="163"/>
      <c r="I113" s="37"/>
      <c r="J113" s="138">
        <f t="shared" si="9"/>
        <v>0.2264796475295433</v>
      </c>
      <c r="K113" s="114"/>
      <c r="L113" s="37">
        <v>33</v>
      </c>
      <c r="M113" s="37" t="s">
        <v>142</v>
      </c>
      <c r="N113" s="37">
        <v>270.7649769499418</v>
      </c>
      <c r="O113" s="132">
        <f t="shared" si="5"/>
        <v>8935.2442393480796</v>
      </c>
      <c r="P113" s="134">
        <f t="shared" si="6"/>
        <v>2023.6509659179353</v>
      </c>
      <c r="Q113" s="261">
        <v>1</v>
      </c>
      <c r="R113" s="94"/>
    </row>
    <row r="114" spans="1:18" ht="23" x14ac:dyDescent="0.25">
      <c r="A114" s="367">
        <v>1991</v>
      </c>
      <c r="B114" s="367" t="s">
        <v>279</v>
      </c>
      <c r="C114" s="279"/>
      <c r="D114" s="159" t="s">
        <v>377</v>
      </c>
      <c r="E114" s="45">
        <f t="shared" si="7"/>
        <v>33419</v>
      </c>
      <c r="F114" s="129" t="str">
        <f t="shared" si="8"/>
        <v>Date check - OK</v>
      </c>
      <c r="G114" s="1"/>
      <c r="H114" s="163"/>
      <c r="I114" s="37"/>
      <c r="J114" s="138">
        <f t="shared" si="9"/>
        <v>0.2264796475295433</v>
      </c>
      <c r="K114" s="114"/>
      <c r="L114" s="37">
        <v>135</v>
      </c>
      <c r="M114" s="37" t="s">
        <v>142</v>
      </c>
      <c r="N114" s="37">
        <v>270.7649769499418</v>
      </c>
      <c r="O114" s="132">
        <f t="shared" si="5"/>
        <v>36553.27188824214</v>
      </c>
      <c r="P114" s="134">
        <f t="shared" si="6"/>
        <v>8278.5721333006441</v>
      </c>
      <c r="Q114" s="261">
        <v>1</v>
      </c>
      <c r="R114" s="94"/>
    </row>
    <row r="115" spans="1:18" x14ac:dyDescent="0.25">
      <c r="A115" s="367">
        <v>1991</v>
      </c>
      <c r="B115" s="367" t="s">
        <v>279</v>
      </c>
      <c r="C115" s="279"/>
      <c r="D115" s="159" t="s">
        <v>378</v>
      </c>
      <c r="E115" s="45">
        <f t="shared" si="7"/>
        <v>33419</v>
      </c>
      <c r="F115" s="129" t="str">
        <f t="shared" si="8"/>
        <v>Date check - OK</v>
      </c>
      <c r="G115" s="1"/>
      <c r="H115" s="163"/>
      <c r="I115" s="37"/>
      <c r="J115" s="138">
        <f t="shared" si="9"/>
        <v>0.2264796475295433</v>
      </c>
      <c r="K115" s="114"/>
      <c r="L115" s="37">
        <v>40</v>
      </c>
      <c r="M115" s="37" t="s">
        <v>142</v>
      </c>
      <c r="N115" s="37">
        <v>270.7649769499418</v>
      </c>
      <c r="O115" s="132">
        <f t="shared" si="5"/>
        <v>10830.599077997671</v>
      </c>
      <c r="P115" s="134">
        <f t="shared" si="6"/>
        <v>2452.9102617187091</v>
      </c>
      <c r="Q115" s="261">
        <v>1</v>
      </c>
      <c r="R115" s="94"/>
    </row>
    <row r="116" spans="1:18" ht="23" x14ac:dyDescent="0.25">
      <c r="A116" s="367">
        <v>1991</v>
      </c>
      <c r="B116" s="367" t="s">
        <v>279</v>
      </c>
      <c r="C116" s="279"/>
      <c r="D116" s="159" t="s">
        <v>379</v>
      </c>
      <c r="E116" s="45">
        <f t="shared" si="7"/>
        <v>33419</v>
      </c>
      <c r="F116" s="129" t="str">
        <f t="shared" si="8"/>
        <v>Date check - OK</v>
      </c>
      <c r="G116" s="1"/>
      <c r="H116" s="163"/>
      <c r="I116" s="37"/>
      <c r="J116" s="138">
        <f t="shared" si="9"/>
        <v>0.2264796475295433</v>
      </c>
      <c r="K116" s="114"/>
      <c r="L116" s="37">
        <v>57</v>
      </c>
      <c r="M116" s="37" t="s">
        <v>142</v>
      </c>
      <c r="N116" s="37">
        <v>270.7649769499418</v>
      </c>
      <c r="O116" s="132">
        <f t="shared" si="5"/>
        <v>15433.603686146682</v>
      </c>
      <c r="P116" s="134">
        <f t="shared" si="6"/>
        <v>3495.3971229491608</v>
      </c>
      <c r="Q116" s="261">
        <v>1</v>
      </c>
      <c r="R116" s="94"/>
    </row>
    <row r="117" spans="1:18" x14ac:dyDescent="0.25">
      <c r="A117" s="367">
        <v>1993</v>
      </c>
      <c r="B117" s="367" t="s">
        <v>279</v>
      </c>
      <c r="C117" s="279"/>
      <c r="D117" s="159" t="s">
        <v>380</v>
      </c>
      <c r="E117" s="45">
        <f t="shared" si="7"/>
        <v>34150</v>
      </c>
      <c r="F117" s="129" t="str">
        <f t="shared" si="8"/>
        <v>Date check - OK</v>
      </c>
      <c r="G117" s="1"/>
      <c r="H117" s="163"/>
      <c r="I117" s="37"/>
      <c r="J117" s="138">
        <f t="shared" si="9"/>
        <v>0.2264796475295433</v>
      </c>
      <c r="K117" s="114"/>
      <c r="L117" s="37">
        <v>103</v>
      </c>
      <c r="M117" s="37" t="s">
        <v>142</v>
      </c>
      <c r="N117" s="37">
        <v>270.7649769499418</v>
      </c>
      <c r="O117" s="132">
        <f t="shared" si="5"/>
        <v>27888.792625844006</v>
      </c>
      <c r="P117" s="134">
        <f t="shared" si="6"/>
        <v>6316.2439239256764</v>
      </c>
      <c r="Q117" s="261">
        <v>1</v>
      </c>
      <c r="R117" s="94"/>
    </row>
    <row r="118" spans="1:18" x14ac:dyDescent="0.25">
      <c r="A118" s="367">
        <v>1993</v>
      </c>
      <c r="B118" s="367" t="s">
        <v>279</v>
      </c>
      <c r="C118" s="279"/>
      <c r="D118" s="159" t="s">
        <v>381</v>
      </c>
      <c r="E118" s="45">
        <f t="shared" si="7"/>
        <v>34150</v>
      </c>
      <c r="F118" s="129" t="str">
        <f t="shared" si="8"/>
        <v>Date check - OK</v>
      </c>
      <c r="G118" s="1"/>
      <c r="H118" s="163"/>
      <c r="I118" s="37"/>
      <c r="J118" s="138">
        <f t="shared" si="9"/>
        <v>0.2264796475295433</v>
      </c>
      <c r="K118" s="114"/>
      <c r="L118" s="37">
        <v>50</v>
      </c>
      <c r="M118" s="37" t="s">
        <v>142</v>
      </c>
      <c r="N118" s="37">
        <v>270.7649769499418</v>
      </c>
      <c r="O118" s="132">
        <f t="shared" si="5"/>
        <v>13538.248847497091</v>
      </c>
      <c r="P118" s="134">
        <f t="shared" si="6"/>
        <v>3066.1378271483868</v>
      </c>
      <c r="Q118" s="261">
        <v>1</v>
      </c>
      <c r="R118" s="94"/>
    </row>
    <row r="119" spans="1:18" ht="23" x14ac:dyDescent="0.25">
      <c r="A119" s="367">
        <v>1994</v>
      </c>
      <c r="B119" s="367" t="s">
        <v>279</v>
      </c>
      <c r="C119" s="279"/>
      <c r="D119" s="159" t="s">
        <v>382</v>
      </c>
      <c r="E119" s="45">
        <f t="shared" si="7"/>
        <v>34515</v>
      </c>
      <c r="F119" s="129" t="str">
        <f t="shared" si="8"/>
        <v>Date check - OK</v>
      </c>
      <c r="G119" s="1"/>
      <c r="H119" s="163"/>
      <c r="I119" s="37"/>
      <c r="J119" s="138">
        <f t="shared" si="9"/>
        <v>0.2264796475295433</v>
      </c>
      <c r="K119" s="114"/>
      <c r="L119" s="37">
        <v>41</v>
      </c>
      <c r="M119" s="37" t="s">
        <v>142</v>
      </c>
      <c r="N119" s="37">
        <v>270.7649769499418</v>
      </c>
      <c r="O119" s="132">
        <f t="shared" si="5"/>
        <v>11101.364054947613</v>
      </c>
      <c r="P119" s="134">
        <f t="shared" si="6"/>
        <v>2514.233018261677</v>
      </c>
      <c r="Q119" s="261">
        <v>1</v>
      </c>
      <c r="R119" s="94"/>
    </row>
    <row r="120" spans="1:18" x14ac:dyDescent="0.25">
      <c r="A120" s="367">
        <v>1994</v>
      </c>
      <c r="B120" s="367" t="s">
        <v>279</v>
      </c>
      <c r="C120" s="279"/>
      <c r="D120" s="159" t="s">
        <v>383</v>
      </c>
      <c r="E120" s="45">
        <f t="shared" si="7"/>
        <v>34515</v>
      </c>
      <c r="F120" s="129" t="str">
        <f t="shared" si="8"/>
        <v>Date check - OK</v>
      </c>
      <c r="G120" s="1"/>
      <c r="H120" s="163"/>
      <c r="I120" s="37"/>
      <c r="J120" s="138">
        <f t="shared" si="9"/>
        <v>0.2264796475295433</v>
      </c>
      <c r="K120" s="114"/>
      <c r="L120" s="37">
        <v>46</v>
      </c>
      <c r="M120" s="37" t="s">
        <v>142</v>
      </c>
      <c r="N120" s="37">
        <v>270.7649769499418</v>
      </c>
      <c r="O120" s="132">
        <f t="shared" si="5"/>
        <v>12455.188939697322</v>
      </c>
      <c r="P120" s="134">
        <f t="shared" si="6"/>
        <v>2820.8468009765156</v>
      </c>
      <c r="Q120" s="261">
        <v>1</v>
      </c>
      <c r="R120" s="94"/>
    </row>
    <row r="121" spans="1:18" x14ac:dyDescent="0.25">
      <c r="A121" s="367">
        <v>1995</v>
      </c>
      <c r="B121" s="367" t="s">
        <v>279</v>
      </c>
      <c r="C121" s="279"/>
      <c r="D121" s="159" t="s">
        <v>384</v>
      </c>
      <c r="E121" s="45">
        <f t="shared" si="7"/>
        <v>34880</v>
      </c>
      <c r="F121" s="129" t="str">
        <f t="shared" si="8"/>
        <v>Date check - OK</v>
      </c>
      <c r="G121" s="1"/>
      <c r="H121" s="163"/>
      <c r="I121" s="37"/>
      <c r="J121" s="138">
        <f t="shared" si="9"/>
        <v>0.2264796475295433</v>
      </c>
      <c r="K121" s="114"/>
      <c r="L121" s="37">
        <v>1275</v>
      </c>
      <c r="M121" s="37" t="s">
        <v>142</v>
      </c>
      <c r="N121" s="37">
        <v>1756.7101215366704</v>
      </c>
      <c r="O121" s="132">
        <f t="shared" si="5"/>
        <v>2239805.4049592549</v>
      </c>
      <c r="P121" s="134">
        <f t="shared" si="6"/>
        <v>334798.42350895912</v>
      </c>
      <c r="Q121" s="261">
        <v>0.66</v>
      </c>
      <c r="R121" s="94"/>
    </row>
    <row r="122" spans="1:18" x14ac:dyDescent="0.25">
      <c r="A122" s="367">
        <v>1995</v>
      </c>
      <c r="B122" s="367" t="s">
        <v>279</v>
      </c>
      <c r="C122" s="279"/>
      <c r="D122" s="159" t="s">
        <v>384</v>
      </c>
      <c r="E122" s="45">
        <f t="shared" ref="E122:E124" si="10">DATEVALUE("30 Jun "&amp;A122)</f>
        <v>34880</v>
      </c>
      <c r="F122" s="129" t="str">
        <f t="shared" ref="F122:F124" si="11">IF(E122="","-",IF(OR(E122&lt;$E$15,E122&gt;$E$16),"ERROR - date outside of range","Date check - OK"))</f>
        <v>Date check - OK</v>
      </c>
      <c r="G122" s="1"/>
      <c r="H122" s="163"/>
      <c r="I122" s="37"/>
      <c r="J122" s="138">
        <f t="shared" si="9"/>
        <v>0.2264796475295433</v>
      </c>
      <c r="K122" s="114"/>
      <c r="L122" s="37">
        <v>265</v>
      </c>
      <c r="M122" s="37" t="s">
        <v>142</v>
      </c>
      <c r="N122" s="37">
        <v>528.48103934807921</v>
      </c>
      <c r="O122" s="132">
        <f t="shared" ref="O122:O124" si="12">IF(N122="","-",L122*N122)</f>
        <v>140047.47542724098</v>
      </c>
      <c r="P122" s="134">
        <f>IF(O122="-","-",IF(OR(E122&lt;$E$15,E122&gt;$E$16),0,O122*J122))*Q122</f>
        <v>20933.815895628184</v>
      </c>
      <c r="Q122" s="261">
        <v>0.66</v>
      </c>
      <c r="R122" s="94"/>
    </row>
    <row r="123" spans="1:18" x14ac:dyDescent="0.25">
      <c r="A123" s="367">
        <v>1995</v>
      </c>
      <c r="B123" s="367" t="s">
        <v>279</v>
      </c>
      <c r="C123" s="279"/>
      <c r="D123" s="159" t="s">
        <v>384</v>
      </c>
      <c r="E123" s="45">
        <f t="shared" si="10"/>
        <v>34880</v>
      </c>
      <c r="F123" s="129" t="str">
        <f t="shared" si="11"/>
        <v>Date check - OK</v>
      </c>
      <c r="G123" s="1"/>
      <c r="H123" s="163"/>
      <c r="I123" s="37"/>
      <c r="J123" s="138">
        <f t="shared" si="9"/>
        <v>0.2264796475295433</v>
      </c>
      <c r="K123" s="114"/>
      <c r="L123" s="37">
        <v>10</v>
      </c>
      <c r="M123" s="37" t="s">
        <v>142</v>
      </c>
      <c r="N123" s="37">
        <v>270.7649769499418</v>
      </c>
      <c r="O123" s="132">
        <f t="shared" si="12"/>
        <v>2707.6497694994177</v>
      </c>
      <c r="P123" s="134">
        <f t="shared" ref="P123:P124" si="13">IF(O123="-","-",IF(OR(E123&lt;$E$15,E123&gt;$E$16),0,O123*J123))*Q123</f>
        <v>404.73019318358701</v>
      </c>
      <c r="Q123" s="261">
        <v>0.66</v>
      </c>
      <c r="R123" s="94"/>
    </row>
    <row r="124" spans="1:18" x14ac:dyDescent="0.25">
      <c r="A124" s="367">
        <v>1995</v>
      </c>
      <c r="B124" s="367" t="s">
        <v>279</v>
      </c>
      <c r="C124" s="279"/>
      <c r="D124" s="159" t="s">
        <v>384</v>
      </c>
      <c r="E124" s="45">
        <f t="shared" si="10"/>
        <v>34880</v>
      </c>
      <c r="F124" s="129" t="str">
        <f t="shared" si="11"/>
        <v>Date check - OK</v>
      </c>
      <c r="G124" s="1"/>
      <c r="H124" s="163"/>
      <c r="I124" s="37"/>
      <c r="J124" s="138">
        <f t="shared" si="9"/>
        <v>0.2264796475295433</v>
      </c>
      <c r="K124" s="114"/>
      <c r="L124" s="37">
        <v>750</v>
      </c>
      <c r="M124" s="37" t="s">
        <v>142</v>
      </c>
      <c r="N124" s="37">
        <v>895.48176111757846</v>
      </c>
      <c r="O124" s="132">
        <f t="shared" si="12"/>
        <v>671611.32083818386</v>
      </c>
      <c r="P124" s="134">
        <f t="shared" si="13"/>
        <v>100390.15484538671</v>
      </c>
      <c r="Q124" s="261">
        <v>0.66</v>
      </c>
      <c r="R124" s="94"/>
    </row>
    <row r="125" spans="1:18" x14ac:dyDescent="0.25">
      <c r="C125" s="279"/>
      <c r="D125" s="159"/>
      <c r="E125" s="45"/>
      <c r="F125" s="129"/>
      <c r="G125" s="1"/>
      <c r="H125" s="163"/>
      <c r="I125" s="37"/>
      <c r="J125" s="138"/>
      <c r="K125" s="114"/>
      <c r="L125" s="37"/>
      <c r="M125" s="37"/>
      <c r="N125" s="37"/>
      <c r="O125" s="132"/>
      <c r="P125" s="134"/>
      <c r="Q125" s="261"/>
      <c r="R125" s="94"/>
    </row>
    <row r="126" spans="1:18" x14ac:dyDescent="0.25">
      <c r="A126" s="367">
        <v>1984</v>
      </c>
      <c r="B126" s="367" t="s">
        <v>283</v>
      </c>
      <c r="C126" s="279">
        <v>31346</v>
      </c>
      <c r="D126" s="159" t="s">
        <v>385</v>
      </c>
      <c r="E126" s="45">
        <f t="shared" ref="E126:E132" si="14">DATEVALUE("30 Jun "&amp;A126)</f>
        <v>30863</v>
      </c>
      <c r="F126" s="129" t="str">
        <f t="shared" ref="F126:F134" si="15">IF(E126="","-",IF(OR(E126&lt;$E$15,E126&gt;$E$16),"ERROR - date outside of range","Date check - OK"))</f>
        <v>Date check - OK</v>
      </c>
      <c r="G126" s="1"/>
      <c r="H126" s="163"/>
      <c r="I126" s="37"/>
      <c r="J126" s="138">
        <f>J124</f>
        <v>0.2264796475295433</v>
      </c>
      <c r="K126" s="114"/>
      <c r="L126" s="37">
        <v>1</v>
      </c>
      <c r="M126" s="37" t="s">
        <v>284</v>
      </c>
      <c r="N126" s="37">
        <v>1025935.0221206053</v>
      </c>
      <c r="O126" s="132">
        <f t="shared" ref="O126:O132" si="16">IF(N126="","-",L126*N126)</f>
        <v>1025935.0221206053</v>
      </c>
      <c r="P126" s="134">
        <f t="shared" ref="P126:P132" si="17">IF(O126="-","-",IF(OR(E126&lt;$E$15,E126&gt;$E$16),0,O126*J126))*Q126</f>
        <v>76676.622725369351</v>
      </c>
      <c r="Q126" s="261">
        <v>0.33</v>
      </c>
      <c r="R126" s="94"/>
    </row>
    <row r="127" spans="1:18" ht="34.5" x14ac:dyDescent="0.25">
      <c r="A127" s="367">
        <v>1972</v>
      </c>
      <c r="B127" s="367" t="s">
        <v>283</v>
      </c>
      <c r="C127" s="279"/>
      <c r="D127" s="159" t="s">
        <v>386</v>
      </c>
      <c r="E127" s="45">
        <f t="shared" si="14"/>
        <v>26480</v>
      </c>
      <c r="F127" s="129" t="str">
        <f t="shared" si="15"/>
        <v>Date check - OK</v>
      </c>
      <c r="G127" s="1"/>
      <c r="H127" s="163"/>
      <c r="I127" s="37"/>
      <c r="J127" s="138">
        <f t="shared" si="9"/>
        <v>0.2264796475295433</v>
      </c>
      <c r="K127" s="114"/>
      <c r="L127" s="37">
        <v>1</v>
      </c>
      <c r="M127" s="37" t="s">
        <v>284</v>
      </c>
      <c r="N127" s="37">
        <v>5406070.6941820718</v>
      </c>
      <c r="O127" s="132">
        <f t="shared" si="16"/>
        <v>5406070.6941820718</v>
      </c>
      <c r="P127" s="134">
        <f t="shared" si="17"/>
        <v>306091.24633453728</v>
      </c>
      <c r="Q127" s="261">
        <v>0.25</v>
      </c>
      <c r="R127" s="94"/>
    </row>
    <row r="128" spans="1:18" x14ac:dyDescent="0.25">
      <c r="A128" s="367">
        <v>1980</v>
      </c>
      <c r="B128" s="367" t="s">
        <v>283</v>
      </c>
      <c r="C128" s="279">
        <v>31152</v>
      </c>
      <c r="D128" s="159" t="s">
        <v>387</v>
      </c>
      <c r="E128" s="45">
        <f t="shared" si="14"/>
        <v>29402</v>
      </c>
      <c r="F128" s="129" t="str">
        <f t="shared" si="15"/>
        <v>Date check - OK</v>
      </c>
      <c r="G128" s="1"/>
      <c r="H128" s="163"/>
      <c r="I128" s="37"/>
      <c r="J128" s="138">
        <f t="shared" si="9"/>
        <v>0.2264796475295433</v>
      </c>
      <c r="K128" s="114"/>
      <c r="L128" s="37">
        <v>1</v>
      </c>
      <c r="M128" s="37" t="s">
        <v>284</v>
      </c>
      <c r="N128" s="37">
        <v>676281.20113341091</v>
      </c>
      <c r="O128" s="132">
        <f t="shared" si="16"/>
        <v>676281.20113341091</v>
      </c>
      <c r="P128" s="134">
        <f t="shared" si="17"/>
        <v>153163.92806355108</v>
      </c>
      <c r="Q128" s="261">
        <v>1</v>
      </c>
      <c r="R128" s="94"/>
    </row>
    <row r="129" spans="1:18" x14ac:dyDescent="0.25">
      <c r="A129" s="367">
        <v>1970</v>
      </c>
      <c r="B129" s="367" t="s">
        <v>283</v>
      </c>
      <c r="C129" s="279">
        <v>31290</v>
      </c>
      <c r="D129" s="159" t="s">
        <v>388</v>
      </c>
      <c r="E129" s="45">
        <f t="shared" si="14"/>
        <v>25749</v>
      </c>
      <c r="F129" s="129" t="str">
        <f t="shared" si="15"/>
        <v>Date check - OK</v>
      </c>
      <c r="G129" s="1"/>
      <c r="H129" s="163"/>
      <c r="I129" s="37"/>
      <c r="J129" s="138">
        <f t="shared" si="9"/>
        <v>0.2264796475295433</v>
      </c>
      <c r="K129" s="114"/>
      <c r="L129" s="37">
        <v>1</v>
      </c>
      <c r="M129" s="37" t="s">
        <v>284</v>
      </c>
      <c r="N129" s="37">
        <v>6481134.8795902207</v>
      </c>
      <c r="O129" s="132">
        <f t="shared" si="16"/>
        <v>6481134.8795902207</v>
      </c>
      <c r="P129" s="134">
        <f t="shared" si="17"/>
        <v>733922.57156051113</v>
      </c>
      <c r="Q129" s="261">
        <v>0.5</v>
      </c>
      <c r="R129" s="94"/>
    </row>
    <row r="130" spans="1:18" x14ac:dyDescent="0.25">
      <c r="C130" s="279"/>
      <c r="D130" s="159"/>
      <c r="E130" s="45"/>
      <c r="F130" s="129"/>
      <c r="G130" s="1"/>
      <c r="H130" s="163"/>
      <c r="I130" s="37"/>
      <c r="J130" s="138"/>
      <c r="K130" s="114"/>
      <c r="L130" s="37"/>
      <c r="M130" s="37"/>
      <c r="N130" s="37"/>
      <c r="O130" s="132"/>
      <c r="P130" s="134"/>
      <c r="Q130" s="261"/>
      <c r="R130" s="94"/>
    </row>
    <row r="131" spans="1:18" x14ac:dyDescent="0.25">
      <c r="A131" s="367">
        <v>1977</v>
      </c>
      <c r="B131" s="367" t="s">
        <v>285</v>
      </c>
      <c r="C131" s="279" t="s">
        <v>390</v>
      </c>
      <c r="D131" s="159" t="s">
        <v>391</v>
      </c>
      <c r="E131" s="45">
        <f t="shared" si="14"/>
        <v>28306</v>
      </c>
      <c r="F131" s="129" t="str">
        <f t="shared" si="15"/>
        <v>Date check - OK</v>
      </c>
      <c r="G131" s="1"/>
      <c r="H131" s="163"/>
      <c r="I131" s="37"/>
      <c r="J131" s="138">
        <f>J129</f>
        <v>0.2264796475295433</v>
      </c>
      <c r="K131" s="114"/>
      <c r="L131" s="37">
        <v>1</v>
      </c>
      <c r="M131" s="37" t="s">
        <v>285</v>
      </c>
      <c r="N131" s="37">
        <v>9911139.9363911524</v>
      </c>
      <c r="O131" s="132">
        <f t="shared" ref="O131" si="18">IF(N131="","-",L131*N131)</f>
        <v>9911139.9363911524</v>
      </c>
      <c r="P131" s="134">
        <f t="shared" ref="P131" si="19">IF(O131="-","-",IF(OR(E131&lt;$E$15,E131&gt;$E$16),0,O131*J131))*Q131</f>
        <v>2244671.4794098483</v>
      </c>
      <c r="Q131" s="261">
        <v>1</v>
      </c>
      <c r="R131" s="94"/>
    </row>
    <row r="132" spans="1:18" x14ac:dyDescent="0.25">
      <c r="A132" s="367">
        <v>1976</v>
      </c>
      <c r="B132" s="367" t="s">
        <v>285</v>
      </c>
      <c r="C132" s="279">
        <v>30691</v>
      </c>
      <c r="D132" s="159" t="s">
        <v>392</v>
      </c>
      <c r="E132" s="45">
        <f t="shared" si="14"/>
        <v>27941</v>
      </c>
      <c r="F132" s="129" t="str">
        <f t="shared" si="15"/>
        <v>Date check - OK</v>
      </c>
      <c r="G132" s="1"/>
      <c r="H132" s="163"/>
      <c r="I132" s="37"/>
      <c r="J132" s="138">
        <f t="shared" si="9"/>
        <v>0.2264796475295433</v>
      </c>
      <c r="K132" s="114"/>
      <c r="L132" s="37">
        <v>1</v>
      </c>
      <c r="M132" s="37" t="s">
        <v>285</v>
      </c>
      <c r="N132" s="37">
        <v>13379989.980698485</v>
      </c>
      <c r="O132" s="132">
        <f t="shared" si="16"/>
        <v>13379989.980698485</v>
      </c>
      <c r="P132" s="134">
        <f t="shared" si="17"/>
        <v>303029.54147774138</v>
      </c>
      <c r="Q132" s="261">
        <v>0.1</v>
      </c>
      <c r="R132" s="94"/>
    </row>
    <row r="133" spans="1:18" x14ac:dyDescent="0.25">
      <c r="C133" s="279"/>
      <c r="D133" s="159"/>
      <c r="E133" s="45"/>
      <c r="F133" s="129"/>
      <c r="G133" s="1"/>
      <c r="H133" s="163"/>
      <c r="I133" s="37"/>
      <c r="J133" s="138"/>
      <c r="K133" s="114"/>
      <c r="L133" s="37"/>
      <c r="M133" s="37"/>
      <c r="N133" s="37"/>
      <c r="O133" s="132"/>
      <c r="P133" s="134"/>
      <c r="Q133" s="261"/>
      <c r="R133" s="94"/>
    </row>
    <row r="134" spans="1:18" ht="34.5" x14ac:dyDescent="0.25">
      <c r="A134" s="367">
        <v>29221</v>
      </c>
      <c r="B134" s="367" t="s">
        <v>1083</v>
      </c>
      <c r="C134" s="279"/>
      <c r="D134" s="159" t="s">
        <v>1084</v>
      </c>
      <c r="E134" s="45">
        <f t="shared" ref="E134" si="20">IF(A134&lt;2022,DATEVALUE("30 Jun "&amp;A134),A134)</f>
        <v>29221</v>
      </c>
      <c r="F134" s="129" t="str">
        <f t="shared" si="15"/>
        <v>Date check - OK</v>
      </c>
      <c r="G134" s="1"/>
      <c r="H134" s="163"/>
      <c r="I134" s="37"/>
      <c r="J134" s="138">
        <f>J132</f>
        <v>0.2264796475295433</v>
      </c>
      <c r="K134" s="114"/>
      <c r="L134" s="37">
        <v>1</v>
      </c>
      <c r="M134" s="37" t="s">
        <v>1085</v>
      </c>
      <c r="N134" s="37">
        <v>116880892.43000001</v>
      </c>
      <c r="O134" s="132">
        <f t="shared" ref="O134" si="21">IF(N134="","-",L134*N134)</f>
        <v>116880892.43000001</v>
      </c>
      <c r="P134" s="134">
        <f t="shared" ref="P134" si="22">IF(O134="-","-",IF(OR(E134&lt;$E$15,E134&gt;$E$16),0,O134*J134))*Q134</f>
        <v>26471143.320484869</v>
      </c>
      <c r="Q134" s="261">
        <v>1</v>
      </c>
      <c r="R134" s="94"/>
    </row>
    <row r="135" spans="1:18" x14ac:dyDescent="0.25">
      <c r="C135" s="279"/>
      <c r="D135" s="159"/>
      <c r="E135" s="45"/>
      <c r="F135" s="129"/>
      <c r="G135" s="1"/>
      <c r="H135" s="163"/>
      <c r="I135" s="37"/>
      <c r="J135" s="138"/>
      <c r="K135" s="114"/>
      <c r="L135" s="37"/>
      <c r="M135" s="37"/>
      <c r="N135" s="37"/>
      <c r="O135" s="132"/>
      <c r="P135" s="134"/>
      <c r="Q135" s="261"/>
      <c r="R135" s="94"/>
    </row>
    <row r="136" spans="1:18" x14ac:dyDescent="0.25">
      <c r="C136" s="279"/>
      <c r="D136" s="159"/>
      <c r="E136" s="45"/>
      <c r="F136" s="129"/>
      <c r="G136" s="1"/>
      <c r="H136" s="163"/>
      <c r="I136" s="37"/>
      <c r="J136" s="138"/>
      <c r="K136" s="114"/>
      <c r="L136" s="37"/>
      <c r="M136" s="37"/>
      <c r="N136" s="37"/>
      <c r="O136" s="132"/>
      <c r="P136" s="134"/>
      <c r="Q136" s="261"/>
      <c r="R136" s="94"/>
    </row>
    <row r="137" spans="1:18" x14ac:dyDescent="0.25">
      <c r="C137" s="279"/>
      <c r="D137" s="159"/>
      <c r="E137" s="45"/>
      <c r="F137" s="129"/>
      <c r="G137" s="1"/>
      <c r="H137" s="163"/>
      <c r="I137" s="37"/>
      <c r="J137" s="138"/>
      <c r="K137" s="114"/>
      <c r="L137" s="37"/>
      <c r="M137" s="37"/>
      <c r="N137" s="37"/>
      <c r="O137" s="132"/>
      <c r="P137" s="134"/>
      <c r="Q137" s="261"/>
      <c r="R137" s="94"/>
    </row>
    <row r="138" spans="1:18" x14ac:dyDescent="0.25">
      <c r="C138" s="279"/>
      <c r="D138" s="159"/>
      <c r="E138" s="45"/>
      <c r="F138" s="129"/>
      <c r="G138" s="1"/>
      <c r="H138" s="163"/>
      <c r="I138" s="37"/>
      <c r="J138" s="138"/>
      <c r="K138" s="114"/>
      <c r="L138" s="37"/>
      <c r="M138" s="37"/>
      <c r="N138" s="37"/>
      <c r="O138" s="132"/>
      <c r="P138" s="134"/>
      <c r="Q138" s="261"/>
      <c r="R138" s="94"/>
    </row>
    <row r="139" spans="1:18" x14ac:dyDescent="0.25">
      <c r="C139" s="279"/>
      <c r="D139" s="159"/>
      <c r="E139" s="45"/>
      <c r="F139" s="129"/>
      <c r="G139" s="1"/>
      <c r="H139" s="163"/>
      <c r="I139" s="37"/>
      <c r="J139" s="138"/>
      <c r="K139" s="114"/>
      <c r="L139" s="37"/>
      <c r="M139" s="37"/>
      <c r="N139" s="37"/>
      <c r="O139" s="132"/>
      <c r="P139" s="134"/>
      <c r="Q139" s="261"/>
      <c r="R139" s="94"/>
    </row>
    <row r="140" spans="1:18" x14ac:dyDescent="0.25">
      <c r="C140" s="279"/>
      <c r="D140" s="159"/>
      <c r="E140" s="45"/>
      <c r="F140" s="129"/>
      <c r="G140" s="1"/>
      <c r="H140" s="163"/>
      <c r="I140" s="37"/>
      <c r="J140" s="138"/>
      <c r="K140" s="114"/>
      <c r="L140" s="37"/>
      <c r="M140" s="37"/>
      <c r="N140" s="37"/>
      <c r="O140" s="132"/>
      <c r="P140" s="134"/>
      <c r="Q140" s="261"/>
      <c r="R140" s="94"/>
    </row>
    <row r="141" spans="1:18" x14ac:dyDescent="0.25">
      <c r="C141" s="279"/>
      <c r="D141" s="159"/>
      <c r="E141" s="45"/>
      <c r="F141" s="129"/>
      <c r="G141" s="1"/>
      <c r="H141" s="163"/>
      <c r="I141" s="37"/>
      <c r="J141" s="138"/>
      <c r="K141" s="114"/>
      <c r="L141" s="37"/>
      <c r="M141" s="37"/>
      <c r="N141" s="37"/>
      <c r="O141" s="132"/>
      <c r="P141" s="134"/>
      <c r="Q141" s="261"/>
      <c r="R141" s="94"/>
    </row>
    <row r="142" spans="1:18" x14ac:dyDescent="0.25">
      <c r="C142" s="279"/>
      <c r="D142" s="159"/>
      <c r="E142" s="45"/>
      <c r="F142" s="129"/>
      <c r="G142" s="1"/>
      <c r="H142" s="163"/>
      <c r="I142" s="37"/>
      <c r="J142" s="138"/>
      <c r="K142" s="114"/>
      <c r="L142" s="37"/>
      <c r="M142" s="37"/>
      <c r="N142" s="37"/>
      <c r="O142" s="132"/>
      <c r="P142" s="134"/>
      <c r="Q142" s="261"/>
      <c r="R142" s="94"/>
    </row>
    <row r="143" spans="1:18" x14ac:dyDescent="0.25">
      <c r="C143" s="279"/>
      <c r="D143" s="159"/>
      <c r="E143" s="45"/>
      <c r="F143" s="129"/>
      <c r="G143" s="1"/>
      <c r="H143" s="163"/>
      <c r="I143" s="37"/>
      <c r="J143" s="138"/>
      <c r="K143" s="114"/>
      <c r="L143" s="37"/>
      <c r="M143" s="37"/>
      <c r="N143" s="37"/>
      <c r="O143" s="132"/>
      <c r="P143" s="134"/>
      <c r="Q143" s="261"/>
      <c r="R143" s="94"/>
    </row>
    <row r="144" spans="1:18" x14ac:dyDescent="0.25">
      <c r="C144" s="279"/>
      <c r="D144" s="159"/>
      <c r="E144" s="40"/>
      <c r="F144" s="129"/>
      <c r="G144" s="1"/>
      <c r="H144" s="163"/>
      <c r="I144" s="37"/>
      <c r="J144" s="138"/>
      <c r="K144" s="114"/>
      <c r="L144" s="37"/>
      <c r="M144" s="37"/>
      <c r="N144" s="37"/>
      <c r="O144" s="132"/>
      <c r="P144" s="134"/>
      <c r="Q144" s="261"/>
      <c r="R144" s="94"/>
    </row>
    <row r="145" spans="3:18" x14ac:dyDescent="0.25">
      <c r="C145" s="279"/>
      <c r="D145" s="159"/>
      <c r="E145" s="40"/>
      <c r="F145" s="129"/>
      <c r="G145" s="1"/>
      <c r="H145" s="163"/>
      <c r="I145" s="37"/>
      <c r="J145" s="138"/>
      <c r="K145" s="114"/>
      <c r="L145" s="37"/>
      <c r="M145" s="37"/>
      <c r="N145" s="37"/>
      <c r="O145" s="132"/>
      <c r="P145" s="134"/>
      <c r="Q145" s="261"/>
      <c r="R145" s="94"/>
    </row>
    <row r="146" spans="3:18" x14ac:dyDescent="0.25">
      <c r="C146" s="279"/>
      <c r="D146" s="159"/>
      <c r="E146" s="40"/>
      <c r="F146" s="129"/>
      <c r="G146" s="1"/>
      <c r="H146" s="163"/>
      <c r="I146" s="37"/>
      <c r="J146" s="138"/>
      <c r="K146" s="114"/>
      <c r="L146" s="37"/>
      <c r="M146" s="37"/>
      <c r="N146" s="37"/>
      <c r="O146" s="132"/>
      <c r="P146" s="134"/>
      <c r="Q146" s="261"/>
      <c r="R146" s="94"/>
    </row>
    <row r="147" spans="3:18" x14ac:dyDescent="0.25">
      <c r="C147" s="279"/>
      <c r="D147" s="159"/>
      <c r="E147" s="40"/>
      <c r="F147" s="129"/>
      <c r="G147" s="1"/>
      <c r="H147" s="163"/>
      <c r="I147" s="37"/>
      <c r="J147" s="138"/>
      <c r="K147" s="114"/>
      <c r="L147" s="37"/>
      <c r="M147" s="37"/>
      <c r="N147" s="37"/>
      <c r="O147" s="132"/>
      <c r="P147" s="134"/>
      <c r="Q147" s="261"/>
      <c r="R147" s="94"/>
    </row>
    <row r="148" spans="3:18" x14ac:dyDescent="0.25">
      <c r="C148" s="279"/>
      <c r="D148" s="159"/>
      <c r="E148" s="40"/>
      <c r="F148" s="129"/>
      <c r="G148" s="1"/>
      <c r="H148" s="163"/>
      <c r="I148" s="37"/>
      <c r="J148" s="138"/>
      <c r="K148" s="114"/>
      <c r="L148" s="37"/>
      <c r="M148" s="37"/>
      <c r="N148" s="37"/>
      <c r="O148" s="132"/>
      <c r="P148" s="134"/>
      <c r="Q148" s="261"/>
      <c r="R148" s="94"/>
    </row>
    <row r="149" spans="3:18" x14ac:dyDescent="0.25">
      <c r="C149" s="279"/>
      <c r="D149" s="159"/>
      <c r="E149" s="40"/>
      <c r="F149" s="129"/>
      <c r="G149" s="1"/>
      <c r="H149" s="163"/>
      <c r="I149" s="37"/>
      <c r="J149" s="138"/>
      <c r="K149" s="114"/>
      <c r="L149" s="37"/>
      <c r="M149" s="37"/>
      <c r="N149" s="37"/>
      <c r="O149" s="132"/>
      <c r="P149" s="134"/>
      <c r="Q149" s="261"/>
      <c r="R149" s="94"/>
    </row>
    <row r="150" spans="3:18" x14ac:dyDescent="0.25">
      <c r="C150" s="279"/>
      <c r="D150" s="159"/>
      <c r="E150" s="40"/>
      <c r="F150" s="129"/>
      <c r="G150" s="1"/>
      <c r="H150" s="163"/>
      <c r="I150" s="37"/>
      <c r="J150" s="138"/>
      <c r="K150" s="114"/>
      <c r="L150" s="37"/>
      <c r="M150" s="37"/>
      <c r="N150" s="37"/>
      <c r="O150" s="132"/>
      <c r="P150" s="134"/>
      <c r="Q150" s="261"/>
      <c r="R150" s="94"/>
    </row>
    <row r="151" spans="3:18" x14ac:dyDescent="0.25">
      <c r="C151" s="279"/>
      <c r="D151" s="159"/>
      <c r="E151" s="40"/>
      <c r="F151" s="129"/>
      <c r="G151" s="1"/>
      <c r="H151" s="163"/>
      <c r="I151" s="37"/>
      <c r="J151" s="138"/>
      <c r="K151" s="114"/>
      <c r="L151" s="37"/>
      <c r="M151" s="37"/>
      <c r="N151" s="37"/>
      <c r="O151" s="132"/>
      <c r="P151" s="134"/>
      <c r="Q151" s="261"/>
      <c r="R151" s="94"/>
    </row>
    <row r="152" spans="3:18" x14ac:dyDescent="0.25">
      <c r="C152" s="279"/>
      <c r="D152" s="159"/>
      <c r="E152" s="40"/>
      <c r="F152" s="129"/>
      <c r="G152" s="1"/>
      <c r="H152" s="163"/>
      <c r="I152" s="37"/>
      <c r="J152" s="138"/>
      <c r="K152" s="114"/>
      <c r="L152" s="37"/>
      <c r="M152" s="37"/>
      <c r="N152" s="37"/>
      <c r="O152" s="132"/>
      <c r="P152" s="134"/>
      <c r="Q152" s="261"/>
      <c r="R152" s="94"/>
    </row>
    <row r="153" spans="3:18" x14ac:dyDescent="0.25">
      <c r="C153" s="279"/>
      <c r="D153" s="159"/>
      <c r="E153" s="40"/>
      <c r="F153" s="129"/>
      <c r="G153" s="1"/>
      <c r="H153" s="163"/>
      <c r="I153" s="37"/>
      <c r="J153" s="138"/>
      <c r="K153" s="114"/>
      <c r="L153" s="37"/>
      <c r="M153" s="37"/>
      <c r="N153" s="37"/>
      <c r="O153" s="132"/>
      <c r="P153" s="134"/>
      <c r="Q153" s="261"/>
      <c r="R153" s="94"/>
    </row>
    <row r="154" spans="3:18" x14ac:dyDescent="0.25">
      <c r="C154" s="279"/>
      <c r="D154" s="159"/>
      <c r="E154" s="40"/>
      <c r="F154" s="129"/>
      <c r="G154" s="1"/>
      <c r="H154" s="163"/>
      <c r="I154" s="37"/>
      <c r="J154" s="138"/>
      <c r="K154" s="114"/>
      <c r="L154" s="37"/>
      <c r="M154" s="37"/>
      <c r="N154" s="37"/>
      <c r="O154" s="132"/>
      <c r="P154" s="134"/>
      <c r="Q154" s="261"/>
      <c r="R154" s="94"/>
    </row>
    <row r="155" spans="3:18" x14ac:dyDescent="0.25">
      <c r="C155" s="279"/>
      <c r="D155" s="159"/>
      <c r="E155" s="40"/>
      <c r="F155" s="129"/>
      <c r="G155" s="1"/>
      <c r="H155" s="163"/>
      <c r="I155" s="37"/>
      <c r="J155" s="138"/>
      <c r="K155" s="114"/>
      <c r="L155" s="37"/>
      <c r="M155" s="37"/>
      <c r="N155" s="37"/>
      <c r="O155" s="132"/>
      <c r="P155" s="134"/>
      <c r="Q155" s="261"/>
      <c r="R155" s="94"/>
    </row>
    <row r="156" spans="3:18" x14ac:dyDescent="0.25">
      <c r="C156" s="279"/>
      <c r="D156" s="159"/>
      <c r="E156" s="40"/>
      <c r="F156" s="129"/>
      <c r="G156" s="1"/>
      <c r="H156" s="163"/>
      <c r="I156" s="37"/>
      <c r="J156" s="138"/>
      <c r="K156" s="114"/>
      <c r="L156" s="37"/>
      <c r="M156" s="37"/>
      <c r="N156" s="37"/>
      <c r="O156" s="132"/>
      <c r="P156" s="134"/>
      <c r="Q156" s="261"/>
      <c r="R156" s="94"/>
    </row>
    <row r="157" spans="3:18" x14ac:dyDescent="0.25">
      <c r="C157" s="279"/>
      <c r="D157" s="159"/>
      <c r="E157" s="40"/>
      <c r="F157" s="129"/>
      <c r="G157" s="1"/>
      <c r="H157" s="163"/>
      <c r="I157" s="37"/>
      <c r="J157" s="138"/>
      <c r="K157" s="114"/>
      <c r="L157" s="37"/>
      <c r="M157" s="37"/>
      <c r="N157" s="37"/>
      <c r="O157" s="132"/>
      <c r="P157" s="134"/>
      <c r="Q157" s="261"/>
      <c r="R157" s="94"/>
    </row>
    <row r="158" spans="3:18" x14ac:dyDescent="0.25">
      <c r="C158" s="279"/>
      <c r="D158" s="159"/>
      <c r="E158" s="40"/>
      <c r="F158" s="129"/>
      <c r="G158" s="1"/>
      <c r="H158" s="163"/>
      <c r="I158" s="37"/>
      <c r="J158" s="138"/>
      <c r="K158" s="114"/>
      <c r="L158" s="37"/>
      <c r="M158" s="37"/>
      <c r="N158" s="37"/>
      <c r="O158" s="132"/>
      <c r="P158" s="134"/>
      <c r="Q158" s="261"/>
      <c r="R158" s="94"/>
    </row>
    <row r="159" spans="3:18" x14ac:dyDescent="0.25">
      <c r="C159" s="279"/>
      <c r="D159" s="159"/>
      <c r="E159" s="40"/>
      <c r="F159" s="129"/>
      <c r="G159" s="1"/>
      <c r="H159" s="163"/>
      <c r="I159" s="37"/>
      <c r="J159" s="138"/>
      <c r="K159" s="114"/>
      <c r="L159" s="37"/>
      <c r="M159" s="37"/>
      <c r="N159" s="37"/>
      <c r="O159" s="132"/>
      <c r="P159" s="134"/>
      <c r="Q159" s="261"/>
      <c r="R159" s="94"/>
    </row>
    <row r="160" spans="3:18" x14ac:dyDescent="0.25">
      <c r="C160" s="279"/>
      <c r="D160" s="159"/>
      <c r="E160" s="40"/>
      <c r="F160" s="129"/>
      <c r="G160" s="1"/>
      <c r="H160" s="163"/>
      <c r="I160" s="37"/>
      <c r="J160" s="138"/>
      <c r="K160" s="114"/>
      <c r="L160" s="37"/>
      <c r="M160" s="37"/>
      <c r="N160" s="37"/>
      <c r="O160" s="132"/>
      <c r="P160" s="134"/>
      <c r="Q160" s="261"/>
      <c r="R160" s="94"/>
    </row>
    <row r="161" spans="3:18" x14ac:dyDescent="0.25">
      <c r="C161" s="279"/>
      <c r="D161" s="159"/>
      <c r="E161" s="40"/>
      <c r="F161" s="129"/>
      <c r="G161" s="1"/>
      <c r="H161" s="163"/>
      <c r="I161" s="37"/>
      <c r="J161" s="138"/>
      <c r="K161" s="114"/>
      <c r="L161" s="37"/>
      <c r="M161" s="37"/>
      <c r="N161" s="37"/>
      <c r="O161" s="132"/>
      <c r="P161" s="134"/>
      <c r="Q161" s="261"/>
      <c r="R161" s="94"/>
    </row>
    <row r="162" spans="3:18" x14ac:dyDescent="0.25">
      <c r="C162" s="279"/>
      <c r="D162" s="159"/>
      <c r="E162" s="40"/>
      <c r="F162" s="129"/>
      <c r="G162" s="1"/>
      <c r="H162" s="163"/>
      <c r="I162" s="37"/>
      <c r="J162" s="138"/>
      <c r="K162" s="114"/>
      <c r="L162" s="37"/>
      <c r="M162" s="37"/>
      <c r="N162" s="37"/>
      <c r="O162" s="132"/>
      <c r="P162" s="134"/>
      <c r="Q162" s="261"/>
      <c r="R162" s="94"/>
    </row>
    <row r="163" spans="3:18" x14ac:dyDescent="0.25">
      <c r="C163" s="279"/>
      <c r="D163" s="159"/>
      <c r="E163" s="40"/>
      <c r="F163" s="129"/>
      <c r="G163" s="1"/>
      <c r="H163" s="163"/>
      <c r="I163" s="37"/>
      <c r="J163" s="138"/>
      <c r="K163" s="114"/>
      <c r="L163" s="37"/>
      <c r="M163" s="37"/>
      <c r="N163" s="37"/>
      <c r="O163" s="132"/>
      <c r="P163" s="134"/>
      <c r="Q163" s="261"/>
      <c r="R163" s="94"/>
    </row>
    <row r="164" spans="3:18" x14ac:dyDescent="0.25">
      <c r="C164" s="279"/>
      <c r="D164" s="159"/>
      <c r="E164" s="40"/>
      <c r="F164" s="129"/>
      <c r="G164" s="1"/>
      <c r="H164" s="163"/>
      <c r="I164" s="37"/>
      <c r="J164" s="138"/>
      <c r="K164" s="114"/>
      <c r="L164" s="37"/>
      <c r="M164" s="37"/>
      <c r="N164" s="37"/>
      <c r="O164" s="132"/>
      <c r="P164" s="134"/>
      <c r="Q164" s="261"/>
      <c r="R164" s="94"/>
    </row>
    <row r="165" spans="3:18" x14ac:dyDescent="0.25">
      <c r="C165" s="279"/>
      <c r="D165" s="159"/>
      <c r="E165" s="40"/>
      <c r="F165" s="129"/>
      <c r="G165" s="1"/>
      <c r="H165" s="163"/>
      <c r="I165" s="37"/>
      <c r="J165" s="138"/>
      <c r="K165" s="114"/>
      <c r="L165" s="37"/>
      <c r="M165" s="37"/>
      <c r="N165" s="37"/>
      <c r="O165" s="132"/>
      <c r="P165" s="134"/>
      <c r="Q165" s="261"/>
      <c r="R165" s="94"/>
    </row>
    <row r="166" spans="3:18" x14ac:dyDescent="0.25">
      <c r="C166" s="279"/>
      <c r="D166" s="159"/>
      <c r="E166" s="40"/>
      <c r="F166" s="129"/>
      <c r="G166" s="1"/>
      <c r="H166" s="163"/>
      <c r="I166" s="37"/>
      <c r="J166" s="138"/>
      <c r="K166" s="114"/>
      <c r="L166" s="37"/>
      <c r="M166" s="37"/>
      <c r="N166" s="37"/>
      <c r="O166" s="132"/>
      <c r="P166" s="134"/>
      <c r="Q166" s="261"/>
      <c r="R166" s="94"/>
    </row>
    <row r="167" spans="3:18" x14ac:dyDescent="0.25">
      <c r="C167" s="279"/>
      <c r="D167" s="159"/>
      <c r="E167" s="40"/>
      <c r="F167" s="129"/>
      <c r="G167" s="1"/>
      <c r="H167" s="163"/>
      <c r="I167" s="37"/>
      <c r="J167" s="138"/>
      <c r="K167" s="114"/>
      <c r="L167" s="37"/>
      <c r="M167" s="37"/>
      <c r="N167" s="37"/>
      <c r="O167" s="132"/>
      <c r="P167" s="134"/>
      <c r="Q167" s="261"/>
      <c r="R167" s="94"/>
    </row>
    <row r="168" spans="3:18" x14ac:dyDescent="0.25">
      <c r="C168" s="279"/>
      <c r="D168" s="159"/>
      <c r="E168" s="40"/>
      <c r="F168" s="129"/>
      <c r="G168" s="1"/>
      <c r="H168" s="163"/>
      <c r="I168" s="37"/>
      <c r="J168" s="138"/>
      <c r="K168" s="114"/>
      <c r="L168" s="37"/>
      <c r="M168" s="37"/>
      <c r="N168" s="37"/>
      <c r="O168" s="132"/>
      <c r="P168" s="134"/>
      <c r="Q168" s="261"/>
      <c r="R168" s="94"/>
    </row>
    <row r="169" spans="3:18" x14ac:dyDescent="0.25">
      <c r="C169" s="279"/>
      <c r="D169" s="159"/>
      <c r="E169" s="40"/>
      <c r="F169" s="129"/>
      <c r="G169" s="1"/>
      <c r="H169" s="163"/>
      <c r="I169" s="37"/>
      <c r="J169" s="138"/>
      <c r="K169" s="114"/>
      <c r="L169" s="37"/>
      <c r="M169" s="37"/>
      <c r="N169" s="37"/>
      <c r="O169" s="132"/>
      <c r="P169" s="134"/>
      <c r="Q169" s="261"/>
      <c r="R169" s="94"/>
    </row>
    <row r="170" spans="3:18" x14ac:dyDescent="0.25">
      <c r="C170" s="279"/>
      <c r="D170" s="159"/>
      <c r="E170" s="40"/>
      <c r="F170" s="129"/>
      <c r="G170" s="1"/>
      <c r="H170" s="163"/>
      <c r="I170" s="37"/>
      <c r="J170" s="138"/>
      <c r="K170" s="114"/>
      <c r="L170" s="37"/>
      <c r="M170" s="37"/>
      <c r="N170" s="37"/>
      <c r="O170" s="132"/>
      <c r="P170" s="134"/>
      <c r="Q170" s="261"/>
      <c r="R170" s="94"/>
    </row>
    <row r="171" spans="3:18" x14ac:dyDescent="0.25">
      <c r="C171" s="279"/>
      <c r="D171" s="159"/>
      <c r="E171" s="40"/>
      <c r="F171" s="129"/>
      <c r="G171" s="1"/>
      <c r="H171" s="163"/>
      <c r="I171" s="37"/>
      <c r="J171" s="138"/>
      <c r="K171" s="114"/>
      <c r="L171" s="37"/>
      <c r="M171" s="37"/>
      <c r="N171" s="37"/>
      <c r="O171" s="132"/>
      <c r="P171" s="134"/>
      <c r="Q171" s="261"/>
      <c r="R171" s="94"/>
    </row>
    <row r="172" spans="3:18" x14ac:dyDescent="0.25">
      <c r="C172" s="279"/>
      <c r="D172" s="159"/>
      <c r="E172" s="40"/>
      <c r="F172" s="129"/>
      <c r="G172" s="1"/>
      <c r="H172" s="163"/>
      <c r="I172" s="37"/>
      <c r="J172" s="138"/>
      <c r="K172" s="114"/>
      <c r="L172" s="37"/>
      <c r="M172" s="37"/>
      <c r="N172" s="37"/>
      <c r="O172" s="132"/>
      <c r="P172" s="134"/>
      <c r="Q172" s="261"/>
      <c r="R172" s="94"/>
    </row>
    <row r="173" spans="3:18" x14ac:dyDescent="0.25">
      <c r="C173" s="279"/>
      <c r="D173" s="159"/>
      <c r="E173" s="40"/>
      <c r="F173" s="129"/>
      <c r="G173" s="1"/>
      <c r="H173" s="163"/>
      <c r="I173" s="37"/>
      <c r="J173" s="138"/>
      <c r="K173" s="114"/>
      <c r="L173" s="37"/>
      <c r="M173" s="37"/>
      <c r="N173" s="37"/>
      <c r="O173" s="132"/>
      <c r="P173" s="134"/>
      <c r="Q173" s="261"/>
      <c r="R173" s="94"/>
    </row>
    <row r="174" spans="3:18" x14ac:dyDescent="0.25">
      <c r="C174" s="279"/>
      <c r="D174" s="159"/>
      <c r="E174" s="40"/>
      <c r="F174" s="129"/>
      <c r="G174" s="1"/>
      <c r="H174" s="163"/>
      <c r="I174" s="37"/>
      <c r="J174" s="138"/>
      <c r="K174" s="114"/>
      <c r="L174" s="37"/>
      <c r="M174" s="37"/>
      <c r="N174" s="37"/>
      <c r="O174" s="132"/>
      <c r="P174" s="134"/>
      <c r="Q174" s="261"/>
      <c r="R174" s="94"/>
    </row>
    <row r="175" spans="3:18" x14ac:dyDescent="0.25">
      <c r="C175" s="279"/>
      <c r="D175" s="159"/>
      <c r="E175" s="40"/>
      <c r="F175" s="129"/>
      <c r="G175" s="1"/>
      <c r="H175" s="163"/>
      <c r="I175" s="37"/>
      <c r="J175" s="138"/>
      <c r="K175" s="114"/>
      <c r="L175" s="37"/>
      <c r="M175" s="37"/>
      <c r="N175" s="37"/>
      <c r="O175" s="132"/>
      <c r="P175" s="134"/>
      <c r="Q175" s="261"/>
      <c r="R175" s="94"/>
    </row>
    <row r="176" spans="3:18" x14ac:dyDescent="0.25">
      <c r="C176" s="279"/>
      <c r="D176" s="159"/>
      <c r="E176" s="40"/>
      <c r="F176" s="129"/>
      <c r="G176" s="1"/>
      <c r="H176" s="163"/>
      <c r="I176" s="37"/>
      <c r="J176" s="138"/>
      <c r="K176" s="114"/>
      <c r="L176" s="37"/>
      <c r="M176" s="37"/>
      <c r="N176" s="37"/>
      <c r="O176" s="132"/>
      <c r="P176" s="134"/>
      <c r="Q176" s="261"/>
      <c r="R176" s="94"/>
    </row>
    <row r="177" spans="3:18" x14ac:dyDescent="0.25">
      <c r="C177" s="279"/>
      <c r="D177" s="159"/>
      <c r="E177" s="40"/>
      <c r="F177" s="129"/>
      <c r="G177" s="1"/>
      <c r="H177" s="163"/>
      <c r="I177" s="37"/>
      <c r="J177" s="138"/>
      <c r="K177" s="114"/>
      <c r="L177" s="37"/>
      <c r="M177" s="37"/>
      <c r="N177" s="37"/>
      <c r="O177" s="132"/>
      <c r="P177" s="134"/>
      <c r="Q177" s="261"/>
      <c r="R177" s="94"/>
    </row>
    <row r="178" spans="3:18" x14ac:dyDescent="0.25">
      <c r="C178" s="279"/>
      <c r="D178" s="159"/>
      <c r="E178" s="40"/>
      <c r="F178" s="129"/>
      <c r="G178" s="1"/>
      <c r="H178" s="163"/>
      <c r="I178" s="37"/>
      <c r="J178" s="138"/>
      <c r="K178" s="114"/>
      <c r="L178" s="37"/>
      <c r="M178" s="37"/>
      <c r="N178" s="37"/>
      <c r="O178" s="132"/>
      <c r="P178" s="134"/>
      <c r="Q178" s="261"/>
      <c r="R178" s="94"/>
    </row>
    <row r="179" spans="3:18" x14ac:dyDescent="0.25">
      <c r="C179" s="279"/>
      <c r="D179" s="159"/>
      <c r="E179" s="40"/>
      <c r="F179" s="129"/>
      <c r="G179" s="1"/>
      <c r="H179" s="163"/>
      <c r="I179" s="37"/>
      <c r="J179" s="138"/>
      <c r="K179" s="114"/>
      <c r="L179" s="37"/>
      <c r="M179" s="37"/>
      <c r="N179" s="37"/>
      <c r="O179" s="132"/>
      <c r="P179" s="134"/>
      <c r="Q179" s="261"/>
      <c r="R179" s="94"/>
    </row>
    <row r="180" spans="3:18" x14ac:dyDescent="0.25">
      <c r="C180" s="279"/>
      <c r="D180" s="159"/>
      <c r="E180" s="40"/>
      <c r="F180" s="129"/>
      <c r="G180" s="1"/>
      <c r="H180" s="163"/>
      <c r="I180" s="37"/>
      <c r="J180" s="138"/>
      <c r="K180" s="114"/>
      <c r="L180" s="37"/>
      <c r="M180" s="37"/>
      <c r="N180" s="37"/>
      <c r="O180" s="132"/>
      <c r="P180" s="134"/>
      <c r="Q180" s="261"/>
      <c r="R180" s="94"/>
    </row>
    <row r="181" spans="3:18" x14ac:dyDescent="0.25">
      <c r="C181" s="279"/>
      <c r="D181" s="159"/>
      <c r="E181" s="40"/>
      <c r="F181" s="129"/>
      <c r="G181" s="1"/>
      <c r="H181" s="163"/>
      <c r="I181" s="37"/>
      <c r="J181" s="138"/>
      <c r="K181" s="114"/>
      <c r="L181" s="37"/>
      <c r="M181" s="37"/>
      <c r="N181" s="37"/>
      <c r="O181" s="132"/>
      <c r="P181" s="134"/>
      <c r="Q181" s="261"/>
      <c r="R181" s="94"/>
    </row>
    <row r="182" spans="3:18" x14ac:dyDescent="0.25">
      <c r="C182" s="279"/>
      <c r="D182" s="159"/>
      <c r="E182" s="40"/>
      <c r="F182" s="129"/>
      <c r="G182" s="1"/>
      <c r="H182" s="163"/>
      <c r="I182" s="37"/>
      <c r="J182" s="138"/>
      <c r="K182" s="114"/>
      <c r="L182" s="37"/>
      <c r="M182" s="37"/>
      <c r="N182" s="37"/>
      <c r="O182" s="132"/>
      <c r="P182" s="134"/>
      <c r="Q182" s="261"/>
      <c r="R182" s="94"/>
    </row>
    <row r="183" spans="3:18" x14ac:dyDescent="0.25">
      <c r="C183" s="279"/>
      <c r="D183" s="159"/>
      <c r="E183" s="40"/>
      <c r="F183" s="129"/>
      <c r="G183" s="1"/>
      <c r="H183" s="163"/>
      <c r="I183" s="37"/>
      <c r="J183" s="138"/>
      <c r="K183" s="114"/>
      <c r="L183" s="37"/>
      <c r="M183" s="37"/>
      <c r="N183" s="37"/>
      <c r="O183" s="132"/>
      <c r="P183" s="134"/>
      <c r="Q183" s="261"/>
      <c r="R183" s="94"/>
    </row>
    <row r="184" spans="3:18" x14ac:dyDescent="0.25">
      <c r="C184" s="279"/>
      <c r="D184" s="159"/>
      <c r="E184" s="40"/>
      <c r="F184" s="129"/>
      <c r="G184" s="1"/>
      <c r="H184" s="163"/>
      <c r="I184" s="37"/>
      <c r="J184" s="138"/>
      <c r="K184" s="114"/>
      <c r="L184" s="37"/>
      <c r="M184" s="37"/>
      <c r="N184" s="37"/>
      <c r="O184" s="132"/>
      <c r="P184" s="134"/>
      <c r="Q184" s="261"/>
      <c r="R184" s="94"/>
    </row>
    <row r="185" spans="3:18" x14ac:dyDescent="0.25">
      <c r="C185" s="279"/>
      <c r="D185" s="159"/>
      <c r="E185" s="40"/>
      <c r="F185" s="129"/>
      <c r="G185" s="1"/>
      <c r="H185" s="163"/>
      <c r="I185" s="37"/>
      <c r="J185" s="138"/>
      <c r="K185" s="114"/>
      <c r="L185" s="37"/>
      <c r="M185" s="37"/>
      <c r="N185" s="37"/>
      <c r="O185" s="132"/>
      <c r="P185" s="134"/>
      <c r="Q185" s="261"/>
      <c r="R185" s="94"/>
    </row>
    <row r="186" spans="3:18" x14ac:dyDescent="0.25">
      <c r="C186" s="279"/>
      <c r="D186" s="159"/>
      <c r="E186" s="40"/>
      <c r="F186" s="129"/>
      <c r="G186" s="1"/>
      <c r="H186" s="163"/>
      <c r="I186" s="37"/>
      <c r="J186" s="138"/>
      <c r="K186" s="114"/>
      <c r="L186" s="37"/>
      <c r="M186" s="37"/>
      <c r="N186" s="37"/>
      <c r="O186" s="132"/>
      <c r="P186" s="134"/>
      <c r="Q186" s="261"/>
      <c r="R186" s="94"/>
    </row>
    <row r="187" spans="3:18" x14ac:dyDescent="0.25">
      <c r="C187" s="279"/>
      <c r="D187" s="159"/>
      <c r="E187" s="40"/>
      <c r="F187" s="129"/>
      <c r="G187" s="1"/>
      <c r="H187" s="163"/>
      <c r="I187" s="37"/>
      <c r="J187" s="138"/>
      <c r="K187" s="114"/>
      <c r="L187" s="37"/>
      <c r="M187" s="37"/>
      <c r="N187" s="37"/>
      <c r="O187" s="132"/>
      <c r="P187" s="134"/>
      <c r="Q187" s="261"/>
      <c r="R187" s="94"/>
    </row>
    <row r="188" spans="3:18" x14ac:dyDescent="0.25">
      <c r="C188" s="279"/>
      <c r="D188" s="159"/>
      <c r="E188" s="40"/>
      <c r="F188" s="129"/>
      <c r="G188" s="1"/>
      <c r="H188" s="163"/>
      <c r="I188" s="37"/>
      <c r="J188" s="138"/>
      <c r="K188" s="114"/>
      <c r="L188" s="37"/>
      <c r="M188" s="37"/>
      <c r="N188" s="37"/>
      <c r="O188" s="132"/>
      <c r="P188" s="134"/>
      <c r="Q188" s="261"/>
      <c r="R188" s="94"/>
    </row>
    <row r="189" spans="3:18" x14ac:dyDescent="0.25">
      <c r="C189" s="279"/>
      <c r="D189" s="159"/>
      <c r="E189" s="40"/>
      <c r="F189" s="129"/>
      <c r="G189" s="1"/>
      <c r="H189" s="163"/>
      <c r="I189" s="37"/>
      <c r="J189" s="138"/>
      <c r="K189" s="114"/>
      <c r="L189" s="37"/>
      <c r="M189" s="37"/>
      <c r="N189" s="37"/>
      <c r="O189" s="132"/>
      <c r="P189" s="134"/>
      <c r="Q189" s="261"/>
      <c r="R189" s="94"/>
    </row>
    <row r="190" spans="3:18" x14ac:dyDescent="0.25">
      <c r="C190" s="279"/>
      <c r="D190" s="159"/>
      <c r="E190" s="40"/>
      <c r="F190" s="129"/>
      <c r="G190" s="1"/>
      <c r="H190" s="163"/>
      <c r="I190" s="37"/>
      <c r="J190" s="138"/>
      <c r="K190" s="114"/>
      <c r="L190" s="37"/>
      <c r="M190" s="37"/>
      <c r="N190" s="37"/>
      <c r="O190" s="132"/>
      <c r="P190" s="134"/>
      <c r="Q190" s="261"/>
      <c r="R190" s="94"/>
    </row>
    <row r="191" spans="3:18" x14ac:dyDescent="0.25">
      <c r="C191" s="279"/>
      <c r="D191" s="159"/>
      <c r="E191" s="40"/>
      <c r="F191" s="129"/>
      <c r="G191" s="1"/>
      <c r="H191" s="163"/>
      <c r="I191" s="37"/>
      <c r="J191" s="138"/>
      <c r="K191" s="114"/>
      <c r="L191" s="37"/>
      <c r="M191" s="37"/>
      <c r="N191" s="37"/>
      <c r="O191" s="132"/>
      <c r="P191" s="134"/>
      <c r="Q191" s="261"/>
      <c r="R191" s="94"/>
    </row>
    <row r="192" spans="3:18" x14ac:dyDescent="0.25">
      <c r="C192" s="279"/>
      <c r="D192" s="159"/>
      <c r="E192" s="40"/>
      <c r="F192" s="129"/>
      <c r="G192" s="1"/>
      <c r="H192" s="163"/>
      <c r="I192" s="37"/>
      <c r="J192" s="138"/>
      <c r="K192" s="114"/>
      <c r="L192" s="37"/>
      <c r="M192" s="37"/>
      <c r="N192" s="37"/>
      <c r="O192" s="132"/>
      <c r="P192" s="134"/>
      <c r="Q192" s="261"/>
      <c r="R192" s="94"/>
    </row>
    <row r="193" spans="3:18" x14ac:dyDescent="0.25">
      <c r="C193" s="279"/>
      <c r="D193" s="159"/>
      <c r="E193" s="40"/>
      <c r="F193" s="129"/>
      <c r="G193" s="1"/>
      <c r="H193" s="163"/>
      <c r="I193" s="37"/>
      <c r="J193" s="138"/>
      <c r="K193" s="114"/>
      <c r="L193" s="37"/>
      <c r="M193" s="37"/>
      <c r="N193" s="37"/>
      <c r="O193" s="132"/>
      <c r="P193" s="134"/>
      <c r="Q193" s="261"/>
      <c r="R193" s="94"/>
    </row>
    <row r="194" spans="3:18" x14ac:dyDescent="0.25">
      <c r="C194" s="279"/>
      <c r="D194" s="159"/>
      <c r="E194" s="40"/>
      <c r="F194" s="129"/>
      <c r="G194" s="1"/>
      <c r="H194" s="163"/>
      <c r="I194" s="37"/>
      <c r="J194" s="138"/>
      <c r="K194" s="114"/>
      <c r="L194" s="37"/>
      <c r="M194" s="37"/>
      <c r="N194" s="37"/>
      <c r="O194" s="132"/>
      <c r="P194" s="134"/>
      <c r="Q194" s="261"/>
      <c r="R194" s="94"/>
    </row>
    <row r="195" spans="3:18" x14ac:dyDescent="0.25">
      <c r="C195" s="279"/>
      <c r="D195" s="159"/>
      <c r="E195" s="40"/>
      <c r="F195" s="129"/>
      <c r="G195" s="1"/>
      <c r="H195" s="163"/>
      <c r="I195" s="37"/>
      <c r="J195" s="138"/>
      <c r="K195" s="114"/>
      <c r="L195" s="37"/>
      <c r="M195" s="37"/>
      <c r="N195" s="37"/>
      <c r="O195" s="132"/>
      <c r="P195" s="134"/>
      <c r="Q195" s="261"/>
      <c r="R195" s="94"/>
    </row>
    <row r="196" spans="3:18" x14ac:dyDescent="0.25">
      <c r="C196" s="279"/>
      <c r="D196" s="159"/>
      <c r="E196" s="40"/>
      <c r="F196" s="129"/>
      <c r="G196" s="1"/>
      <c r="H196" s="163"/>
      <c r="I196" s="37"/>
      <c r="J196" s="138"/>
      <c r="K196" s="114"/>
      <c r="L196" s="37"/>
      <c r="M196" s="37"/>
      <c r="N196" s="37"/>
      <c r="O196" s="132"/>
      <c r="P196" s="134"/>
      <c r="Q196" s="261"/>
      <c r="R196" s="94"/>
    </row>
    <row r="197" spans="3:18" x14ac:dyDescent="0.25">
      <c r="C197" s="279"/>
      <c r="D197" s="159"/>
      <c r="E197" s="40"/>
      <c r="F197" s="129"/>
      <c r="G197" s="1"/>
      <c r="H197" s="163"/>
      <c r="I197" s="37"/>
      <c r="J197" s="138"/>
      <c r="K197" s="114"/>
      <c r="L197" s="37"/>
      <c r="M197" s="37"/>
      <c r="N197" s="37"/>
      <c r="O197" s="132"/>
      <c r="P197" s="134"/>
      <c r="Q197" s="261"/>
      <c r="R197" s="94"/>
    </row>
    <row r="198" spans="3:18" x14ac:dyDescent="0.25">
      <c r="C198" s="279"/>
      <c r="D198" s="159"/>
      <c r="E198" s="40"/>
      <c r="F198" s="129"/>
      <c r="G198" s="1"/>
      <c r="H198" s="163"/>
      <c r="I198" s="37"/>
      <c r="J198" s="138"/>
      <c r="K198" s="114"/>
      <c r="L198" s="37"/>
      <c r="M198" s="37"/>
      <c r="N198" s="37"/>
      <c r="O198" s="132"/>
      <c r="P198" s="134"/>
      <c r="Q198" s="261"/>
      <c r="R198" s="94"/>
    </row>
    <row r="199" spans="3:18" x14ac:dyDescent="0.25">
      <c r="C199" s="279"/>
      <c r="D199" s="159"/>
      <c r="E199" s="40"/>
      <c r="F199" s="129"/>
      <c r="G199" s="1"/>
      <c r="H199" s="163"/>
      <c r="I199" s="37"/>
      <c r="J199" s="138"/>
      <c r="K199" s="114"/>
      <c r="L199" s="37"/>
      <c r="M199" s="37"/>
      <c r="N199" s="37"/>
      <c r="O199" s="132"/>
      <c r="P199" s="134"/>
      <c r="Q199" s="261"/>
      <c r="R199" s="94"/>
    </row>
    <row r="200" spans="3:18" x14ac:dyDescent="0.25">
      <c r="C200" s="279"/>
      <c r="D200" s="159"/>
      <c r="E200" s="40"/>
      <c r="F200" s="129"/>
      <c r="G200" s="1"/>
      <c r="H200" s="163"/>
      <c r="I200" s="37"/>
      <c r="J200" s="138"/>
      <c r="K200" s="114"/>
      <c r="L200" s="37"/>
      <c r="M200" s="37"/>
      <c r="N200" s="37"/>
      <c r="O200" s="132"/>
      <c r="P200" s="134"/>
      <c r="Q200" s="261"/>
      <c r="R200" s="94"/>
    </row>
    <row r="201" spans="3:18" x14ac:dyDescent="0.25">
      <c r="C201" s="279"/>
      <c r="D201" s="159"/>
      <c r="E201" s="40"/>
      <c r="F201" s="129"/>
      <c r="G201" s="1"/>
      <c r="H201" s="163"/>
      <c r="I201" s="37"/>
      <c r="J201" s="138"/>
      <c r="K201" s="114"/>
      <c r="L201" s="37"/>
      <c r="M201" s="37"/>
      <c r="N201" s="37"/>
      <c r="O201" s="132"/>
      <c r="P201" s="134"/>
      <c r="Q201" s="261"/>
      <c r="R201" s="94"/>
    </row>
    <row r="202" spans="3:18" x14ac:dyDescent="0.25">
      <c r="C202" s="279"/>
      <c r="D202" s="159"/>
      <c r="E202" s="40"/>
      <c r="F202" s="129"/>
      <c r="G202" s="1"/>
      <c r="H202" s="163"/>
      <c r="I202" s="37"/>
      <c r="J202" s="138"/>
      <c r="K202" s="114"/>
      <c r="L202" s="37"/>
      <c r="M202" s="37"/>
      <c r="N202" s="37"/>
      <c r="O202" s="132"/>
      <c r="P202" s="134"/>
      <c r="Q202" s="261"/>
      <c r="R202" s="94"/>
    </row>
    <row r="203" spans="3:18" x14ac:dyDescent="0.25">
      <c r="C203" s="279"/>
      <c r="D203" s="159"/>
      <c r="E203" s="40"/>
      <c r="F203" s="129"/>
      <c r="G203" s="1"/>
      <c r="H203" s="163"/>
      <c r="I203" s="37"/>
      <c r="J203" s="138"/>
      <c r="K203" s="114"/>
      <c r="L203" s="37"/>
      <c r="M203" s="37"/>
      <c r="N203" s="37"/>
      <c r="O203" s="132"/>
      <c r="P203" s="134"/>
      <c r="Q203" s="261"/>
      <c r="R203" s="94"/>
    </row>
    <row r="204" spans="3:18" x14ac:dyDescent="0.25">
      <c r="C204" s="279"/>
      <c r="D204" s="159"/>
      <c r="E204" s="40"/>
      <c r="F204" s="129"/>
      <c r="G204" s="1"/>
      <c r="H204" s="163"/>
      <c r="I204" s="37"/>
      <c r="J204" s="138"/>
      <c r="K204" s="114"/>
      <c r="L204" s="37"/>
      <c r="M204" s="37"/>
      <c r="N204" s="37"/>
      <c r="O204" s="132"/>
      <c r="P204" s="134"/>
      <c r="Q204" s="261"/>
      <c r="R204" s="94"/>
    </row>
    <row r="205" spans="3:18" x14ac:dyDescent="0.25">
      <c r="C205" s="279"/>
      <c r="D205" s="159"/>
      <c r="E205" s="40"/>
      <c r="F205" s="129"/>
      <c r="G205" s="1"/>
      <c r="H205" s="163"/>
      <c r="I205" s="37"/>
      <c r="J205" s="138"/>
      <c r="K205" s="114"/>
      <c r="L205" s="37"/>
      <c r="M205" s="37"/>
      <c r="N205" s="37"/>
      <c r="O205" s="132"/>
      <c r="P205" s="134"/>
      <c r="Q205" s="261"/>
      <c r="R205" s="94"/>
    </row>
    <row r="206" spans="3:18" x14ac:dyDescent="0.25">
      <c r="C206" s="279"/>
      <c r="D206" s="159"/>
      <c r="E206" s="40"/>
      <c r="F206" s="129"/>
      <c r="G206" s="1"/>
      <c r="H206" s="163"/>
      <c r="I206" s="37"/>
      <c r="J206" s="138"/>
      <c r="K206" s="114"/>
      <c r="L206" s="37"/>
      <c r="M206" s="37"/>
      <c r="N206" s="37"/>
      <c r="O206" s="132"/>
      <c r="P206" s="134"/>
      <c r="Q206" s="261"/>
      <c r="R206" s="94"/>
    </row>
    <row r="207" spans="3:18" x14ac:dyDescent="0.25">
      <c r="C207" s="279"/>
      <c r="D207" s="159"/>
      <c r="E207" s="40"/>
      <c r="F207" s="129"/>
      <c r="G207" s="1"/>
      <c r="H207" s="163"/>
      <c r="I207" s="37"/>
      <c r="J207" s="138"/>
      <c r="K207" s="114"/>
      <c r="L207" s="37"/>
      <c r="M207" s="37"/>
      <c r="N207" s="37"/>
      <c r="O207" s="132"/>
      <c r="P207" s="134"/>
      <c r="Q207" s="261"/>
      <c r="R207" s="94"/>
    </row>
    <row r="208" spans="3:18" x14ac:dyDescent="0.25">
      <c r="C208" s="279"/>
      <c r="D208" s="159"/>
      <c r="E208" s="40"/>
      <c r="F208" s="129"/>
      <c r="G208" s="1"/>
      <c r="H208" s="163"/>
      <c r="I208" s="37"/>
      <c r="J208" s="138"/>
      <c r="K208" s="114"/>
      <c r="L208" s="37"/>
      <c r="M208" s="37"/>
      <c r="N208" s="37"/>
      <c r="O208" s="132"/>
      <c r="P208" s="134"/>
      <c r="Q208" s="261"/>
      <c r="R208" s="94"/>
    </row>
    <row r="209" spans="3:18" x14ac:dyDescent="0.25">
      <c r="C209" s="279"/>
      <c r="D209" s="159"/>
      <c r="E209" s="40"/>
      <c r="F209" s="129"/>
      <c r="G209" s="1"/>
      <c r="H209" s="163"/>
      <c r="I209" s="37"/>
      <c r="J209" s="138"/>
      <c r="K209" s="114"/>
      <c r="L209" s="37"/>
      <c r="M209" s="37"/>
      <c r="N209" s="37"/>
      <c r="O209" s="132"/>
      <c r="P209" s="134"/>
      <c r="Q209" s="261"/>
      <c r="R209" s="94"/>
    </row>
    <row r="210" spans="3:18" x14ac:dyDescent="0.25">
      <c r="C210" s="279"/>
      <c r="D210" s="159"/>
      <c r="E210" s="40"/>
      <c r="F210" s="129"/>
      <c r="G210" s="1"/>
      <c r="H210" s="163"/>
      <c r="I210" s="37"/>
      <c r="J210" s="138"/>
      <c r="K210" s="114"/>
      <c r="L210" s="37"/>
      <c r="M210" s="37"/>
      <c r="N210" s="37"/>
      <c r="O210" s="132"/>
      <c r="P210" s="134"/>
      <c r="Q210" s="261"/>
      <c r="R210" s="94"/>
    </row>
    <row r="211" spans="3:18" x14ac:dyDescent="0.25">
      <c r="C211" s="279"/>
      <c r="D211" s="159"/>
      <c r="E211" s="40"/>
      <c r="F211" s="129"/>
      <c r="G211" s="1"/>
      <c r="H211" s="163"/>
      <c r="I211" s="37"/>
      <c r="J211" s="138"/>
      <c r="K211" s="114"/>
      <c r="L211" s="37"/>
      <c r="M211" s="37"/>
      <c r="N211" s="37"/>
      <c r="O211" s="132"/>
      <c r="P211" s="134"/>
      <c r="Q211" s="261"/>
      <c r="R211" s="94"/>
    </row>
    <row r="212" spans="3:18" x14ac:dyDescent="0.25">
      <c r="C212" s="279"/>
      <c r="D212" s="159"/>
      <c r="E212" s="40"/>
      <c r="F212" s="129"/>
      <c r="G212" s="1"/>
      <c r="H212" s="163"/>
      <c r="I212" s="37"/>
      <c r="J212" s="138"/>
      <c r="K212" s="114"/>
      <c r="L212" s="37"/>
      <c r="M212" s="37"/>
      <c r="N212" s="37"/>
      <c r="O212" s="132"/>
      <c r="P212" s="134"/>
      <c r="Q212" s="261"/>
      <c r="R212" s="94"/>
    </row>
    <row r="213" spans="3:18" x14ac:dyDescent="0.25">
      <c r="C213" s="279"/>
      <c r="D213" s="159"/>
      <c r="E213" s="40"/>
      <c r="F213" s="129"/>
      <c r="G213" s="1"/>
      <c r="H213" s="163"/>
      <c r="I213" s="37"/>
      <c r="J213" s="138"/>
      <c r="K213" s="114"/>
      <c r="L213" s="37"/>
      <c r="M213" s="37"/>
      <c r="N213" s="37"/>
      <c r="O213" s="132"/>
      <c r="P213" s="134"/>
      <c r="Q213" s="261"/>
      <c r="R213" s="94"/>
    </row>
    <row r="214" spans="3:18" x14ac:dyDescent="0.25">
      <c r="C214" s="279"/>
      <c r="D214" s="159"/>
      <c r="E214" s="40"/>
      <c r="F214" s="129"/>
      <c r="G214" s="1"/>
      <c r="H214" s="163"/>
      <c r="I214" s="37"/>
      <c r="J214" s="138"/>
      <c r="K214" s="114"/>
      <c r="L214" s="37"/>
      <c r="M214" s="37"/>
      <c r="N214" s="37"/>
      <c r="O214" s="132"/>
      <c r="P214" s="134"/>
      <c r="Q214" s="261"/>
      <c r="R214" s="94"/>
    </row>
    <row r="215" spans="3:18" x14ac:dyDescent="0.25">
      <c r="C215" s="279"/>
      <c r="D215" s="159"/>
      <c r="E215" s="40"/>
      <c r="F215" s="129"/>
      <c r="G215" s="1"/>
      <c r="H215" s="163"/>
      <c r="I215" s="37"/>
      <c r="J215" s="138"/>
      <c r="K215" s="114"/>
      <c r="L215" s="37"/>
      <c r="M215" s="37"/>
      <c r="N215" s="37"/>
      <c r="O215" s="132"/>
      <c r="P215" s="134"/>
      <c r="Q215" s="261"/>
      <c r="R215" s="94"/>
    </row>
    <row r="216" spans="3:18" x14ac:dyDescent="0.25">
      <c r="C216" s="279"/>
      <c r="D216" s="159"/>
      <c r="E216" s="40"/>
      <c r="F216" s="129"/>
      <c r="G216" s="1"/>
      <c r="H216" s="163"/>
      <c r="I216" s="37"/>
      <c r="J216" s="138"/>
      <c r="K216" s="114"/>
      <c r="L216" s="37"/>
      <c r="M216" s="37"/>
      <c r="N216" s="37"/>
      <c r="O216" s="132"/>
      <c r="P216" s="134"/>
      <c r="Q216" s="261"/>
      <c r="R216" s="94"/>
    </row>
    <row r="217" spans="3:18" x14ac:dyDescent="0.25">
      <c r="C217" s="279"/>
      <c r="D217" s="159"/>
      <c r="E217" s="40"/>
      <c r="F217" s="129"/>
      <c r="G217" s="1"/>
      <c r="H217" s="163"/>
      <c r="I217" s="37"/>
      <c r="J217" s="138"/>
      <c r="K217" s="114"/>
      <c r="L217" s="37"/>
      <c r="M217" s="37"/>
      <c r="N217" s="37"/>
      <c r="O217" s="132"/>
      <c r="P217" s="134"/>
      <c r="Q217" s="261"/>
      <c r="R217" s="94"/>
    </row>
    <row r="218" spans="3:18" x14ac:dyDescent="0.25">
      <c r="C218" s="279"/>
      <c r="D218" s="159"/>
      <c r="E218" s="40"/>
      <c r="F218" s="129"/>
      <c r="G218" s="1"/>
      <c r="H218" s="163"/>
      <c r="I218" s="37"/>
      <c r="J218" s="138"/>
      <c r="K218" s="114"/>
      <c r="L218" s="37"/>
      <c r="M218" s="37"/>
      <c r="N218" s="37"/>
      <c r="O218" s="132"/>
      <c r="P218" s="134"/>
      <c r="Q218" s="261"/>
      <c r="R218" s="94"/>
    </row>
    <row r="219" spans="3:18" x14ac:dyDescent="0.25">
      <c r="C219" s="279"/>
      <c r="D219" s="159"/>
      <c r="E219" s="40"/>
      <c r="F219" s="129"/>
      <c r="G219" s="1"/>
      <c r="H219" s="163"/>
      <c r="I219" s="37"/>
      <c r="J219" s="138"/>
      <c r="K219" s="114"/>
      <c r="L219" s="37"/>
      <c r="M219" s="37"/>
      <c r="N219" s="37"/>
      <c r="O219" s="132"/>
      <c r="P219" s="134"/>
      <c r="Q219" s="261"/>
      <c r="R219" s="94"/>
    </row>
    <row r="220" spans="3:18" x14ac:dyDescent="0.25">
      <c r="C220" s="279"/>
      <c r="D220" s="159"/>
      <c r="E220" s="40"/>
      <c r="F220" s="129"/>
      <c r="G220" s="1"/>
      <c r="H220" s="163"/>
      <c r="I220" s="37"/>
      <c r="J220" s="138"/>
      <c r="K220" s="114"/>
      <c r="L220" s="37"/>
      <c r="M220" s="37"/>
      <c r="N220" s="37"/>
      <c r="O220" s="132"/>
      <c r="P220" s="134"/>
      <c r="Q220" s="261"/>
      <c r="R220" s="94"/>
    </row>
    <row r="221" spans="3:18" x14ac:dyDescent="0.25">
      <c r="C221" s="279"/>
      <c r="D221" s="159"/>
      <c r="E221" s="40"/>
      <c r="F221" s="129"/>
      <c r="G221" s="1"/>
      <c r="H221" s="163"/>
      <c r="I221" s="37"/>
      <c r="J221" s="138"/>
      <c r="K221" s="114"/>
      <c r="L221" s="37"/>
      <c r="M221" s="37"/>
      <c r="N221" s="37"/>
      <c r="O221" s="132"/>
      <c r="P221" s="134"/>
      <c r="Q221" s="261"/>
      <c r="R221" s="94"/>
    </row>
    <row r="222" spans="3:18" x14ac:dyDescent="0.25">
      <c r="C222" s="279"/>
      <c r="D222" s="159"/>
      <c r="E222" s="40"/>
      <c r="F222" s="129"/>
      <c r="G222" s="1"/>
      <c r="H222" s="163"/>
      <c r="I222" s="37"/>
      <c r="J222" s="138"/>
      <c r="K222" s="114"/>
      <c r="L222" s="37"/>
      <c r="M222" s="37"/>
      <c r="N222" s="37"/>
      <c r="O222" s="132"/>
      <c r="P222" s="134"/>
      <c r="Q222" s="261"/>
      <c r="R222" s="94"/>
    </row>
    <row r="223" spans="3:18" x14ac:dyDescent="0.25">
      <c r="C223" s="279"/>
      <c r="D223" s="159"/>
      <c r="E223" s="40"/>
      <c r="F223" s="129"/>
      <c r="G223" s="1"/>
      <c r="H223" s="163"/>
      <c r="I223" s="37"/>
      <c r="J223" s="138"/>
      <c r="K223" s="114"/>
      <c r="L223" s="37"/>
      <c r="M223" s="37"/>
      <c r="N223" s="37"/>
      <c r="O223" s="132"/>
      <c r="P223" s="134"/>
      <c r="Q223" s="261"/>
      <c r="R223" s="94"/>
    </row>
    <row r="224" spans="3:18" x14ac:dyDescent="0.25">
      <c r="C224" s="279"/>
      <c r="D224" s="159"/>
      <c r="E224" s="40"/>
      <c r="F224" s="129"/>
      <c r="G224" s="1"/>
      <c r="H224" s="163"/>
      <c r="I224" s="37"/>
      <c r="J224" s="138"/>
      <c r="K224" s="114"/>
      <c r="L224" s="37"/>
      <c r="M224" s="37"/>
      <c r="N224" s="37"/>
      <c r="O224" s="132"/>
      <c r="P224" s="134"/>
      <c r="Q224" s="261"/>
      <c r="R224" s="94"/>
    </row>
    <row r="225" spans="3:18" x14ac:dyDescent="0.25">
      <c r="C225" s="279"/>
      <c r="D225" s="159"/>
      <c r="E225" s="40"/>
      <c r="F225" s="129"/>
      <c r="G225" s="1"/>
      <c r="H225" s="163"/>
      <c r="I225" s="37"/>
      <c r="J225" s="138"/>
      <c r="K225" s="114"/>
      <c r="L225" s="37"/>
      <c r="M225" s="37"/>
      <c r="N225" s="37"/>
      <c r="O225" s="132"/>
      <c r="P225" s="134"/>
      <c r="Q225" s="261"/>
      <c r="R225" s="94"/>
    </row>
    <row r="226" spans="3:18" x14ac:dyDescent="0.25">
      <c r="C226" s="279"/>
      <c r="D226" s="159"/>
      <c r="E226" s="40"/>
      <c r="F226" s="129"/>
      <c r="G226" s="1"/>
      <c r="H226" s="163"/>
      <c r="I226" s="37"/>
      <c r="J226" s="138"/>
      <c r="K226" s="114"/>
      <c r="L226" s="37"/>
      <c r="M226" s="37"/>
      <c r="N226" s="37"/>
      <c r="O226" s="132"/>
      <c r="P226" s="134"/>
      <c r="Q226" s="261"/>
      <c r="R226" s="94"/>
    </row>
    <row r="227" spans="3:18" x14ac:dyDescent="0.25">
      <c r="C227" s="279"/>
      <c r="D227" s="159"/>
      <c r="E227" s="40"/>
      <c r="F227" s="129"/>
      <c r="G227" s="1"/>
      <c r="H227" s="163"/>
      <c r="I227" s="37"/>
      <c r="J227" s="138"/>
      <c r="K227" s="114"/>
      <c r="L227" s="37"/>
      <c r="M227" s="37"/>
      <c r="N227" s="37"/>
      <c r="O227" s="132"/>
      <c r="P227" s="134"/>
      <c r="Q227" s="261"/>
      <c r="R227" s="94"/>
    </row>
    <row r="228" spans="3:18" x14ac:dyDescent="0.25">
      <c r="C228" s="279"/>
      <c r="D228" s="159"/>
      <c r="E228" s="40"/>
      <c r="F228" s="129"/>
      <c r="G228" s="1"/>
      <c r="H228" s="163"/>
      <c r="I228" s="37"/>
      <c r="J228" s="138"/>
      <c r="K228" s="114"/>
      <c r="L228" s="37"/>
      <c r="M228" s="37"/>
      <c r="N228" s="37"/>
      <c r="O228" s="132"/>
      <c r="P228" s="134"/>
      <c r="Q228" s="261"/>
      <c r="R228" s="94"/>
    </row>
    <row r="229" spans="3:18" x14ac:dyDescent="0.25">
      <c r="C229" s="279"/>
      <c r="D229" s="159"/>
      <c r="E229" s="40"/>
      <c r="F229" s="129"/>
      <c r="G229" s="1"/>
      <c r="H229" s="163"/>
      <c r="I229" s="37"/>
      <c r="J229" s="138"/>
      <c r="K229" s="114"/>
      <c r="L229" s="37"/>
      <c r="M229" s="37"/>
      <c r="N229" s="37"/>
      <c r="O229" s="132"/>
      <c r="P229" s="134"/>
      <c r="Q229" s="261"/>
      <c r="R229" s="94"/>
    </row>
    <row r="230" spans="3:18" x14ac:dyDescent="0.25">
      <c r="C230" s="279"/>
      <c r="D230" s="159"/>
      <c r="E230" s="40"/>
      <c r="F230" s="129"/>
      <c r="G230" s="1"/>
      <c r="H230" s="163"/>
      <c r="I230" s="37"/>
      <c r="J230" s="138"/>
      <c r="K230" s="114"/>
      <c r="L230" s="37"/>
      <c r="M230" s="37"/>
      <c r="N230" s="37"/>
      <c r="O230" s="132"/>
      <c r="P230" s="134"/>
      <c r="Q230" s="261"/>
      <c r="R230" s="94"/>
    </row>
    <row r="231" spans="3:18" x14ac:dyDescent="0.25">
      <c r="C231" s="279"/>
      <c r="D231" s="159"/>
      <c r="E231" s="40"/>
      <c r="F231" s="129"/>
      <c r="G231" s="1"/>
      <c r="H231" s="163"/>
      <c r="I231" s="37"/>
      <c r="J231" s="138"/>
      <c r="K231" s="114"/>
      <c r="L231" s="37"/>
      <c r="M231" s="37"/>
      <c r="N231" s="37"/>
      <c r="O231" s="132"/>
      <c r="P231" s="134"/>
      <c r="Q231" s="261"/>
      <c r="R231" s="94"/>
    </row>
    <row r="232" spans="3:18" x14ac:dyDescent="0.25">
      <c r="C232" s="279"/>
      <c r="D232" s="159"/>
      <c r="E232" s="40"/>
      <c r="F232" s="129"/>
      <c r="G232" s="1"/>
      <c r="H232" s="163"/>
      <c r="I232" s="37"/>
      <c r="J232" s="138"/>
      <c r="K232" s="114"/>
      <c r="L232" s="37"/>
      <c r="M232" s="37"/>
      <c r="N232" s="37"/>
      <c r="O232" s="132"/>
      <c r="P232" s="134"/>
      <c r="Q232" s="261"/>
      <c r="R232" s="94"/>
    </row>
    <row r="233" spans="3:18" x14ac:dyDescent="0.25">
      <c r="C233" s="279"/>
      <c r="D233" s="159"/>
      <c r="E233" s="40"/>
      <c r="F233" s="129"/>
      <c r="G233" s="1"/>
      <c r="H233" s="163"/>
      <c r="I233" s="37"/>
      <c r="J233" s="138"/>
      <c r="K233" s="114"/>
      <c r="L233" s="37"/>
      <c r="M233" s="37"/>
      <c r="N233" s="37"/>
      <c r="O233" s="132"/>
      <c r="P233" s="134"/>
      <c r="Q233" s="261"/>
      <c r="R233" s="94"/>
    </row>
    <row r="234" spans="3:18" x14ac:dyDescent="0.25">
      <c r="C234" s="279"/>
      <c r="D234" s="159"/>
      <c r="E234" s="40"/>
      <c r="F234" s="129"/>
      <c r="G234" s="1"/>
      <c r="H234" s="163"/>
      <c r="I234" s="37"/>
      <c r="J234" s="138"/>
      <c r="K234" s="114"/>
      <c r="L234" s="37"/>
      <c r="M234" s="37"/>
      <c r="N234" s="37"/>
      <c r="O234" s="132"/>
      <c r="P234" s="134"/>
      <c r="Q234" s="261"/>
      <c r="R234" s="94"/>
    </row>
    <row r="235" spans="3:18" x14ac:dyDescent="0.25">
      <c r="C235" s="279"/>
      <c r="D235" s="159"/>
      <c r="E235" s="40"/>
      <c r="F235" s="129"/>
      <c r="G235" s="1"/>
      <c r="H235" s="163"/>
      <c r="I235" s="37"/>
      <c r="J235" s="138"/>
      <c r="K235" s="114"/>
      <c r="L235" s="37"/>
      <c r="M235" s="37"/>
      <c r="N235" s="37"/>
      <c r="O235" s="132"/>
      <c r="P235" s="134"/>
      <c r="Q235" s="261"/>
      <c r="R235" s="94"/>
    </row>
    <row r="236" spans="3:18" x14ac:dyDescent="0.25">
      <c r="C236" s="279"/>
      <c r="D236" s="159"/>
      <c r="E236" s="40"/>
      <c r="F236" s="129"/>
      <c r="G236" s="1"/>
      <c r="H236" s="163"/>
      <c r="I236" s="37"/>
      <c r="J236" s="138"/>
      <c r="K236" s="114"/>
      <c r="L236" s="37"/>
      <c r="M236" s="37"/>
      <c r="N236" s="37"/>
      <c r="O236" s="132"/>
      <c r="P236" s="134"/>
      <c r="Q236" s="261"/>
      <c r="R236" s="94"/>
    </row>
    <row r="237" spans="3:18" x14ac:dyDescent="0.25">
      <c r="C237" s="279"/>
      <c r="D237" s="159"/>
      <c r="E237" s="40"/>
      <c r="F237" s="129"/>
      <c r="G237" s="1"/>
      <c r="H237" s="163"/>
      <c r="I237" s="37"/>
      <c r="J237" s="138"/>
      <c r="K237" s="114"/>
      <c r="L237" s="37"/>
      <c r="M237" s="37"/>
      <c r="N237" s="37"/>
      <c r="O237" s="132"/>
      <c r="P237" s="134"/>
      <c r="Q237" s="261"/>
      <c r="R237" s="94"/>
    </row>
    <row r="238" spans="3:18" x14ac:dyDescent="0.25">
      <c r="C238" s="279"/>
      <c r="D238" s="159"/>
      <c r="E238" s="40"/>
      <c r="F238" s="129"/>
      <c r="G238" s="1"/>
      <c r="H238" s="163"/>
      <c r="I238" s="37"/>
      <c r="J238" s="138"/>
      <c r="K238" s="114"/>
      <c r="L238" s="37"/>
      <c r="M238" s="37"/>
      <c r="N238" s="37"/>
      <c r="O238" s="132"/>
      <c r="P238" s="134"/>
      <c r="Q238" s="261"/>
      <c r="R238" s="94"/>
    </row>
    <row r="239" spans="3:18" x14ac:dyDescent="0.25">
      <c r="C239" s="279"/>
      <c r="D239" s="159"/>
      <c r="E239" s="40"/>
      <c r="F239" s="129"/>
      <c r="G239" s="1"/>
      <c r="H239" s="163"/>
      <c r="I239" s="37"/>
      <c r="J239" s="138"/>
      <c r="K239" s="114"/>
      <c r="L239" s="37"/>
      <c r="M239" s="37"/>
      <c r="N239" s="37"/>
      <c r="O239" s="132"/>
      <c r="P239" s="134"/>
      <c r="Q239" s="261"/>
      <c r="R239" s="94"/>
    </row>
    <row r="240" spans="3:18" x14ac:dyDescent="0.25">
      <c r="C240" s="279"/>
      <c r="D240" s="159"/>
      <c r="E240" s="40"/>
      <c r="F240" s="129"/>
      <c r="G240" s="1"/>
      <c r="H240" s="163"/>
      <c r="I240" s="37"/>
      <c r="J240" s="138"/>
      <c r="K240" s="114"/>
      <c r="L240" s="37"/>
      <c r="M240" s="37"/>
      <c r="N240" s="37"/>
      <c r="O240" s="132"/>
      <c r="P240" s="134"/>
      <c r="Q240" s="261"/>
      <c r="R240" s="94"/>
    </row>
    <row r="241" spans="3:18" x14ac:dyDescent="0.25">
      <c r="C241" s="279"/>
      <c r="D241" s="159"/>
      <c r="E241" s="40"/>
      <c r="F241" s="129"/>
      <c r="G241" s="1"/>
      <c r="H241" s="163"/>
      <c r="I241" s="37"/>
      <c r="J241" s="138"/>
      <c r="K241" s="114"/>
      <c r="L241" s="37"/>
      <c r="M241" s="37"/>
      <c r="N241" s="37"/>
      <c r="O241" s="132"/>
      <c r="P241" s="134"/>
      <c r="Q241" s="261"/>
      <c r="R241" s="94"/>
    </row>
    <row r="242" spans="3:18" x14ac:dyDescent="0.25">
      <c r="C242" s="279"/>
      <c r="D242" s="159"/>
      <c r="E242" s="40"/>
      <c r="F242" s="129"/>
      <c r="G242" s="1"/>
      <c r="H242" s="163"/>
      <c r="I242" s="37"/>
      <c r="J242" s="138"/>
      <c r="K242" s="114"/>
      <c r="L242" s="37"/>
      <c r="M242" s="37"/>
      <c r="N242" s="37"/>
      <c r="O242" s="132"/>
      <c r="P242" s="134"/>
      <c r="Q242" s="261"/>
      <c r="R242" s="94"/>
    </row>
    <row r="243" spans="3:18" x14ac:dyDescent="0.25">
      <c r="C243" s="279"/>
      <c r="D243" s="159"/>
      <c r="E243" s="40"/>
      <c r="F243" s="129"/>
      <c r="G243" s="1"/>
      <c r="H243" s="163"/>
      <c r="I243" s="37"/>
      <c r="J243" s="138"/>
      <c r="K243" s="114"/>
      <c r="L243" s="37"/>
      <c r="M243" s="37"/>
      <c r="N243" s="37"/>
      <c r="O243" s="132"/>
      <c r="P243" s="134"/>
      <c r="Q243" s="261"/>
      <c r="R243" s="94"/>
    </row>
    <row r="244" spans="3:18" x14ac:dyDescent="0.25">
      <c r="C244" s="279"/>
      <c r="D244" s="159"/>
      <c r="E244" s="40"/>
      <c r="F244" s="129"/>
      <c r="G244" s="1"/>
      <c r="H244" s="163"/>
      <c r="I244" s="37"/>
      <c r="J244" s="138"/>
      <c r="K244" s="114"/>
      <c r="L244" s="37"/>
      <c r="M244" s="37"/>
      <c r="N244" s="37"/>
      <c r="O244" s="132"/>
      <c r="P244" s="134"/>
      <c r="Q244" s="261"/>
      <c r="R244" s="94"/>
    </row>
    <row r="245" spans="3:18" x14ac:dyDescent="0.25">
      <c r="C245" s="279"/>
      <c r="D245" s="159"/>
      <c r="E245" s="40"/>
      <c r="F245" s="129"/>
      <c r="G245" s="1"/>
      <c r="H245" s="163"/>
      <c r="I245" s="37"/>
      <c r="J245" s="138"/>
      <c r="K245" s="114"/>
      <c r="L245" s="37"/>
      <c r="M245" s="37"/>
      <c r="N245" s="37"/>
      <c r="O245" s="132"/>
      <c r="P245" s="134"/>
      <c r="Q245" s="261"/>
      <c r="R245" s="94"/>
    </row>
    <row r="246" spans="3:18" x14ac:dyDescent="0.25">
      <c r="C246" s="279"/>
      <c r="D246" s="159"/>
      <c r="E246" s="40"/>
      <c r="F246" s="129"/>
      <c r="G246" s="1"/>
      <c r="H246" s="163"/>
      <c r="I246" s="37"/>
      <c r="J246" s="138"/>
      <c r="K246" s="114"/>
      <c r="L246" s="37"/>
      <c r="M246" s="37"/>
      <c r="N246" s="37"/>
      <c r="O246" s="132"/>
      <c r="P246" s="134"/>
      <c r="Q246" s="261"/>
      <c r="R246" s="94"/>
    </row>
    <row r="247" spans="3:18" x14ac:dyDescent="0.25">
      <c r="C247" s="279"/>
      <c r="D247" s="159"/>
      <c r="E247" s="40"/>
      <c r="F247" s="129"/>
      <c r="G247" s="1"/>
      <c r="H247" s="163"/>
      <c r="I247" s="37"/>
      <c r="J247" s="138"/>
      <c r="K247" s="114"/>
      <c r="L247" s="37"/>
      <c r="M247" s="37"/>
      <c r="N247" s="37"/>
      <c r="O247" s="132"/>
      <c r="P247" s="134"/>
      <c r="Q247" s="261"/>
      <c r="R247" s="94"/>
    </row>
    <row r="248" spans="3:18" x14ac:dyDescent="0.25">
      <c r="C248" s="279"/>
      <c r="D248" s="159"/>
      <c r="E248" s="40"/>
      <c r="F248" s="129"/>
      <c r="G248" s="1"/>
      <c r="H248" s="163"/>
      <c r="I248" s="37"/>
      <c r="J248" s="138"/>
      <c r="K248" s="114"/>
      <c r="L248" s="37"/>
      <c r="M248" s="37"/>
      <c r="N248" s="37"/>
      <c r="O248" s="132"/>
      <c r="P248" s="134"/>
      <c r="Q248" s="261"/>
      <c r="R248" s="94"/>
    </row>
    <row r="249" spans="3:18" x14ac:dyDescent="0.25">
      <c r="C249" s="279"/>
      <c r="D249" s="159"/>
      <c r="E249" s="40"/>
      <c r="F249" s="129"/>
      <c r="G249" s="1"/>
      <c r="H249" s="163"/>
      <c r="I249" s="37"/>
      <c r="J249" s="138"/>
      <c r="K249" s="114"/>
      <c r="L249" s="37"/>
      <c r="M249" s="37"/>
      <c r="N249" s="37"/>
      <c r="O249" s="132"/>
      <c r="P249" s="134"/>
      <c r="Q249" s="261"/>
      <c r="R249" s="94"/>
    </row>
    <row r="250" spans="3:18" x14ac:dyDescent="0.25">
      <c r="C250" s="279"/>
      <c r="D250" s="159"/>
      <c r="E250" s="40"/>
      <c r="F250" s="129"/>
      <c r="G250" s="1"/>
      <c r="H250" s="163"/>
      <c r="I250" s="37"/>
      <c r="J250" s="138"/>
      <c r="K250" s="114"/>
      <c r="L250" s="37"/>
      <c r="M250" s="37"/>
      <c r="N250" s="37"/>
      <c r="O250" s="132"/>
      <c r="P250" s="134"/>
      <c r="Q250" s="261"/>
      <c r="R250" s="94"/>
    </row>
    <row r="251" spans="3:18" x14ac:dyDescent="0.25">
      <c r="C251" s="279"/>
      <c r="D251" s="159"/>
      <c r="E251" s="40"/>
      <c r="F251" s="129"/>
      <c r="G251" s="1"/>
      <c r="H251" s="163"/>
      <c r="I251" s="37"/>
      <c r="J251" s="138"/>
      <c r="K251" s="114"/>
      <c r="L251" s="37"/>
      <c r="M251" s="37"/>
      <c r="N251" s="37"/>
      <c r="O251" s="132"/>
      <c r="P251" s="134"/>
      <c r="Q251" s="261"/>
      <c r="R251" s="94"/>
    </row>
    <row r="252" spans="3:18" x14ac:dyDescent="0.25">
      <c r="C252" s="279"/>
      <c r="D252" s="159"/>
      <c r="E252" s="40"/>
      <c r="F252" s="129"/>
      <c r="G252" s="1"/>
      <c r="H252" s="163"/>
      <c r="I252" s="37"/>
      <c r="J252" s="138"/>
      <c r="K252" s="114"/>
      <c r="L252" s="37"/>
      <c r="M252" s="37"/>
      <c r="N252" s="37"/>
      <c r="O252" s="132"/>
      <c r="P252" s="134"/>
      <c r="Q252" s="261"/>
      <c r="R252" s="94"/>
    </row>
    <row r="253" spans="3:18" x14ac:dyDescent="0.25">
      <c r="C253" s="279"/>
      <c r="D253" s="159"/>
      <c r="E253" s="40"/>
      <c r="F253" s="129"/>
      <c r="G253" s="1"/>
      <c r="H253" s="163"/>
      <c r="I253" s="37"/>
      <c r="J253" s="138"/>
      <c r="K253" s="114"/>
      <c r="L253" s="37"/>
      <c r="M253" s="37"/>
      <c r="N253" s="37"/>
      <c r="O253" s="132"/>
      <c r="P253" s="134"/>
      <c r="Q253" s="261"/>
      <c r="R253" s="94"/>
    </row>
    <row r="254" spans="3:18" x14ac:dyDescent="0.25">
      <c r="C254" s="279"/>
      <c r="D254" s="159"/>
      <c r="E254" s="40"/>
      <c r="F254" s="129"/>
      <c r="G254" s="1"/>
      <c r="H254" s="163"/>
      <c r="I254" s="37"/>
      <c r="J254" s="138"/>
      <c r="K254" s="114"/>
      <c r="L254" s="37"/>
      <c r="M254" s="37"/>
      <c r="N254" s="37"/>
      <c r="O254" s="132"/>
      <c r="P254" s="134"/>
      <c r="Q254" s="261"/>
      <c r="R254" s="94"/>
    </row>
    <row r="255" spans="3:18" x14ac:dyDescent="0.25">
      <c r="C255" s="279"/>
      <c r="D255" s="159"/>
      <c r="E255" s="40"/>
      <c r="F255" s="129"/>
      <c r="G255" s="1"/>
      <c r="H255" s="163"/>
      <c r="I255" s="37"/>
      <c r="J255" s="138"/>
      <c r="K255" s="114"/>
      <c r="L255" s="37"/>
      <c r="M255" s="37"/>
      <c r="N255" s="37"/>
      <c r="O255" s="132"/>
      <c r="P255" s="134"/>
      <c r="Q255" s="261"/>
      <c r="R255" s="94"/>
    </row>
    <row r="256" spans="3:18" x14ac:dyDescent="0.25">
      <c r="C256" s="279"/>
      <c r="D256" s="159"/>
      <c r="E256" s="40"/>
      <c r="F256" s="129"/>
      <c r="G256" s="1"/>
      <c r="H256" s="163"/>
      <c r="I256" s="37"/>
      <c r="J256" s="138"/>
      <c r="K256" s="114"/>
      <c r="L256" s="37"/>
      <c r="M256" s="37"/>
      <c r="N256" s="37"/>
      <c r="O256" s="132"/>
      <c r="P256" s="134"/>
      <c r="Q256" s="261"/>
      <c r="R256" s="94"/>
    </row>
    <row r="257" spans="3:18" x14ac:dyDescent="0.25">
      <c r="C257" s="279"/>
      <c r="D257" s="159"/>
      <c r="E257" s="40"/>
      <c r="F257" s="129"/>
      <c r="G257" s="1"/>
      <c r="H257" s="163"/>
      <c r="I257" s="37"/>
      <c r="J257" s="138"/>
      <c r="K257" s="114"/>
      <c r="L257" s="37"/>
      <c r="M257" s="37"/>
      <c r="N257" s="37"/>
      <c r="O257" s="132"/>
      <c r="P257" s="134"/>
      <c r="Q257" s="261"/>
      <c r="R257" s="94"/>
    </row>
    <row r="258" spans="3:18" x14ac:dyDescent="0.25">
      <c r="C258" s="279"/>
      <c r="D258" s="159"/>
      <c r="E258" s="40"/>
      <c r="F258" s="129"/>
      <c r="G258" s="1"/>
      <c r="H258" s="163"/>
      <c r="I258" s="37"/>
      <c r="J258" s="138"/>
      <c r="K258" s="114"/>
      <c r="L258" s="37"/>
      <c r="M258" s="37"/>
      <c r="N258" s="37"/>
      <c r="O258" s="132"/>
      <c r="P258" s="134"/>
      <c r="Q258" s="261"/>
      <c r="R258" s="94"/>
    </row>
    <row r="259" spans="3:18" x14ac:dyDescent="0.25">
      <c r="C259" s="279"/>
      <c r="D259" s="159"/>
      <c r="E259" s="40"/>
      <c r="F259" s="129"/>
      <c r="G259" s="1"/>
      <c r="H259" s="163"/>
      <c r="I259" s="37"/>
      <c r="J259" s="138"/>
      <c r="K259" s="114"/>
      <c r="L259" s="37"/>
      <c r="M259" s="37"/>
      <c r="N259" s="37"/>
      <c r="O259" s="132"/>
      <c r="P259" s="134"/>
      <c r="Q259" s="261"/>
      <c r="R259" s="94"/>
    </row>
    <row r="260" spans="3:18" x14ac:dyDescent="0.25">
      <c r="C260" s="279"/>
      <c r="D260" s="159"/>
      <c r="E260" s="40"/>
      <c r="F260" s="129"/>
      <c r="G260" s="1"/>
      <c r="H260" s="163"/>
      <c r="I260" s="37"/>
      <c r="J260" s="138"/>
      <c r="K260" s="114"/>
      <c r="L260" s="37"/>
      <c r="M260" s="37"/>
      <c r="N260" s="37"/>
      <c r="O260" s="132"/>
      <c r="P260" s="134"/>
      <c r="Q260" s="261"/>
      <c r="R260" s="94"/>
    </row>
    <row r="261" spans="3:18" x14ac:dyDescent="0.25">
      <c r="C261" s="279"/>
      <c r="D261" s="159"/>
      <c r="E261" s="40"/>
      <c r="F261" s="129"/>
      <c r="G261" s="1"/>
      <c r="H261" s="163"/>
      <c r="I261" s="37"/>
      <c r="J261" s="138"/>
      <c r="K261" s="114"/>
      <c r="L261" s="37"/>
      <c r="M261" s="37"/>
      <c r="N261" s="37"/>
      <c r="O261" s="132"/>
      <c r="P261" s="134"/>
      <c r="Q261" s="261"/>
      <c r="R261" s="94"/>
    </row>
    <row r="262" spans="3:18" x14ac:dyDescent="0.25">
      <c r="C262" s="279"/>
      <c r="D262" s="159"/>
      <c r="E262" s="40"/>
      <c r="F262" s="129"/>
      <c r="G262" s="1"/>
      <c r="H262" s="163"/>
      <c r="I262" s="37"/>
      <c r="J262" s="138"/>
      <c r="K262" s="114"/>
      <c r="L262" s="37"/>
      <c r="M262" s="37"/>
      <c r="N262" s="37"/>
      <c r="O262" s="132"/>
      <c r="P262" s="134"/>
      <c r="Q262" s="261"/>
      <c r="R262" s="94"/>
    </row>
    <row r="263" spans="3:18" x14ac:dyDescent="0.25">
      <c r="C263" s="279"/>
      <c r="D263" s="159"/>
      <c r="E263" s="40"/>
      <c r="F263" s="129"/>
      <c r="G263" s="1"/>
      <c r="H263" s="163"/>
      <c r="I263" s="37"/>
      <c r="J263" s="138"/>
      <c r="K263" s="114"/>
      <c r="L263" s="37"/>
      <c r="M263" s="37"/>
      <c r="N263" s="37"/>
      <c r="O263" s="132"/>
      <c r="P263" s="134"/>
      <c r="Q263" s="261"/>
      <c r="R263" s="94"/>
    </row>
    <row r="264" spans="3:18" x14ac:dyDescent="0.25">
      <c r="C264" s="279"/>
      <c r="D264" s="159"/>
      <c r="E264" s="40"/>
      <c r="F264" s="129"/>
      <c r="G264" s="1"/>
      <c r="H264" s="163"/>
      <c r="I264" s="37"/>
      <c r="J264" s="138"/>
      <c r="K264" s="114"/>
      <c r="L264" s="37"/>
      <c r="M264" s="37"/>
      <c r="N264" s="37"/>
      <c r="O264" s="132"/>
      <c r="P264" s="134"/>
      <c r="Q264" s="261"/>
      <c r="R264" s="94"/>
    </row>
    <row r="265" spans="3:18" x14ac:dyDescent="0.25">
      <c r="C265" s="279"/>
      <c r="D265" s="159"/>
      <c r="E265" s="40"/>
      <c r="F265" s="129"/>
      <c r="G265" s="1"/>
      <c r="H265" s="163"/>
      <c r="I265" s="37"/>
      <c r="J265" s="138"/>
      <c r="K265" s="114"/>
      <c r="L265" s="37"/>
      <c r="M265" s="37"/>
      <c r="N265" s="37"/>
      <c r="O265" s="132"/>
      <c r="P265" s="134"/>
      <c r="Q265" s="261"/>
      <c r="R265" s="94"/>
    </row>
    <row r="266" spans="3:18" x14ac:dyDescent="0.25">
      <c r="C266" s="279"/>
      <c r="D266" s="159"/>
      <c r="E266" s="40"/>
      <c r="F266" s="129"/>
      <c r="G266" s="1"/>
      <c r="H266" s="163"/>
      <c r="I266" s="37"/>
      <c r="J266" s="138"/>
      <c r="K266" s="114"/>
      <c r="L266" s="37"/>
      <c r="M266" s="37"/>
      <c r="N266" s="37"/>
      <c r="O266" s="132"/>
      <c r="P266" s="134"/>
      <c r="Q266" s="261"/>
      <c r="R266" s="94"/>
    </row>
    <row r="267" spans="3:18" x14ac:dyDescent="0.25">
      <c r="C267" s="279"/>
      <c r="D267" s="159"/>
      <c r="E267" s="40"/>
      <c r="F267" s="129"/>
      <c r="G267" s="1"/>
      <c r="H267" s="163"/>
      <c r="I267" s="37"/>
      <c r="J267" s="138"/>
      <c r="K267" s="114"/>
      <c r="L267" s="37"/>
      <c r="M267" s="37"/>
      <c r="N267" s="37"/>
      <c r="O267" s="132"/>
      <c r="P267" s="134"/>
      <c r="Q267" s="261"/>
      <c r="R267" s="94"/>
    </row>
    <row r="268" spans="3:18" x14ac:dyDescent="0.25">
      <c r="C268" s="279"/>
      <c r="D268" s="159"/>
      <c r="E268" s="40"/>
      <c r="F268" s="129"/>
      <c r="G268" s="1"/>
      <c r="H268" s="163"/>
      <c r="I268" s="37"/>
      <c r="J268" s="138"/>
      <c r="K268" s="114"/>
      <c r="L268" s="37"/>
      <c r="M268" s="37"/>
      <c r="N268" s="37"/>
      <c r="O268" s="132"/>
      <c r="P268" s="134"/>
      <c r="Q268" s="261"/>
      <c r="R268" s="94"/>
    </row>
    <row r="269" spans="3:18" x14ac:dyDescent="0.25">
      <c r="C269" s="279"/>
      <c r="D269" s="159"/>
      <c r="E269" s="40"/>
      <c r="F269" s="129"/>
      <c r="G269" s="1"/>
      <c r="H269" s="163"/>
      <c r="I269" s="37"/>
      <c r="J269" s="138"/>
      <c r="K269" s="114"/>
      <c r="L269" s="37"/>
      <c r="M269" s="37"/>
      <c r="N269" s="37"/>
      <c r="O269" s="132"/>
      <c r="P269" s="134"/>
      <c r="Q269" s="261"/>
      <c r="R269" s="94"/>
    </row>
    <row r="270" spans="3:18" x14ac:dyDescent="0.25">
      <c r="C270" s="279"/>
      <c r="D270" s="159"/>
      <c r="E270" s="40"/>
      <c r="F270" s="129"/>
      <c r="G270" s="1"/>
      <c r="H270" s="163"/>
      <c r="I270" s="37"/>
      <c r="J270" s="138"/>
      <c r="K270" s="114"/>
      <c r="L270" s="37"/>
      <c r="M270" s="37"/>
      <c r="N270" s="37"/>
      <c r="O270" s="132"/>
      <c r="P270" s="134"/>
      <c r="Q270" s="261"/>
      <c r="R270" s="94"/>
    </row>
    <row r="271" spans="3:18" x14ac:dyDescent="0.25">
      <c r="C271" s="279"/>
      <c r="D271" s="159"/>
      <c r="E271" s="40"/>
      <c r="F271" s="129"/>
      <c r="G271" s="1"/>
      <c r="H271" s="163"/>
      <c r="I271" s="37"/>
      <c r="J271" s="138"/>
      <c r="K271" s="114"/>
      <c r="L271" s="37"/>
      <c r="M271" s="37"/>
      <c r="N271" s="37"/>
      <c r="O271" s="132"/>
      <c r="P271" s="134"/>
      <c r="Q271" s="261"/>
      <c r="R271" s="94"/>
    </row>
    <row r="272" spans="3:18" x14ac:dyDescent="0.25">
      <c r="C272" s="279"/>
      <c r="D272" s="159"/>
      <c r="E272" s="40"/>
      <c r="F272" s="129"/>
      <c r="G272" s="1"/>
      <c r="H272" s="163"/>
      <c r="I272" s="37"/>
      <c r="J272" s="138"/>
      <c r="K272" s="114"/>
      <c r="L272" s="37"/>
      <c r="M272" s="37"/>
      <c r="N272" s="37"/>
      <c r="O272" s="132"/>
      <c r="P272" s="134"/>
      <c r="Q272" s="261"/>
      <c r="R272" s="94"/>
    </row>
    <row r="273" spans="3:18" x14ac:dyDescent="0.25">
      <c r="C273" s="279"/>
      <c r="D273" s="159"/>
      <c r="E273" s="40"/>
      <c r="F273" s="129"/>
      <c r="G273" s="1"/>
      <c r="H273" s="163"/>
      <c r="I273" s="37"/>
      <c r="J273" s="138"/>
      <c r="K273" s="114"/>
      <c r="L273" s="37"/>
      <c r="M273" s="37"/>
      <c r="N273" s="37"/>
      <c r="O273" s="132"/>
      <c r="P273" s="134"/>
      <c r="Q273" s="261"/>
      <c r="R273" s="94"/>
    </row>
    <row r="274" spans="3:18" x14ac:dyDescent="0.25">
      <c r="C274" s="279"/>
      <c r="D274" s="159"/>
      <c r="E274" s="40"/>
      <c r="F274" s="129"/>
      <c r="G274" s="1"/>
      <c r="H274" s="163"/>
      <c r="I274" s="37"/>
      <c r="J274" s="138"/>
      <c r="K274" s="114"/>
      <c r="L274" s="37"/>
      <c r="M274" s="37"/>
      <c r="N274" s="37"/>
      <c r="O274" s="132"/>
      <c r="P274" s="134"/>
      <c r="Q274" s="261"/>
      <c r="R274" s="94"/>
    </row>
    <row r="275" spans="3:18" x14ac:dyDescent="0.25">
      <c r="C275" s="279"/>
      <c r="D275" s="159"/>
      <c r="E275" s="40"/>
      <c r="F275" s="129"/>
      <c r="G275" s="1"/>
      <c r="H275" s="163"/>
      <c r="I275" s="37"/>
      <c r="J275" s="138"/>
      <c r="K275" s="114"/>
      <c r="L275" s="37"/>
      <c r="M275" s="37"/>
      <c r="N275" s="37"/>
      <c r="O275" s="132"/>
      <c r="P275" s="134"/>
      <c r="Q275" s="261"/>
      <c r="R275" s="94"/>
    </row>
    <row r="276" spans="3:18" x14ac:dyDescent="0.25">
      <c r="C276" s="279"/>
      <c r="D276" s="159"/>
      <c r="E276" s="40"/>
      <c r="F276" s="129"/>
      <c r="G276" s="1"/>
      <c r="H276" s="163"/>
      <c r="I276" s="37"/>
      <c r="J276" s="138"/>
      <c r="K276" s="114"/>
      <c r="L276" s="37"/>
      <c r="M276" s="37"/>
      <c r="N276" s="37"/>
      <c r="O276" s="132"/>
      <c r="P276" s="134"/>
      <c r="Q276" s="261"/>
      <c r="R276" s="94"/>
    </row>
    <row r="277" spans="3:18" x14ac:dyDescent="0.25">
      <c r="C277" s="279"/>
      <c r="D277" s="159"/>
      <c r="E277" s="40"/>
      <c r="F277" s="129"/>
      <c r="G277" s="1"/>
      <c r="H277" s="163"/>
      <c r="I277" s="37"/>
      <c r="J277" s="138"/>
      <c r="K277" s="114"/>
      <c r="L277" s="37"/>
      <c r="M277" s="37"/>
      <c r="N277" s="37"/>
      <c r="O277" s="132"/>
      <c r="P277" s="134"/>
      <c r="Q277" s="261"/>
      <c r="R277" s="94"/>
    </row>
    <row r="278" spans="3:18" x14ac:dyDescent="0.25">
      <c r="C278" s="279"/>
      <c r="D278" s="159"/>
      <c r="E278" s="40"/>
      <c r="F278" s="129"/>
      <c r="G278" s="1"/>
      <c r="H278" s="163"/>
      <c r="I278" s="37"/>
      <c r="J278" s="138"/>
      <c r="K278" s="114"/>
      <c r="L278" s="37"/>
      <c r="M278" s="37"/>
      <c r="N278" s="37"/>
      <c r="O278" s="132"/>
      <c r="P278" s="134"/>
      <c r="Q278" s="261"/>
      <c r="R278" s="94"/>
    </row>
    <row r="279" spans="3:18" x14ac:dyDescent="0.25">
      <c r="C279" s="279"/>
      <c r="D279" s="159"/>
      <c r="E279" s="40"/>
      <c r="F279" s="129"/>
      <c r="G279" s="1"/>
      <c r="H279" s="163"/>
      <c r="I279" s="37"/>
      <c r="J279" s="138"/>
      <c r="K279" s="114"/>
      <c r="L279" s="37"/>
      <c r="M279" s="37"/>
      <c r="N279" s="37"/>
      <c r="O279" s="132"/>
      <c r="P279" s="134"/>
      <c r="Q279" s="261"/>
      <c r="R279" s="94"/>
    </row>
    <row r="280" spans="3:18" x14ac:dyDescent="0.25">
      <c r="C280" s="279"/>
      <c r="D280" s="159"/>
      <c r="E280" s="40"/>
      <c r="F280" s="129"/>
      <c r="G280" s="1"/>
      <c r="H280" s="163"/>
      <c r="I280" s="37"/>
      <c r="J280" s="138"/>
      <c r="K280" s="114"/>
      <c r="L280" s="37"/>
      <c r="M280" s="37"/>
      <c r="N280" s="37"/>
      <c r="O280" s="132"/>
      <c r="P280" s="134"/>
      <c r="Q280" s="261"/>
      <c r="R280" s="94"/>
    </row>
    <row r="281" spans="3:18" x14ac:dyDescent="0.25">
      <c r="C281" s="279"/>
      <c r="D281" s="159"/>
      <c r="E281" s="40"/>
      <c r="F281" s="129"/>
      <c r="G281" s="1"/>
      <c r="H281" s="163"/>
      <c r="I281" s="37"/>
      <c r="J281" s="138"/>
      <c r="K281" s="114"/>
      <c r="L281" s="37"/>
      <c r="M281" s="37"/>
      <c r="N281" s="37"/>
      <c r="O281" s="132"/>
      <c r="P281" s="134"/>
      <c r="Q281" s="261"/>
      <c r="R281" s="94"/>
    </row>
    <row r="282" spans="3:18" x14ac:dyDescent="0.25">
      <c r="C282" s="279"/>
      <c r="D282" s="159"/>
      <c r="E282" s="40"/>
      <c r="F282" s="129"/>
      <c r="G282" s="1"/>
      <c r="H282" s="163"/>
      <c r="I282" s="37"/>
      <c r="J282" s="138"/>
      <c r="K282" s="114"/>
      <c r="L282" s="37"/>
      <c r="M282" s="37"/>
      <c r="N282" s="37"/>
      <c r="O282" s="132"/>
      <c r="P282" s="134"/>
      <c r="Q282" s="261"/>
      <c r="R282" s="94"/>
    </row>
    <row r="283" spans="3:18" x14ac:dyDescent="0.25">
      <c r="C283" s="279"/>
      <c r="D283" s="159"/>
      <c r="E283" s="40"/>
      <c r="F283" s="129"/>
      <c r="G283" s="1"/>
      <c r="H283" s="163"/>
      <c r="I283" s="37"/>
      <c r="J283" s="138"/>
      <c r="K283" s="114"/>
      <c r="L283" s="37"/>
      <c r="M283" s="37"/>
      <c r="N283" s="37"/>
      <c r="O283" s="132"/>
      <c r="P283" s="134"/>
      <c r="Q283" s="261"/>
      <c r="R283" s="94"/>
    </row>
    <row r="284" spans="3:18" x14ac:dyDescent="0.25">
      <c r="C284" s="279"/>
      <c r="D284" s="159"/>
      <c r="E284" s="40"/>
      <c r="F284" s="129"/>
      <c r="G284" s="1"/>
      <c r="H284" s="163"/>
      <c r="I284" s="37"/>
      <c r="J284" s="138"/>
      <c r="K284" s="114"/>
      <c r="L284" s="37"/>
      <c r="M284" s="37"/>
      <c r="N284" s="37"/>
      <c r="O284" s="132"/>
      <c r="P284" s="134"/>
      <c r="Q284" s="261"/>
      <c r="R284" s="94"/>
    </row>
    <row r="285" spans="3:18" x14ac:dyDescent="0.25">
      <c r="C285" s="279"/>
      <c r="D285" s="159"/>
      <c r="E285" s="40"/>
      <c r="F285" s="129"/>
      <c r="G285" s="1"/>
      <c r="H285" s="163"/>
      <c r="I285" s="37"/>
      <c r="J285" s="138"/>
      <c r="K285" s="114"/>
      <c r="L285" s="37"/>
      <c r="M285" s="37"/>
      <c r="N285" s="37"/>
      <c r="O285" s="132"/>
      <c r="P285" s="134"/>
      <c r="Q285" s="261"/>
      <c r="R285" s="94"/>
    </row>
    <row r="286" spans="3:18" x14ac:dyDescent="0.25">
      <c r="C286" s="279"/>
      <c r="D286" s="159"/>
      <c r="E286" s="40"/>
      <c r="F286" s="129"/>
      <c r="G286" s="1"/>
      <c r="H286" s="163"/>
      <c r="I286" s="37"/>
      <c r="J286" s="138"/>
      <c r="K286" s="114"/>
      <c r="L286" s="37"/>
      <c r="M286" s="37"/>
      <c r="N286" s="37"/>
      <c r="O286" s="132"/>
      <c r="P286" s="134"/>
      <c r="Q286" s="261"/>
      <c r="R286" s="94"/>
    </row>
    <row r="287" spans="3:18" x14ac:dyDescent="0.25">
      <c r="C287" s="279"/>
      <c r="D287" s="159"/>
      <c r="E287" s="40"/>
      <c r="F287" s="129"/>
      <c r="G287" s="1"/>
      <c r="H287" s="163"/>
      <c r="I287" s="37"/>
      <c r="J287" s="138"/>
      <c r="K287" s="114"/>
      <c r="L287" s="37"/>
      <c r="M287" s="37"/>
      <c r="N287" s="37"/>
      <c r="O287" s="132"/>
      <c r="P287" s="134"/>
      <c r="Q287" s="261"/>
      <c r="R287" s="94"/>
    </row>
    <row r="288" spans="3:18" x14ac:dyDescent="0.25">
      <c r="C288" s="279"/>
      <c r="D288" s="159"/>
      <c r="E288" s="40"/>
      <c r="F288" s="129"/>
      <c r="G288" s="1"/>
      <c r="H288" s="163"/>
      <c r="I288" s="37"/>
      <c r="J288" s="138"/>
      <c r="K288" s="114"/>
      <c r="L288" s="37"/>
      <c r="M288" s="37"/>
      <c r="N288" s="37"/>
      <c r="O288" s="132"/>
      <c r="P288" s="134"/>
      <c r="Q288" s="261"/>
      <c r="R288" s="94"/>
    </row>
    <row r="289" spans="3:18" x14ac:dyDescent="0.25">
      <c r="C289" s="279"/>
      <c r="D289" s="159"/>
      <c r="E289" s="40"/>
      <c r="F289" s="129"/>
      <c r="G289" s="1"/>
      <c r="H289" s="163"/>
      <c r="I289" s="37"/>
      <c r="J289" s="138"/>
      <c r="K289" s="114"/>
      <c r="L289" s="37"/>
      <c r="M289" s="37"/>
      <c r="N289" s="37"/>
      <c r="O289" s="132"/>
      <c r="P289" s="134"/>
      <c r="Q289" s="261"/>
      <c r="R289" s="94"/>
    </row>
    <row r="290" spans="3:18" x14ac:dyDescent="0.25">
      <c r="C290" s="279"/>
      <c r="D290" s="159"/>
      <c r="E290" s="40"/>
      <c r="F290" s="129"/>
      <c r="G290" s="1"/>
      <c r="H290" s="163"/>
      <c r="I290" s="37"/>
      <c r="J290" s="138"/>
      <c r="K290" s="114"/>
      <c r="L290" s="37"/>
      <c r="M290" s="37"/>
      <c r="N290" s="37"/>
      <c r="O290" s="132"/>
      <c r="P290" s="134"/>
      <c r="Q290" s="261"/>
      <c r="R290" s="94"/>
    </row>
    <row r="291" spans="3:18" x14ac:dyDescent="0.25">
      <c r="C291" s="279"/>
      <c r="D291" s="159"/>
      <c r="E291" s="40"/>
      <c r="F291" s="129"/>
      <c r="G291" s="1"/>
      <c r="H291" s="163"/>
      <c r="I291" s="37"/>
      <c r="J291" s="138"/>
      <c r="K291" s="114"/>
      <c r="L291" s="37"/>
      <c r="M291" s="37"/>
      <c r="N291" s="37"/>
      <c r="O291" s="132"/>
      <c r="P291" s="134"/>
      <c r="Q291" s="261"/>
      <c r="R291" s="94"/>
    </row>
    <row r="292" spans="3:18" x14ac:dyDescent="0.25">
      <c r="C292" s="279"/>
      <c r="D292" s="159"/>
      <c r="E292" s="40"/>
      <c r="F292" s="129"/>
      <c r="G292" s="1"/>
      <c r="H292" s="163"/>
      <c r="I292" s="37"/>
      <c r="J292" s="138"/>
      <c r="K292" s="114"/>
      <c r="L292" s="37"/>
      <c r="M292" s="37"/>
      <c r="N292" s="37"/>
      <c r="O292" s="132"/>
      <c r="P292" s="134"/>
      <c r="Q292" s="261"/>
      <c r="R292" s="94"/>
    </row>
    <row r="293" spans="3:18" x14ac:dyDescent="0.25">
      <c r="C293" s="279"/>
      <c r="D293" s="159"/>
      <c r="E293" s="40"/>
      <c r="F293" s="129"/>
      <c r="G293" s="1"/>
      <c r="H293" s="163"/>
      <c r="I293" s="37"/>
      <c r="J293" s="138"/>
      <c r="K293" s="114"/>
      <c r="L293" s="37"/>
      <c r="M293" s="37"/>
      <c r="N293" s="37"/>
      <c r="O293" s="132"/>
      <c r="P293" s="134"/>
      <c r="Q293" s="261"/>
      <c r="R293" s="94"/>
    </row>
    <row r="294" spans="3:18" x14ac:dyDescent="0.25">
      <c r="C294" s="279"/>
      <c r="D294" s="159"/>
      <c r="E294" s="40"/>
      <c r="F294" s="129"/>
      <c r="G294" s="1"/>
      <c r="H294" s="163"/>
      <c r="I294" s="37"/>
      <c r="J294" s="138"/>
      <c r="K294" s="114"/>
      <c r="L294" s="37"/>
      <c r="M294" s="37"/>
      <c r="N294" s="37"/>
      <c r="O294" s="132"/>
      <c r="P294" s="134"/>
      <c r="Q294" s="261"/>
      <c r="R294" s="94"/>
    </row>
    <row r="295" spans="3:18" x14ac:dyDescent="0.25">
      <c r="C295" s="279"/>
      <c r="D295" s="159"/>
      <c r="E295" s="40"/>
      <c r="F295" s="129"/>
      <c r="G295" s="1"/>
      <c r="H295" s="163"/>
      <c r="I295" s="37"/>
      <c r="J295" s="138"/>
      <c r="K295" s="114"/>
      <c r="L295" s="37"/>
      <c r="M295" s="37"/>
      <c r="N295" s="37"/>
      <c r="O295" s="132"/>
      <c r="P295" s="134"/>
      <c r="Q295" s="261"/>
      <c r="R295" s="94"/>
    </row>
    <row r="296" spans="3:18" x14ac:dyDescent="0.25">
      <c r="C296" s="279"/>
      <c r="D296" s="159"/>
      <c r="E296" s="40"/>
      <c r="F296" s="129"/>
      <c r="G296" s="1"/>
      <c r="H296" s="163"/>
      <c r="I296" s="37"/>
      <c r="J296" s="138"/>
      <c r="K296" s="114"/>
      <c r="L296" s="37"/>
      <c r="M296" s="37"/>
      <c r="N296" s="37"/>
      <c r="O296" s="132"/>
      <c r="P296" s="134"/>
      <c r="Q296" s="261"/>
      <c r="R296" s="94"/>
    </row>
    <row r="297" spans="3:18" x14ac:dyDescent="0.25">
      <c r="C297" s="279"/>
      <c r="D297" s="159"/>
      <c r="E297" s="40"/>
      <c r="F297" s="129"/>
      <c r="G297" s="1"/>
      <c r="H297" s="163"/>
      <c r="I297" s="37"/>
      <c r="J297" s="138"/>
      <c r="K297" s="114"/>
      <c r="L297" s="37"/>
      <c r="M297" s="37"/>
      <c r="N297" s="37"/>
      <c r="O297" s="132"/>
      <c r="P297" s="134"/>
      <c r="Q297" s="261"/>
      <c r="R297" s="94"/>
    </row>
    <row r="298" spans="3:18" x14ac:dyDescent="0.25">
      <c r="C298" s="279"/>
      <c r="D298" s="159"/>
      <c r="E298" s="40"/>
      <c r="F298" s="129"/>
      <c r="G298" s="1"/>
      <c r="H298" s="163"/>
      <c r="I298" s="37"/>
      <c r="J298" s="138"/>
      <c r="K298" s="114"/>
      <c r="L298" s="37"/>
      <c r="M298" s="37"/>
      <c r="N298" s="37"/>
      <c r="O298" s="132"/>
      <c r="P298" s="134"/>
      <c r="Q298" s="261"/>
      <c r="R298" s="94"/>
    </row>
    <row r="299" spans="3:18" x14ac:dyDescent="0.25">
      <c r="C299" s="279"/>
      <c r="D299" s="159"/>
      <c r="E299" s="40"/>
      <c r="F299" s="129"/>
      <c r="G299" s="1"/>
      <c r="H299" s="163"/>
      <c r="I299" s="37"/>
      <c r="J299" s="138"/>
      <c r="K299" s="114"/>
      <c r="L299" s="37"/>
      <c r="M299" s="37"/>
      <c r="N299" s="37"/>
      <c r="O299" s="132"/>
      <c r="P299" s="134"/>
      <c r="Q299" s="261"/>
      <c r="R299" s="94"/>
    </row>
    <row r="300" spans="3:18" x14ac:dyDescent="0.25">
      <c r="C300" s="279"/>
      <c r="D300" s="159"/>
      <c r="E300" s="40"/>
      <c r="F300" s="129"/>
      <c r="G300" s="1"/>
      <c r="H300" s="163"/>
      <c r="I300" s="37"/>
      <c r="J300" s="138"/>
      <c r="K300" s="114"/>
      <c r="L300" s="37"/>
      <c r="M300" s="37"/>
      <c r="N300" s="37"/>
      <c r="O300" s="132"/>
      <c r="P300" s="134"/>
      <c r="Q300" s="261"/>
      <c r="R300" s="94"/>
    </row>
    <row r="301" spans="3:18" x14ac:dyDescent="0.25">
      <c r="C301" s="279"/>
      <c r="D301" s="159"/>
      <c r="E301" s="40"/>
      <c r="F301" s="129"/>
      <c r="G301" s="1"/>
      <c r="H301" s="163"/>
      <c r="I301" s="37"/>
      <c r="J301" s="138"/>
      <c r="K301" s="114"/>
      <c r="L301" s="37"/>
      <c r="M301" s="37"/>
      <c r="N301" s="37"/>
      <c r="O301" s="132"/>
      <c r="P301" s="134"/>
      <c r="Q301" s="261"/>
      <c r="R301" s="94"/>
    </row>
    <row r="302" spans="3:18" x14ac:dyDescent="0.25">
      <c r="C302" s="279"/>
      <c r="D302" s="159"/>
      <c r="E302" s="40"/>
      <c r="F302" s="129"/>
      <c r="G302" s="1"/>
      <c r="H302" s="163"/>
      <c r="I302" s="37"/>
      <c r="J302" s="138"/>
      <c r="K302" s="114"/>
      <c r="L302" s="37"/>
      <c r="M302" s="37"/>
      <c r="N302" s="37"/>
      <c r="O302" s="132"/>
      <c r="P302" s="134"/>
      <c r="Q302" s="261"/>
      <c r="R302" s="94"/>
    </row>
    <row r="303" spans="3:18" x14ac:dyDescent="0.25">
      <c r="C303" s="279"/>
      <c r="D303" s="159"/>
      <c r="E303" s="40"/>
      <c r="F303" s="129"/>
      <c r="G303" s="1"/>
      <c r="H303" s="163"/>
      <c r="I303" s="37"/>
      <c r="J303" s="138"/>
      <c r="K303" s="114"/>
      <c r="L303" s="37"/>
      <c r="M303" s="37"/>
      <c r="N303" s="37"/>
      <c r="O303" s="132"/>
      <c r="P303" s="134"/>
      <c r="Q303" s="261"/>
      <c r="R303" s="94"/>
    </row>
    <row r="304" spans="3:18" x14ac:dyDescent="0.25">
      <c r="C304" s="279"/>
      <c r="D304" s="159"/>
      <c r="E304" s="40"/>
      <c r="F304" s="129"/>
      <c r="G304" s="1"/>
      <c r="H304" s="163"/>
      <c r="I304" s="37"/>
      <c r="J304" s="138"/>
      <c r="K304" s="114"/>
      <c r="L304" s="37"/>
      <c r="M304" s="37"/>
      <c r="N304" s="37"/>
      <c r="O304" s="132"/>
      <c r="P304" s="134"/>
      <c r="Q304" s="261"/>
      <c r="R304" s="94"/>
    </row>
    <row r="305" spans="3:18" x14ac:dyDescent="0.25">
      <c r="C305" s="279"/>
      <c r="D305" s="159"/>
      <c r="E305" s="40"/>
      <c r="F305" s="129"/>
      <c r="G305" s="1"/>
      <c r="H305" s="163"/>
      <c r="I305" s="37"/>
      <c r="J305" s="138"/>
      <c r="K305" s="114"/>
      <c r="L305" s="37"/>
      <c r="M305" s="37"/>
      <c r="N305" s="37"/>
      <c r="O305" s="132"/>
      <c r="P305" s="134"/>
      <c r="Q305" s="261"/>
      <c r="R305" s="94"/>
    </row>
    <row r="306" spans="3:18" x14ac:dyDescent="0.25">
      <c r="C306" s="279"/>
      <c r="D306" s="159"/>
      <c r="E306" s="40"/>
      <c r="F306" s="129"/>
      <c r="G306" s="1"/>
      <c r="H306" s="163"/>
      <c r="I306" s="37"/>
      <c r="J306" s="138"/>
      <c r="K306" s="114"/>
      <c r="L306" s="37"/>
      <c r="M306" s="37"/>
      <c r="N306" s="37"/>
      <c r="O306" s="132"/>
      <c r="P306" s="134"/>
      <c r="Q306" s="261"/>
      <c r="R306" s="94"/>
    </row>
    <row r="307" spans="3:18" x14ac:dyDescent="0.25">
      <c r="C307" s="279"/>
      <c r="D307" s="159"/>
      <c r="E307" s="40"/>
      <c r="F307" s="129"/>
      <c r="G307" s="1"/>
      <c r="H307" s="163"/>
      <c r="I307" s="37"/>
      <c r="J307" s="138"/>
      <c r="K307" s="114"/>
      <c r="L307" s="37"/>
      <c r="M307" s="37"/>
      <c r="N307" s="37"/>
      <c r="O307" s="132"/>
      <c r="P307" s="134"/>
      <c r="Q307" s="261"/>
      <c r="R307" s="94"/>
    </row>
    <row r="308" spans="3:18" x14ac:dyDescent="0.25">
      <c r="C308" s="279"/>
      <c r="D308" s="159"/>
      <c r="E308" s="40"/>
      <c r="F308" s="129"/>
      <c r="G308" s="1"/>
      <c r="H308" s="163"/>
      <c r="I308" s="37"/>
      <c r="J308" s="138"/>
      <c r="K308" s="114"/>
      <c r="L308" s="37"/>
      <c r="M308" s="37"/>
      <c r="N308" s="37"/>
      <c r="O308" s="132"/>
      <c r="P308" s="134"/>
      <c r="Q308" s="261"/>
      <c r="R308" s="94"/>
    </row>
    <row r="309" spans="3:18" x14ac:dyDescent="0.25">
      <c r="C309" s="279"/>
      <c r="D309" s="159"/>
      <c r="E309" s="40"/>
      <c r="F309" s="129"/>
      <c r="G309" s="1"/>
      <c r="H309" s="163"/>
      <c r="I309" s="37"/>
      <c r="J309" s="138"/>
      <c r="K309" s="114"/>
      <c r="L309" s="37"/>
      <c r="M309" s="37"/>
      <c r="N309" s="37"/>
      <c r="O309" s="132"/>
      <c r="P309" s="134"/>
      <c r="Q309" s="261"/>
      <c r="R309" s="94"/>
    </row>
    <row r="310" spans="3:18" x14ac:dyDescent="0.25">
      <c r="C310" s="279"/>
      <c r="D310" s="159"/>
      <c r="E310" s="40"/>
      <c r="F310" s="129"/>
      <c r="G310" s="1"/>
      <c r="H310" s="163"/>
      <c r="I310" s="37"/>
      <c r="J310" s="138"/>
      <c r="K310" s="114"/>
      <c r="L310" s="37"/>
      <c r="M310" s="37"/>
      <c r="N310" s="37"/>
      <c r="O310" s="132"/>
      <c r="P310" s="134"/>
      <c r="Q310" s="261"/>
      <c r="R310" s="94"/>
    </row>
    <row r="311" spans="3:18" x14ac:dyDescent="0.25">
      <c r="C311" s="279"/>
      <c r="D311" s="159"/>
      <c r="E311" s="40"/>
      <c r="F311" s="129"/>
      <c r="G311" s="1"/>
      <c r="H311" s="163"/>
      <c r="I311" s="37"/>
      <c r="J311" s="138"/>
      <c r="K311" s="114"/>
      <c r="L311" s="37"/>
      <c r="M311" s="37"/>
      <c r="N311" s="37"/>
      <c r="O311" s="132"/>
      <c r="P311" s="134"/>
      <c r="Q311" s="261"/>
      <c r="R311" s="94"/>
    </row>
    <row r="312" spans="3:18" x14ac:dyDescent="0.25">
      <c r="C312" s="279"/>
      <c r="D312" s="159"/>
      <c r="E312" s="40"/>
      <c r="F312" s="129"/>
      <c r="G312" s="1"/>
      <c r="H312" s="163"/>
      <c r="I312" s="37"/>
      <c r="J312" s="138"/>
      <c r="K312" s="114"/>
      <c r="L312" s="37"/>
      <c r="M312" s="37"/>
      <c r="N312" s="37"/>
      <c r="O312" s="132"/>
      <c r="P312" s="134"/>
      <c r="Q312" s="261"/>
      <c r="R312" s="94"/>
    </row>
    <row r="313" spans="3:18" x14ac:dyDescent="0.25">
      <c r="C313" s="279"/>
      <c r="D313" s="159"/>
      <c r="E313" s="40"/>
      <c r="F313" s="129"/>
      <c r="G313" s="1"/>
      <c r="H313" s="163"/>
      <c r="I313" s="37"/>
      <c r="J313" s="138"/>
      <c r="K313" s="114"/>
      <c r="L313" s="37"/>
      <c r="M313" s="37"/>
      <c r="N313" s="37"/>
      <c r="O313" s="132"/>
      <c r="P313" s="134"/>
      <c r="Q313" s="261"/>
      <c r="R313" s="94"/>
    </row>
    <row r="314" spans="3:18" x14ac:dyDescent="0.25">
      <c r="C314" s="279"/>
      <c r="D314" s="159"/>
      <c r="E314" s="40"/>
      <c r="F314" s="129"/>
      <c r="G314" s="1"/>
      <c r="H314" s="163"/>
      <c r="I314" s="37"/>
      <c r="J314" s="138"/>
      <c r="K314" s="114"/>
      <c r="L314" s="37"/>
      <c r="M314" s="37"/>
      <c r="N314" s="37"/>
      <c r="O314" s="132"/>
      <c r="P314" s="134"/>
      <c r="Q314" s="261"/>
      <c r="R314" s="94"/>
    </row>
    <row r="315" spans="3:18" x14ac:dyDescent="0.25">
      <c r="C315" s="279"/>
      <c r="D315" s="159"/>
      <c r="E315" s="40"/>
      <c r="F315" s="129"/>
      <c r="G315" s="1"/>
      <c r="H315" s="163"/>
      <c r="I315" s="37"/>
      <c r="J315" s="138"/>
      <c r="K315" s="114"/>
      <c r="L315" s="37"/>
      <c r="M315" s="37"/>
      <c r="N315" s="37"/>
      <c r="O315" s="132"/>
      <c r="P315" s="134"/>
      <c r="Q315" s="261"/>
      <c r="R315" s="94"/>
    </row>
    <row r="316" spans="3:18" x14ac:dyDescent="0.25">
      <c r="C316" s="279"/>
      <c r="D316" s="159"/>
      <c r="E316" s="40"/>
      <c r="F316" s="129"/>
      <c r="G316" s="1"/>
      <c r="H316" s="163"/>
      <c r="I316" s="37"/>
      <c r="J316" s="138"/>
      <c r="K316" s="114"/>
      <c r="L316" s="37"/>
      <c r="M316" s="37"/>
      <c r="N316" s="37"/>
      <c r="O316" s="132"/>
      <c r="P316" s="134"/>
      <c r="Q316" s="261"/>
      <c r="R316" s="94"/>
    </row>
    <row r="317" spans="3:18" x14ac:dyDescent="0.25">
      <c r="C317" s="279"/>
      <c r="D317" s="159"/>
      <c r="E317" s="40"/>
      <c r="F317" s="129"/>
      <c r="G317" s="1"/>
      <c r="H317" s="163"/>
      <c r="I317" s="37"/>
      <c r="J317" s="138"/>
      <c r="K317" s="114"/>
      <c r="L317" s="37"/>
      <c r="M317" s="37"/>
      <c r="N317" s="37"/>
      <c r="O317" s="132"/>
      <c r="P317" s="134"/>
      <c r="Q317" s="261"/>
      <c r="R317" s="94"/>
    </row>
    <row r="318" spans="3:18" x14ac:dyDescent="0.25">
      <c r="C318" s="279"/>
      <c r="D318" s="159"/>
      <c r="E318" s="40"/>
      <c r="F318" s="129"/>
      <c r="G318" s="1"/>
      <c r="H318" s="163"/>
      <c r="I318" s="37"/>
      <c r="J318" s="138"/>
      <c r="K318" s="114"/>
      <c r="L318" s="37"/>
      <c r="M318" s="37"/>
      <c r="N318" s="37"/>
      <c r="O318" s="132"/>
      <c r="P318" s="134"/>
      <c r="Q318" s="261"/>
      <c r="R318" s="94"/>
    </row>
    <row r="319" spans="3:18" x14ac:dyDescent="0.25">
      <c r="C319" s="279"/>
      <c r="D319" s="159"/>
      <c r="E319" s="40"/>
      <c r="F319" s="129"/>
      <c r="G319" s="1"/>
      <c r="H319" s="163"/>
      <c r="I319" s="37"/>
      <c r="J319" s="138"/>
      <c r="K319" s="114"/>
      <c r="L319" s="37"/>
      <c r="M319" s="37"/>
      <c r="N319" s="37"/>
      <c r="O319" s="132"/>
      <c r="P319" s="134"/>
      <c r="Q319" s="261"/>
      <c r="R319" s="94"/>
    </row>
    <row r="320" spans="3:18" x14ac:dyDescent="0.25">
      <c r="C320" s="279"/>
      <c r="D320" s="159"/>
      <c r="E320" s="40"/>
      <c r="F320" s="129"/>
      <c r="G320" s="1"/>
      <c r="H320" s="163"/>
      <c r="I320" s="37"/>
      <c r="J320" s="138"/>
      <c r="K320" s="114"/>
      <c r="L320" s="37"/>
      <c r="M320" s="37"/>
      <c r="N320" s="37"/>
      <c r="O320" s="132"/>
      <c r="P320" s="134"/>
      <c r="Q320" s="261"/>
      <c r="R320" s="94"/>
    </row>
    <row r="321" spans="3:18" x14ac:dyDescent="0.25">
      <c r="C321" s="279"/>
      <c r="D321" s="159"/>
      <c r="E321" s="40"/>
      <c r="F321" s="129"/>
      <c r="G321" s="1"/>
      <c r="H321" s="163"/>
      <c r="I321" s="37"/>
      <c r="J321" s="138"/>
      <c r="K321" s="114"/>
      <c r="L321" s="37"/>
      <c r="M321" s="37"/>
      <c r="N321" s="37"/>
      <c r="O321" s="132"/>
      <c r="P321" s="134"/>
      <c r="Q321" s="261"/>
      <c r="R321" s="94"/>
    </row>
    <row r="322" spans="3:18" x14ac:dyDescent="0.25">
      <c r="C322" s="279"/>
      <c r="D322" s="159"/>
      <c r="E322" s="40"/>
      <c r="F322" s="129"/>
      <c r="G322" s="1"/>
      <c r="H322" s="163"/>
      <c r="I322" s="37"/>
      <c r="J322" s="138"/>
      <c r="K322" s="114"/>
      <c r="L322" s="37"/>
      <c r="M322" s="37"/>
      <c r="N322" s="37"/>
      <c r="O322" s="132"/>
      <c r="P322" s="134"/>
      <c r="Q322" s="261"/>
      <c r="R322" s="94"/>
    </row>
    <row r="323" spans="3:18" x14ac:dyDescent="0.25">
      <c r="C323" s="279"/>
      <c r="D323" s="159"/>
      <c r="E323" s="40"/>
      <c r="F323" s="129"/>
      <c r="G323" s="1"/>
      <c r="H323" s="163"/>
      <c r="I323" s="37"/>
      <c r="J323" s="138"/>
      <c r="K323" s="114"/>
      <c r="L323" s="37"/>
      <c r="M323" s="37"/>
      <c r="N323" s="37"/>
      <c r="O323" s="132"/>
      <c r="P323" s="134"/>
      <c r="Q323" s="261"/>
      <c r="R323" s="94"/>
    </row>
    <row r="324" spans="3:18" x14ac:dyDescent="0.25">
      <c r="C324" s="279"/>
      <c r="D324" s="159"/>
      <c r="E324" s="40"/>
      <c r="F324" s="129"/>
      <c r="G324" s="1"/>
      <c r="H324" s="163"/>
      <c r="I324" s="37"/>
      <c r="J324" s="138"/>
      <c r="K324" s="114"/>
      <c r="L324" s="37"/>
      <c r="M324" s="37"/>
      <c r="N324" s="37"/>
      <c r="O324" s="132"/>
      <c r="P324" s="134"/>
      <c r="Q324" s="261"/>
      <c r="R324" s="94"/>
    </row>
    <row r="325" spans="3:18" x14ac:dyDescent="0.25">
      <c r="C325" s="279"/>
      <c r="D325" s="159"/>
      <c r="E325" s="40"/>
      <c r="F325" s="129"/>
      <c r="G325" s="1"/>
      <c r="H325" s="163"/>
      <c r="I325" s="37"/>
      <c r="J325" s="138"/>
      <c r="K325" s="114"/>
      <c r="L325" s="37"/>
      <c r="M325" s="37"/>
      <c r="N325" s="37"/>
      <c r="O325" s="132"/>
      <c r="P325" s="134"/>
      <c r="Q325" s="261"/>
      <c r="R325" s="94"/>
    </row>
    <row r="326" spans="3:18" x14ac:dyDescent="0.25">
      <c r="C326" s="279"/>
      <c r="D326" s="159"/>
      <c r="E326" s="40"/>
      <c r="F326" s="129"/>
      <c r="G326" s="1"/>
      <c r="H326" s="163"/>
      <c r="I326" s="37"/>
      <c r="J326" s="138"/>
      <c r="K326" s="114"/>
      <c r="L326" s="37"/>
      <c r="M326" s="37"/>
      <c r="N326" s="37"/>
      <c r="O326" s="132"/>
      <c r="P326" s="134"/>
      <c r="Q326" s="261"/>
      <c r="R326" s="94"/>
    </row>
    <row r="327" spans="3:18" x14ac:dyDescent="0.25">
      <c r="C327" s="279"/>
      <c r="D327" s="159"/>
      <c r="E327" s="40"/>
      <c r="F327" s="129"/>
      <c r="G327" s="1"/>
      <c r="H327" s="163"/>
      <c r="I327" s="37"/>
      <c r="J327" s="138"/>
      <c r="K327" s="114"/>
      <c r="L327" s="37"/>
      <c r="M327" s="37"/>
      <c r="N327" s="37"/>
      <c r="O327" s="132"/>
      <c r="P327" s="134"/>
      <c r="Q327" s="261"/>
      <c r="R327" s="94"/>
    </row>
    <row r="328" spans="3:18" x14ac:dyDescent="0.25">
      <c r="C328" s="279"/>
      <c r="D328" s="159"/>
      <c r="E328" s="40"/>
      <c r="F328" s="129"/>
      <c r="G328" s="1"/>
      <c r="H328" s="163"/>
      <c r="I328" s="37"/>
      <c r="J328" s="138"/>
      <c r="K328" s="114"/>
      <c r="L328" s="37"/>
      <c r="M328" s="37"/>
      <c r="N328" s="37"/>
      <c r="O328" s="132"/>
      <c r="P328" s="134"/>
      <c r="Q328" s="261"/>
      <c r="R328" s="94"/>
    </row>
    <row r="329" spans="3:18" x14ac:dyDescent="0.25">
      <c r="C329" s="279"/>
      <c r="D329" s="159"/>
      <c r="E329" s="40"/>
      <c r="F329" s="129"/>
      <c r="G329" s="1"/>
      <c r="H329" s="163"/>
      <c r="I329" s="37"/>
      <c r="J329" s="138"/>
      <c r="K329" s="114"/>
      <c r="L329" s="37"/>
      <c r="M329" s="37"/>
      <c r="N329" s="37"/>
      <c r="O329" s="132"/>
      <c r="P329" s="134"/>
      <c r="Q329" s="261"/>
      <c r="R329" s="94"/>
    </row>
    <row r="330" spans="3:18" x14ac:dyDescent="0.25">
      <c r="C330" s="279"/>
      <c r="D330" s="159"/>
      <c r="E330" s="40"/>
      <c r="F330" s="129"/>
      <c r="G330" s="1"/>
      <c r="H330" s="163"/>
      <c r="I330" s="37"/>
      <c r="J330" s="138"/>
      <c r="K330" s="114"/>
      <c r="L330" s="37"/>
      <c r="M330" s="37"/>
      <c r="N330" s="37"/>
      <c r="O330" s="132"/>
      <c r="P330" s="134"/>
      <c r="Q330" s="261"/>
      <c r="R330" s="94"/>
    </row>
    <row r="331" spans="3:18" x14ac:dyDescent="0.25">
      <c r="C331" s="279"/>
      <c r="D331" s="159"/>
      <c r="E331" s="40"/>
      <c r="F331" s="129"/>
      <c r="G331" s="1"/>
      <c r="H331" s="163"/>
      <c r="I331" s="37"/>
      <c r="J331" s="138"/>
      <c r="K331" s="114"/>
      <c r="L331" s="37"/>
      <c r="M331" s="37"/>
      <c r="N331" s="37"/>
      <c r="O331" s="132"/>
      <c r="P331" s="134"/>
      <c r="Q331" s="261"/>
      <c r="R331" s="94"/>
    </row>
    <row r="332" spans="3:18" x14ac:dyDescent="0.25">
      <c r="C332" s="279"/>
      <c r="D332" s="159"/>
      <c r="E332" s="40"/>
      <c r="F332" s="129"/>
      <c r="G332" s="1"/>
      <c r="H332" s="163"/>
      <c r="I332" s="37"/>
      <c r="J332" s="138"/>
      <c r="K332" s="114"/>
      <c r="L332" s="37"/>
      <c r="M332" s="37"/>
      <c r="N332" s="37"/>
      <c r="O332" s="132"/>
      <c r="P332" s="134"/>
      <c r="Q332" s="261"/>
      <c r="R332" s="94"/>
    </row>
    <row r="333" spans="3:18" x14ac:dyDescent="0.25">
      <c r="C333" s="279"/>
      <c r="D333" s="159"/>
      <c r="E333" s="40"/>
      <c r="F333" s="129"/>
      <c r="G333" s="1"/>
      <c r="H333" s="163"/>
      <c r="I333" s="37"/>
      <c r="J333" s="138"/>
      <c r="K333" s="114"/>
      <c r="L333" s="37"/>
      <c r="M333" s="37"/>
      <c r="N333" s="37"/>
      <c r="O333" s="132"/>
      <c r="P333" s="134"/>
      <c r="Q333" s="261"/>
      <c r="R333" s="94"/>
    </row>
    <row r="334" spans="3:18" x14ac:dyDescent="0.25">
      <c r="C334" s="279"/>
      <c r="D334" s="159"/>
      <c r="E334" s="40"/>
      <c r="F334" s="129"/>
      <c r="G334" s="1"/>
      <c r="H334" s="163"/>
      <c r="I334" s="37"/>
      <c r="J334" s="138"/>
      <c r="K334" s="114"/>
      <c r="L334" s="37"/>
      <c r="M334" s="37"/>
      <c r="N334" s="37"/>
      <c r="O334" s="132"/>
      <c r="P334" s="134"/>
      <c r="Q334" s="261"/>
      <c r="R334" s="94"/>
    </row>
    <row r="335" spans="3:18" x14ac:dyDescent="0.25">
      <c r="C335" s="279"/>
      <c r="D335" s="159"/>
      <c r="E335" s="40"/>
      <c r="F335" s="129"/>
      <c r="G335" s="1"/>
      <c r="H335" s="163"/>
      <c r="I335" s="37"/>
      <c r="J335" s="138"/>
      <c r="K335" s="114"/>
      <c r="L335" s="37"/>
      <c r="M335" s="37"/>
      <c r="N335" s="37"/>
      <c r="O335" s="132"/>
      <c r="P335" s="134"/>
      <c r="Q335" s="261"/>
      <c r="R335" s="94"/>
    </row>
    <row r="336" spans="3:18" x14ac:dyDescent="0.25">
      <c r="C336" s="279"/>
      <c r="D336" s="159"/>
      <c r="E336" s="40"/>
      <c r="F336" s="129"/>
      <c r="G336" s="1"/>
      <c r="H336" s="163"/>
      <c r="I336" s="37"/>
      <c r="J336" s="138"/>
      <c r="K336" s="114"/>
      <c r="L336" s="37"/>
      <c r="M336" s="37"/>
      <c r="N336" s="37"/>
      <c r="O336" s="132"/>
      <c r="P336" s="134"/>
      <c r="Q336" s="261"/>
      <c r="R336" s="94"/>
    </row>
    <row r="337" spans="3:18" x14ac:dyDescent="0.25">
      <c r="C337" s="279"/>
      <c r="D337" s="159"/>
      <c r="E337" s="40"/>
      <c r="F337" s="129"/>
      <c r="G337" s="1"/>
      <c r="H337" s="163"/>
      <c r="I337" s="37"/>
      <c r="J337" s="138"/>
      <c r="K337" s="114"/>
      <c r="L337" s="37"/>
      <c r="M337" s="37"/>
      <c r="N337" s="37"/>
      <c r="O337" s="132"/>
      <c r="P337" s="134"/>
      <c r="Q337" s="261"/>
      <c r="R337" s="94"/>
    </row>
    <row r="338" spans="3:18" x14ac:dyDescent="0.25">
      <c r="C338" s="279"/>
      <c r="D338" s="159"/>
      <c r="E338" s="40"/>
      <c r="F338" s="129"/>
      <c r="G338" s="1"/>
      <c r="H338" s="163"/>
      <c r="I338" s="37"/>
      <c r="J338" s="138"/>
      <c r="K338" s="114"/>
      <c r="L338" s="37"/>
      <c r="M338" s="37"/>
      <c r="N338" s="37"/>
      <c r="O338" s="132"/>
      <c r="P338" s="134"/>
      <c r="Q338" s="261"/>
      <c r="R338" s="94"/>
    </row>
    <row r="339" spans="3:18" x14ac:dyDescent="0.25">
      <c r="C339" s="279"/>
      <c r="D339" s="159"/>
      <c r="E339" s="40"/>
      <c r="F339" s="129"/>
      <c r="G339" s="1"/>
      <c r="H339" s="163"/>
      <c r="I339" s="37"/>
      <c r="J339" s="138"/>
      <c r="K339" s="114"/>
      <c r="L339" s="37"/>
      <c r="M339" s="37"/>
      <c r="N339" s="37"/>
      <c r="O339" s="132"/>
      <c r="P339" s="134"/>
      <c r="Q339" s="261"/>
      <c r="R339" s="94"/>
    </row>
    <row r="340" spans="3:18" x14ac:dyDescent="0.25">
      <c r="C340" s="279"/>
      <c r="D340" s="159"/>
      <c r="E340" s="40"/>
      <c r="F340" s="129"/>
      <c r="G340" s="1"/>
      <c r="H340" s="163"/>
      <c r="I340" s="37"/>
      <c r="J340" s="138"/>
      <c r="K340" s="114"/>
      <c r="L340" s="37"/>
      <c r="M340" s="37"/>
      <c r="N340" s="37"/>
      <c r="O340" s="132"/>
      <c r="P340" s="134"/>
      <c r="Q340" s="261"/>
      <c r="R340" s="94"/>
    </row>
    <row r="341" spans="3:18" x14ac:dyDescent="0.25">
      <c r="C341" s="279"/>
      <c r="D341" s="159"/>
      <c r="E341" s="40"/>
      <c r="F341" s="129"/>
      <c r="G341" s="1"/>
      <c r="H341" s="163"/>
      <c r="I341" s="37"/>
      <c r="J341" s="138"/>
      <c r="K341" s="114"/>
      <c r="L341" s="37"/>
      <c r="M341" s="37"/>
      <c r="N341" s="37"/>
      <c r="O341" s="132"/>
      <c r="P341" s="134"/>
      <c r="Q341" s="261"/>
      <c r="R341" s="94"/>
    </row>
    <row r="342" spans="3:18" x14ac:dyDescent="0.25">
      <c r="C342" s="279"/>
      <c r="D342" s="159"/>
      <c r="E342" s="40"/>
      <c r="F342" s="129"/>
      <c r="G342" s="1"/>
      <c r="H342" s="163"/>
      <c r="I342" s="37"/>
      <c r="J342" s="138"/>
      <c r="K342" s="114"/>
      <c r="L342" s="37"/>
      <c r="M342" s="37"/>
      <c r="N342" s="37"/>
      <c r="O342" s="132"/>
      <c r="P342" s="134"/>
      <c r="Q342" s="261"/>
      <c r="R342" s="94"/>
    </row>
    <row r="343" spans="3:18" x14ac:dyDescent="0.25">
      <c r="C343" s="279"/>
      <c r="D343" s="159"/>
      <c r="E343" s="40"/>
      <c r="F343" s="129"/>
      <c r="G343" s="1"/>
      <c r="H343" s="163"/>
      <c r="I343" s="37"/>
      <c r="J343" s="138"/>
      <c r="K343" s="114"/>
      <c r="L343" s="37"/>
      <c r="M343" s="37"/>
      <c r="N343" s="37"/>
      <c r="O343" s="132"/>
      <c r="P343" s="134"/>
      <c r="Q343" s="261"/>
      <c r="R343" s="94"/>
    </row>
    <row r="344" spans="3:18" x14ac:dyDescent="0.25">
      <c r="C344" s="279"/>
      <c r="D344" s="159"/>
      <c r="E344" s="40"/>
      <c r="F344" s="129"/>
      <c r="G344" s="1"/>
      <c r="H344" s="163"/>
      <c r="I344" s="37"/>
      <c r="J344" s="138"/>
      <c r="K344" s="114"/>
      <c r="L344" s="37"/>
      <c r="M344" s="37"/>
      <c r="N344" s="37"/>
      <c r="O344" s="132"/>
      <c r="P344" s="134"/>
      <c r="Q344" s="261"/>
      <c r="R344" s="94"/>
    </row>
    <row r="345" spans="3:18" x14ac:dyDescent="0.25">
      <c r="C345" s="279"/>
      <c r="D345" s="159"/>
      <c r="E345" s="40"/>
      <c r="F345" s="129"/>
      <c r="G345" s="1"/>
      <c r="H345" s="163"/>
      <c r="I345" s="37"/>
      <c r="J345" s="138"/>
      <c r="K345" s="114"/>
      <c r="L345" s="37"/>
      <c r="M345" s="37"/>
      <c r="N345" s="37"/>
      <c r="O345" s="132"/>
      <c r="P345" s="134"/>
      <c r="Q345" s="261"/>
      <c r="R345" s="94"/>
    </row>
    <row r="346" spans="3:18" x14ac:dyDescent="0.25">
      <c r="C346" s="279"/>
      <c r="D346" s="159"/>
      <c r="E346" s="40"/>
      <c r="F346" s="129"/>
      <c r="G346" s="1"/>
      <c r="H346" s="163"/>
      <c r="I346" s="37"/>
      <c r="J346" s="138"/>
      <c r="K346" s="114"/>
      <c r="L346" s="37"/>
      <c r="M346" s="37"/>
      <c r="N346" s="37"/>
      <c r="O346" s="132"/>
      <c r="P346" s="134"/>
      <c r="Q346" s="261"/>
      <c r="R346" s="94"/>
    </row>
    <row r="347" spans="3:18" x14ac:dyDescent="0.25">
      <c r="C347" s="279"/>
      <c r="D347" s="159"/>
      <c r="E347" s="40"/>
      <c r="F347" s="129"/>
      <c r="G347" s="1"/>
      <c r="H347" s="163"/>
      <c r="I347" s="37"/>
      <c r="J347" s="138"/>
      <c r="K347" s="114"/>
      <c r="L347" s="37"/>
      <c r="M347" s="37"/>
      <c r="N347" s="37"/>
      <c r="O347" s="132"/>
      <c r="P347" s="134"/>
      <c r="Q347" s="261"/>
      <c r="R347" s="94"/>
    </row>
    <row r="348" spans="3:18" x14ac:dyDescent="0.25">
      <c r="C348" s="279"/>
      <c r="D348" s="159"/>
      <c r="E348" s="40"/>
      <c r="F348" s="129"/>
      <c r="G348" s="1"/>
      <c r="H348" s="163"/>
      <c r="I348" s="37"/>
      <c r="J348" s="138"/>
      <c r="K348" s="114"/>
      <c r="L348" s="37"/>
      <c r="M348" s="37"/>
      <c r="N348" s="37"/>
      <c r="O348" s="132"/>
      <c r="P348" s="134"/>
      <c r="Q348" s="261"/>
      <c r="R348" s="94"/>
    </row>
    <row r="349" spans="3:18" x14ac:dyDescent="0.25">
      <c r="C349" s="279"/>
      <c r="D349" s="159"/>
      <c r="E349" s="40"/>
      <c r="F349" s="129"/>
      <c r="G349" s="1"/>
      <c r="H349" s="163"/>
      <c r="I349" s="37"/>
      <c r="J349" s="138"/>
      <c r="K349" s="114"/>
      <c r="L349" s="37"/>
      <c r="M349" s="37"/>
      <c r="N349" s="37"/>
      <c r="O349" s="132"/>
      <c r="P349" s="134"/>
      <c r="Q349" s="261"/>
      <c r="R349" s="94"/>
    </row>
    <row r="350" spans="3:18" x14ac:dyDescent="0.25">
      <c r="C350" s="279"/>
      <c r="D350" s="159"/>
      <c r="E350" s="40"/>
      <c r="F350" s="129"/>
      <c r="G350" s="1"/>
      <c r="H350" s="163"/>
      <c r="I350" s="37"/>
      <c r="J350" s="138"/>
      <c r="K350" s="114"/>
      <c r="L350" s="37"/>
      <c r="M350" s="37"/>
      <c r="N350" s="37"/>
      <c r="O350" s="132"/>
      <c r="P350" s="134"/>
      <c r="Q350" s="261"/>
      <c r="R350" s="94"/>
    </row>
    <row r="351" spans="3:18" x14ac:dyDescent="0.25">
      <c r="C351" s="279"/>
      <c r="D351" s="159"/>
      <c r="E351" s="40"/>
      <c r="F351" s="129"/>
      <c r="G351" s="1"/>
      <c r="H351" s="163"/>
      <c r="I351" s="37"/>
      <c r="J351" s="138"/>
      <c r="K351" s="114"/>
      <c r="L351" s="37"/>
      <c r="M351" s="37"/>
      <c r="N351" s="37"/>
      <c r="O351" s="132"/>
      <c r="P351" s="134"/>
      <c r="Q351" s="261"/>
      <c r="R351" s="94"/>
    </row>
    <row r="352" spans="3:18" x14ac:dyDescent="0.25">
      <c r="C352" s="279"/>
      <c r="D352" s="159"/>
      <c r="E352" s="40"/>
      <c r="F352" s="129"/>
      <c r="G352" s="1"/>
      <c r="H352" s="163"/>
      <c r="I352" s="37"/>
      <c r="J352" s="138"/>
      <c r="K352" s="114"/>
      <c r="L352" s="37"/>
      <c r="M352" s="37"/>
      <c r="N352" s="37"/>
      <c r="O352" s="132"/>
      <c r="P352" s="134"/>
      <c r="Q352" s="261"/>
      <c r="R352" s="94"/>
    </row>
    <row r="353" spans="3:18" x14ac:dyDescent="0.25">
      <c r="C353" s="279"/>
      <c r="D353" s="159"/>
      <c r="E353" s="40"/>
      <c r="F353" s="129"/>
      <c r="G353" s="1"/>
      <c r="H353" s="163"/>
      <c r="I353" s="37"/>
      <c r="J353" s="138"/>
      <c r="K353" s="114"/>
      <c r="L353" s="37"/>
      <c r="M353" s="37"/>
      <c r="N353" s="37"/>
      <c r="O353" s="132"/>
      <c r="P353" s="134"/>
      <c r="Q353" s="261"/>
      <c r="R353" s="94"/>
    </row>
    <row r="354" spans="3:18" x14ac:dyDescent="0.25">
      <c r="C354" s="279"/>
      <c r="D354" s="159"/>
      <c r="E354" s="40"/>
      <c r="F354" s="129"/>
      <c r="G354" s="1"/>
      <c r="H354" s="163"/>
      <c r="I354" s="37"/>
      <c r="J354" s="138"/>
      <c r="K354" s="114"/>
      <c r="L354" s="37"/>
      <c r="M354" s="37"/>
      <c r="N354" s="37"/>
      <c r="O354" s="132"/>
      <c r="P354" s="134"/>
      <c r="Q354" s="261"/>
      <c r="R354" s="94"/>
    </row>
    <row r="355" spans="3:18" x14ac:dyDescent="0.25">
      <c r="C355" s="279"/>
      <c r="D355" s="159"/>
      <c r="E355" s="40"/>
      <c r="F355" s="129"/>
      <c r="G355" s="1"/>
      <c r="H355" s="163"/>
      <c r="I355" s="37"/>
      <c r="J355" s="138"/>
      <c r="K355" s="114"/>
      <c r="L355" s="37"/>
      <c r="M355" s="37"/>
      <c r="N355" s="37"/>
      <c r="O355" s="132"/>
      <c r="P355" s="134"/>
      <c r="Q355" s="261"/>
      <c r="R355" s="94"/>
    </row>
    <row r="356" spans="3:18" x14ac:dyDescent="0.25">
      <c r="C356" s="279"/>
      <c r="D356" s="159"/>
      <c r="E356" s="40"/>
      <c r="F356" s="129"/>
      <c r="G356" s="1"/>
      <c r="H356" s="163"/>
      <c r="I356" s="37"/>
      <c r="J356" s="138"/>
      <c r="K356" s="114"/>
      <c r="L356" s="37"/>
      <c r="M356" s="37"/>
      <c r="N356" s="37"/>
      <c r="O356" s="132"/>
      <c r="P356" s="134"/>
      <c r="Q356" s="261"/>
      <c r="R356" s="94"/>
    </row>
    <row r="357" spans="3:18" x14ac:dyDescent="0.25">
      <c r="C357" s="279"/>
      <c r="D357" s="159"/>
      <c r="E357" s="40"/>
      <c r="F357" s="129"/>
      <c r="G357" s="1"/>
      <c r="H357" s="163"/>
      <c r="I357" s="37"/>
      <c r="J357" s="138"/>
      <c r="K357" s="114"/>
      <c r="L357" s="37"/>
      <c r="M357" s="37"/>
      <c r="N357" s="37"/>
      <c r="O357" s="132"/>
      <c r="P357" s="134"/>
      <c r="Q357" s="261"/>
      <c r="R357" s="94"/>
    </row>
    <row r="358" spans="3:18" x14ac:dyDescent="0.25">
      <c r="C358" s="279"/>
      <c r="D358" s="159"/>
      <c r="E358" s="40"/>
      <c r="F358" s="129"/>
      <c r="G358" s="1"/>
      <c r="H358" s="163"/>
      <c r="I358" s="37"/>
      <c r="J358" s="138"/>
      <c r="K358" s="114"/>
      <c r="L358" s="37"/>
      <c r="M358" s="37"/>
      <c r="N358" s="37"/>
      <c r="O358" s="132"/>
      <c r="P358" s="134"/>
      <c r="Q358" s="261"/>
      <c r="R358" s="94"/>
    </row>
    <row r="359" spans="3:18" x14ac:dyDescent="0.25">
      <c r="C359" s="279"/>
      <c r="D359" s="159"/>
      <c r="E359" s="40"/>
      <c r="F359" s="129"/>
      <c r="G359" s="1"/>
      <c r="H359" s="163"/>
      <c r="I359" s="37"/>
      <c r="J359" s="138"/>
      <c r="K359" s="114"/>
      <c r="L359" s="37"/>
      <c r="M359" s="37"/>
      <c r="N359" s="37"/>
      <c r="O359" s="132"/>
      <c r="P359" s="134"/>
      <c r="Q359" s="261"/>
      <c r="R359" s="94"/>
    </row>
    <row r="360" spans="3:18" x14ac:dyDescent="0.25">
      <c r="C360" s="279"/>
      <c r="D360" s="159"/>
      <c r="E360" s="40"/>
      <c r="F360" s="129"/>
      <c r="G360" s="1"/>
      <c r="H360" s="163"/>
      <c r="I360" s="37"/>
      <c r="J360" s="138"/>
      <c r="K360" s="114"/>
      <c r="L360" s="37"/>
      <c r="M360" s="37"/>
      <c r="N360" s="37"/>
      <c r="O360" s="132"/>
      <c r="P360" s="134"/>
      <c r="Q360" s="261"/>
      <c r="R360" s="94"/>
    </row>
    <row r="361" spans="3:18" x14ac:dyDescent="0.25">
      <c r="C361" s="279"/>
      <c r="D361" s="159"/>
      <c r="E361" s="40"/>
      <c r="F361" s="129"/>
      <c r="G361" s="1"/>
      <c r="H361" s="163"/>
      <c r="I361" s="37"/>
      <c r="J361" s="138"/>
      <c r="K361" s="114"/>
      <c r="L361" s="37"/>
      <c r="M361" s="37"/>
      <c r="N361" s="37"/>
      <c r="O361" s="132"/>
      <c r="P361" s="134"/>
      <c r="Q361" s="261"/>
      <c r="R361" s="94"/>
    </row>
    <row r="362" spans="3:18" x14ac:dyDescent="0.25">
      <c r="C362" s="279"/>
      <c r="D362" s="159"/>
      <c r="E362" s="40"/>
      <c r="F362" s="129"/>
      <c r="G362" s="1"/>
      <c r="H362" s="163"/>
      <c r="I362" s="37"/>
      <c r="J362" s="138"/>
      <c r="K362" s="114"/>
      <c r="L362" s="37"/>
      <c r="M362" s="37"/>
      <c r="N362" s="37"/>
      <c r="O362" s="132"/>
      <c r="P362" s="134"/>
      <c r="Q362" s="261"/>
      <c r="R362" s="94"/>
    </row>
    <row r="363" spans="3:18" x14ac:dyDescent="0.25">
      <c r="C363" s="279"/>
      <c r="D363" s="159"/>
      <c r="E363" s="40"/>
      <c r="F363" s="129"/>
      <c r="G363" s="1"/>
      <c r="H363" s="163"/>
      <c r="I363" s="37"/>
      <c r="J363" s="138"/>
      <c r="K363" s="114"/>
      <c r="L363" s="37"/>
      <c r="M363" s="37"/>
      <c r="N363" s="37"/>
      <c r="O363" s="132"/>
      <c r="P363" s="134"/>
      <c r="Q363" s="261"/>
      <c r="R363" s="94"/>
    </row>
    <row r="364" spans="3:18" x14ac:dyDescent="0.25">
      <c r="C364" s="279"/>
      <c r="D364" s="159"/>
      <c r="E364" s="40"/>
      <c r="F364" s="129"/>
      <c r="G364" s="1"/>
      <c r="H364" s="163"/>
      <c r="I364" s="37"/>
      <c r="J364" s="138"/>
      <c r="K364" s="114"/>
      <c r="L364" s="37"/>
      <c r="M364" s="37"/>
      <c r="N364" s="37"/>
      <c r="O364" s="132"/>
      <c r="P364" s="134"/>
      <c r="Q364" s="261"/>
      <c r="R364" s="94"/>
    </row>
    <row r="365" spans="3:18" x14ac:dyDescent="0.25">
      <c r="C365" s="279"/>
      <c r="D365" s="159"/>
      <c r="E365" s="40"/>
      <c r="F365" s="129"/>
      <c r="G365" s="1"/>
      <c r="H365" s="163"/>
      <c r="I365" s="37"/>
      <c r="J365" s="138"/>
      <c r="K365" s="114"/>
      <c r="L365" s="37"/>
      <c r="M365" s="37"/>
      <c r="N365" s="37"/>
      <c r="O365" s="132"/>
      <c r="P365" s="134"/>
      <c r="Q365" s="261"/>
      <c r="R365" s="94"/>
    </row>
    <row r="366" spans="3:18" x14ac:dyDescent="0.25">
      <c r="C366" s="279"/>
      <c r="D366" s="159"/>
      <c r="E366" s="40"/>
      <c r="F366" s="129"/>
      <c r="G366" s="1"/>
      <c r="H366" s="163"/>
      <c r="I366" s="37"/>
      <c r="J366" s="138"/>
      <c r="K366" s="114"/>
      <c r="L366" s="37"/>
      <c r="M366" s="37"/>
      <c r="N366" s="37"/>
      <c r="O366" s="132"/>
      <c r="P366" s="134"/>
      <c r="Q366" s="261"/>
      <c r="R366" s="94"/>
    </row>
    <row r="367" spans="3:18" x14ac:dyDescent="0.25">
      <c r="C367" s="279"/>
      <c r="D367" s="159"/>
      <c r="E367" s="40"/>
      <c r="F367" s="129"/>
      <c r="G367" s="1"/>
      <c r="H367" s="163"/>
      <c r="I367" s="37"/>
      <c r="J367" s="138"/>
      <c r="K367" s="114"/>
      <c r="L367" s="37"/>
      <c r="M367" s="37"/>
      <c r="N367" s="37"/>
      <c r="O367" s="132"/>
      <c r="P367" s="134"/>
      <c r="Q367" s="261"/>
      <c r="R367" s="94"/>
    </row>
    <row r="368" spans="3:18" x14ac:dyDescent="0.25">
      <c r="C368" s="279"/>
      <c r="D368" s="159"/>
      <c r="E368" s="40"/>
      <c r="F368" s="129"/>
      <c r="G368" s="1"/>
      <c r="H368" s="163"/>
      <c r="I368" s="37"/>
      <c r="J368" s="138"/>
      <c r="K368" s="114"/>
      <c r="L368" s="37"/>
      <c r="M368" s="37"/>
      <c r="N368" s="37"/>
      <c r="O368" s="132"/>
      <c r="P368" s="134"/>
      <c r="Q368" s="261"/>
      <c r="R368" s="94"/>
    </row>
    <row r="369" spans="3:18" x14ac:dyDescent="0.25">
      <c r="C369" s="279"/>
      <c r="D369" s="159"/>
      <c r="E369" s="40"/>
      <c r="F369" s="129"/>
      <c r="G369" s="1"/>
      <c r="H369" s="163"/>
      <c r="I369" s="37"/>
      <c r="J369" s="138"/>
      <c r="K369" s="114"/>
      <c r="L369" s="37"/>
      <c r="M369" s="37"/>
      <c r="N369" s="37"/>
      <c r="O369" s="132"/>
      <c r="P369" s="134"/>
      <c r="Q369" s="261"/>
      <c r="R369" s="94"/>
    </row>
    <row r="370" spans="3:18" x14ac:dyDescent="0.25">
      <c r="C370" s="279"/>
      <c r="D370" s="159"/>
      <c r="E370" s="40"/>
      <c r="F370" s="129"/>
      <c r="G370" s="1"/>
      <c r="H370" s="163"/>
      <c r="I370" s="37"/>
      <c r="J370" s="138"/>
      <c r="K370" s="114"/>
      <c r="L370" s="37"/>
      <c r="M370" s="37"/>
      <c r="N370" s="37"/>
      <c r="O370" s="132"/>
      <c r="P370" s="134"/>
      <c r="Q370" s="261"/>
      <c r="R370" s="94"/>
    </row>
    <row r="371" spans="3:18" x14ac:dyDescent="0.25">
      <c r="C371" s="279"/>
      <c r="D371" s="159"/>
      <c r="E371" s="40"/>
      <c r="F371" s="129"/>
      <c r="G371" s="1"/>
      <c r="H371" s="163"/>
      <c r="I371" s="37"/>
      <c r="J371" s="138"/>
      <c r="K371" s="114"/>
      <c r="L371" s="37"/>
      <c r="M371" s="37"/>
      <c r="N371" s="37"/>
      <c r="O371" s="132"/>
      <c r="P371" s="134"/>
      <c r="Q371" s="261"/>
      <c r="R371" s="94"/>
    </row>
    <row r="372" spans="3:18" x14ac:dyDescent="0.25">
      <c r="C372" s="279"/>
      <c r="D372" s="159"/>
      <c r="E372" s="40"/>
      <c r="F372" s="129"/>
      <c r="G372" s="1"/>
      <c r="H372" s="163"/>
      <c r="I372" s="37"/>
      <c r="J372" s="138"/>
      <c r="K372" s="114"/>
      <c r="L372" s="37"/>
      <c r="M372" s="37"/>
      <c r="N372" s="37"/>
      <c r="O372" s="132"/>
      <c r="P372" s="134"/>
      <c r="Q372" s="261"/>
      <c r="R372" s="94"/>
    </row>
    <row r="373" spans="3:18" x14ac:dyDescent="0.25">
      <c r="C373" s="279"/>
      <c r="D373" s="159"/>
      <c r="E373" s="40"/>
      <c r="F373" s="129"/>
      <c r="G373" s="1"/>
      <c r="H373" s="163"/>
      <c r="I373" s="37"/>
      <c r="J373" s="138"/>
      <c r="K373" s="114"/>
      <c r="L373" s="37"/>
      <c r="M373" s="37"/>
      <c r="N373" s="37"/>
      <c r="O373" s="132"/>
      <c r="P373" s="134"/>
      <c r="Q373" s="261"/>
      <c r="R373" s="94"/>
    </row>
    <row r="374" spans="3:18" x14ac:dyDescent="0.25">
      <c r="C374" s="279"/>
      <c r="D374" s="159"/>
      <c r="E374" s="40"/>
      <c r="F374" s="129"/>
      <c r="G374" s="1"/>
      <c r="H374" s="163"/>
      <c r="I374" s="37"/>
      <c r="J374" s="138"/>
      <c r="K374" s="114"/>
      <c r="L374" s="37"/>
      <c r="M374" s="37"/>
      <c r="N374" s="37"/>
      <c r="O374" s="132"/>
      <c r="P374" s="134"/>
      <c r="Q374" s="261"/>
      <c r="R374" s="94"/>
    </row>
    <row r="375" spans="3:18" x14ac:dyDescent="0.25">
      <c r="C375" s="279"/>
      <c r="D375" s="159"/>
      <c r="E375" s="40"/>
      <c r="F375" s="129"/>
      <c r="G375" s="1"/>
      <c r="H375" s="163"/>
      <c r="I375" s="37"/>
      <c r="J375" s="138"/>
      <c r="K375" s="114"/>
      <c r="L375" s="37"/>
      <c r="M375" s="37"/>
      <c r="N375" s="37"/>
      <c r="O375" s="132"/>
      <c r="P375" s="134"/>
      <c r="Q375" s="261"/>
      <c r="R375" s="94"/>
    </row>
    <row r="376" spans="3:18" x14ac:dyDescent="0.25">
      <c r="C376" s="279"/>
      <c r="D376" s="159"/>
      <c r="E376" s="40"/>
      <c r="F376" s="129"/>
      <c r="G376" s="1"/>
      <c r="H376" s="163"/>
      <c r="I376" s="37"/>
      <c r="J376" s="138"/>
      <c r="K376" s="114"/>
      <c r="L376" s="37"/>
      <c r="M376" s="37"/>
      <c r="N376" s="37"/>
      <c r="O376" s="132"/>
      <c r="P376" s="134"/>
      <c r="Q376" s="261"/>
      <c r="R376" s="94"/>
    </row>
    <row r="377" spans="3:18" x14ac:dyDescent="0.25">
      <c r="C377" s="279"/>
      <c r="D377" s="159"/>
      <c r="E377" s="40"/>
      <c r="F377" s="129"/>
      <c r="G377" s="1"/>
      <c r="H377" s="163"/>
      <c r="I377" s="37"/>
      <c r="J377" s="138"/>
      <c r="K377" s="114"/>
      <c r="L377" s="37"/>
      <c r="M377" s="37"/>
      <c r="N377" s="37"/>
      <c r="O377" s="132"/>
      <c r="P377" s="134"/>
      <c r="Q377" s="261"/>
      <c r="R377" s="94"/>
    </row>
    <row r="378" spans="3:18" x14ac:dyDescent="0.25">
      <c r="C378" s="279"/>
      <c r="D378" s="159"/>
      <c r="E378" s="40"/>
      <c r="F378" s="129"/>
      <c r="G378" s="1"/>
      <c r="H378" s="163"/>
      <c r="I378" s="37"/>
      <c r="J378" s="138"/>
      <c r="K378" s="114"/>
      <c r="L378" s="37"/>
      <c r="M378" s="37"/>
      <c r="N378" s="37"/>
      <c r="O378" s="132"/>
      <c r="P378" s="134"/>
      <c r="Q378" s="261"/>
      <c r="R378" s="94"/>
    </row>
    <row r="379" spans="3:18" x14ac:dyDescent="0.25">
      <c r="C379" s="279"/>
      <c r="D379" s="159"/>
      <c r="E379" s="40"/>
      <c r="F379" s="129"/>
      <c r="G379" s="1"/>
      <c r="H379" s="163"/>
      <c r="I379" s="37"/>
      <c r="J379" s="138"/>
      <c r="K379" s="114"/>
      <c r="L379" s="37"/>
      <c r="M379" s="37"/>
      <c r="N379" s="37"/>
      <c r="O379" s="132"/>
      <c r="P379" s="134"/>
      <c r="Q379" s="261"/>
      <c r="R379" s="94"/>
    </row>
    <row r="380" spans="3:18" x14ac:dyDescent="0.25">
      <c r="C380" s="279"/>
      <c r="D380" s="159"/>
      <c r="E380" s="40"/>
      <c r="F380" s="129"/>
      <c r="G380" s="1"/>
      <c r="H380" s="163"/>
      <c r="I380" s="37"/>
      <c r="J380" s="138"/>
      <c r="K380" s="114"/>
      <c r="L380" s="37"/>
      <c r="M380" s="37"/>
      <c r="N380" s="37"/>
      <c r="O380" s="132"/>
      <c r="P380" s="134"/>
      <c r="Q380" s="261"/>
      <c r="R380" s="94"/>
    </row>
    <row r="381" spans="3:18" x14ac:dyDescent="0.25">
      <c r="C381" s="279"/>
      <c r="D381" s="159"/>
      <c r="E381" s="40"/>
      <c r="F381" s="129"/>
      <c r="G381" s="1"/>
      <c r="H381" s="163"/>
      <c r="I381" s="37"/>
      <c r="J381" s="138"/>
      <c r="K381" s="114"/>
      <c r="L381" s="37"/>
      <c r="M381" s="37"/>
      <c r="N381" s="37"/>
      <c r="O381" s="132"/>
      <c r="P381" s="134"/>
      <c r="Q381" s="261"/>
      <c r="R381" s="94"/>
    </row>
    <row r="382" spans="3:18" x14ac:dyDescent="0.25">
      <c r="C382" s="279"/>
      <c r="D382" s="159"/>
      <c r="E382" s="40"/>
      <c r="F382" s="129"/>
      <c r="G382" s="1"/>
      <c r="H382" s="163"/>
      <c r="I382" s="37"/>
      <c r="J382" s="138"/>
      <c r="K382" s="114"/>
      <c r="L382" s="37"/>
      <c r="M382" s="37"/>
      <c r="N382" s="37"/>
      <c r="O382" s="132"/>
      <c r="P382" s="134"/>
      <c r="Q382" s="261"/>
      <c r="R382" s="94"/>
    </row>
    <row r="383" spans="3:18" x14ac:dyDescent="0.25">
      <c r="C383" s="279"/>
      <c r="D383" s="159"/>
      <c r="E383" s="40"/>
      <c r="F383" s="129"/>
      <c r="G383" s="1"/>
      <c r="H383" s="163"/>
      <c r="I383" s="37"/>
      <c r="J383" s="138"/>
      <c r="K383" s="114"/>
      <c r="L383" s="37"/>
      <c r="M383" s="37"/>
      <c r="N383" s="37"/>
      <c r="O383" s="132"/>
      <c r="P383" s="134"/>
      <c r="Q383" s="261"/>
      <c r="R383" s="94"/>
    </row>
    <row r="384" spans="3:18" x14ac:dyDescent="0.25">
      <c r="C384" s="279"/>
      <c r="D384" s="159"/>
      <c r="E384" s="40"/>
      <c r="F384" s="129"/>
      <c r="G384" s="1"/>
      <c r="H384" s="163"/>
      <c r="I384" s="37"/>
      <c r="J384" s="138"/>
      <c r="K384" s="114"/>
      <c r="L384" s="37"/>
      <c r="M384" s="37"/>
      <c r="N384" s="37"/>
      <c r="O384" s="132"/>
      <c r="P384" s="134"/>
      <c r="Q384" s="261"/>
      <c r="R384" s="94"/>
    </row>
    <row r="385" spans="3:18" x14ac:dyDescent="0.25">
      <c r="C385" s="279"/>
      <c r="D385" s="159"/>
      <c r="E385" s="40"/>
      <c r="F385" s="129"/>
      <c r="G385" s="1"/>
      <c r="H385" s="163"/>
      <c r="I385" s="37"/>
      <c r="J385" s="138"/>
      <c r="K385" s="114"/>
      <c r="L385" s="37"/>
      <c r="M385" s="37"/>
      <c r="N385" s="37"/>
      <c r="O385" s="132"/>
      <c r="P385" s="134"/>
      <c r="Q385" s="261"/>
      <c r="R385" s="94"/>
    </row>
    <row r="386" spans="3:18" x14ac:dyDescent="0.25">
      <c r="C386" s="279"/>
      <c r="D386" s="159"/>
      <c r="E386" s="40"/>
      <c r="F386" s="129"/>
      <c r="G386" s="1"/>
      <c r="H386" s="163"/>
      <c r="I386" s="37"/>
      <c r="J386" s="138"/>
      <c r="K386" s="114"/>
      <c r="L386" s="37"/>
      <c r="M386" s="37"/>
      <c r="N386" s="37"/>
      <c r="O386" s="132"/>
      <c r="P386" s="134"/>
      <c r="Q386" s="261"/>
      <c r="R386" s="94"/>
    </row>
    <row r="387" spans="3:18" x14ac:dyDescent="0.25">
      <c r="C387" s="279"/>
      <c r="D387" s="159"/>
      <c r="E387" s="40"/>
      <c r="F387" s="129"/>
      <c r="G387" s="1"/>
      <c r="H387" s="163"/>
      <c r="I387" s="37"/>
      <c r="J387" s="138"/>
      <c r="K387" s="114"/>
      <c r="L387" s="37"/>
      <c r="M387" s="37"/>
      <c r="N387" s="37"/>
      <c r="O387" s="132"/>
      <c r="P387" s="134"/>
      <c r="Q387" s="261"/>
      <c r="R387" s="94"/>
    </row>
    <row r="388" spans="3:18" x14ac:dyDescent="0.25">
      <c r="C388" s="279"/>
      <c r="D388" s="159"/>
      <c r="E388" s="40"/>
      <c r="F388" s="129"/>
      <c r="G388" s="1"/>
      <c r="H388" s="163"/>
      <c r="I388" s="37"/>
      <c r="J388" s="138"/>
      <c r="K388" s="114"/>
      <c r="L388" s="37"/>
      <c r="M388" s="37"/>
      <c r="N388" s="37"/>
      <c r="O388" s="132"/>
      <c r="P388" s="134"/>
      <c r="Q388" s="261"/>
      <c r="R388" s="94"/>
    </row>
    <row r="389" spans="3:18" x14ac:dyDescent="0.25">
      <c r="C389" s="279"/>
      <c r="D389" s="159"/>
      <c r="E389" s="40"/>
      <c r="F389" s="129"/>
      <c r="G389" s="1"/>
      <c r="H389" s="163"/>
      <c r="I389" s="37"/>
      <c r="J389" s="138"/>
      <c r="K389" s="114"/>
      <c r="L389" s="37"/>
      <c r="M389" s="37"/>
      <c r="N389" s="37"/>
      <c r="O389" s="132"/>
      <c r="P389" s="134"/>
      <c r="Q389" s="261"/>
      <c r="R389" s="94"/>
    </row>
    <row r="390" spans="3:18" x14ac:dyDescent="0.25">
      <c r="C390" s="279"/>
      <c r="D390" s="159"/>
      <c r="E390" s="40"/>
      <c r="F390" s="129"/>
      <c r="G390" s="1"/>
      <c r="H390" s="163"/>
      <c r="I390" s="37"/>
      <c r="J390" s="138"/>
      <c r="K390" s="114"/>
      <c r="L390" s="37"/>
      <c r="M390" s="37"/>
      <c r="N390" s="37"/>
      <c r="O390" s="132"/>
      <c r="P390" s="134"/>
      <c r="Q390" s="261"/>
      <c r="R390" s="94"/>
    </row>
    <row r="391" spans="3:18" x14ac:dyDescent="0.25">
      <c r="C391" s="279"/>
      <c r="D391" s="159"/>
      <c r="E391" s="40"/>
      <c r="F391" s="129"/>
      <c r="G391" s="1"/>
      <c r="H391" s="163"/>
      <c r="I391" s="37"/>
      <c r="J391" s="138"/>
      <c r="K391" s="114"/>
      <c r="L391" s="37"/>
      <c r="M391" s="37"/>
      <c r="N391" s="37"/>
      <c r="O391" s="132"/>
      <c r="P391" s="134"/>
      <c r="Q391" s="261"/>
      <c r="R391" s="94"/>
    </row>
    <row r="392" spans="3:18" x14ac:dyDescent="0.25">
      <c r="C392" s="279"/>
      <c r="D392" s="159"/>
      <c r="E392" s="40"/>
      <c r="F392" s="129"/>
      <c r="G392" s="1"/>
      <c r="H392" s="163"/>
      <c r="I392" s="37"/>
      <c r="J392" s="138"/>
      <c r="K392" s="114"/>
      <c r="L392" s="37"/>
      <c r="M392" s="37"/>
      <c r="N392" s="37"/>
      <c r="O392" s="132"/>
      <c r="P392" s="134"/>
      <c r="Q392" s="261"/>
      <c r="R392" s="94"/>
    </row>
    <row r="393" spans="3:18" x14ac:dyDescent="0.25">
      <c r="C393" s="279"/>
      <c r="D393" s="159"/>
      <c r="E393" s="40"/>
      <c r="F393" s="129"/>
      <c r="G393" s="1"/>
      <c r="H393" s="163"/>
      <c r="I393" s="37"/>
      <c r="J393" s="138"/>
      <c r="K393" s="114"/>
      <c r="L393" s="37"/>
      <c r="M393" s="37"/>
      <c r="N393" s="37"/>
      <c r="O393" s="132"/>
      <c r="P393" s="134"/>
      <c r="Q393" s="261"/>
      <c r="R393" s="94"/>
    </row>
    <row r="394" spans="3:18" x14ac:dyDescent="0.25">
      <c r="C394" s="279"/>
      <c r="D394" s="159"/>
      <c r="E394" s="40"/>
      <c r="F394" s="129"/>
      <c r="G394" s="1"/>
      <c r="H394" s="163"/>
      <c r="I394" s="37"/>
      <c r="J394" s="138"/>
      <c r="K394" s="114"/>
      <c r="L394" s="37"/>
      <c r="M394" s="37"/>
      <c r="N394" s="37"/>
      <c r="O394" s="132"/>
      <c r="P394" s="134"/>
      <c r="Q394" s="261"/>
      <c r="R394" s="94"/>
    </row>
    <row r="395" spans="3:18" x14ac:dyDescent="0.25">
      <c r="C395" s="279"/>
      <c r="D395" s="159"/>
      <c r="E395" s="40"/>
      <c r="F395" s="129"/>
      <c r="G395" s="1"/>
      <c r="H395" s="163"/>
      <c r="I395" s="37"/>
      <c r="J395" s="138"/>
      <c r="K395" s="114"/>
      <c r="L395" s="37"/>
      <c r="M395" s="37"/>
      <c r="N395" s="37"/>
      <c r="O395" s="132"/>
      <c r="P395" s="134"/>
      <c r="Q395" s="261"/>
      <c r="R395" s="94"/>
    </row>
    <row r="396" spans="3:18" x14ac:dyDescent="0.25">
      <c r="C396" s="279"/>
      <c r="D396" s="159"/>
      <c r="E396" s="40"/>
      <c r="F396" s="129"/>
      <c r="G396" s="1"/>
      <c r="H396" s="163"/>
      <c r="I396" s="37"/>
      <c r="J396" s="138"/>
      <c r="K396" s="114"/>
      <c r="L396" s="37"/>
      <c r="M396" s="37"/>
      <c r="N396" s="37"/>
      <c r="O396" s="132"/>
      <c r="P396" s="134"/>
      <c r="Q396" s="261"/>
      <c r="R396" s="94"/>
    </row>
    <row r="397" spans="3:18" x14ac:dyDescent="0.25">
      <c r="C397" s="279"/>
      <c r="D397" s="159"/>
      <c r="E397" s="40"/>
      <c r="F397" s="129"/>
      <c r="G397" s="1"/>
      <c r="H397" s="163"/>
      <c r="I397" s="37"/>
      <c r="J397" s="138"/>
      <c r="K397" s="114"/>
      <c r="L397" s="37"/>
      <c r="M397" s="37"/>
      <c r="N397" s="37"/>
      <c r="O397" s="132"/>
      <c r="P397" s="134"/>
      <c r="Q397" s="261"/>
      <c r="R397" s="94"/>
    </row>
    <row r="398" spans="3:18" x14ac:dyDescent="0.25">
      <c r="C398" s="279"/>
      <c r="D398" s="159"/>
      <c r="E398" s="40"/>
      <c r="F398" s="129"/>
      <c r="G398" s="1"/>
      <c r="H398" s="163"/>
      <c r="I398" s="37"/>
      <c r="J398" s="138"/>
      <c r="K398" s="114"/>
      <c r="L398" s="37"/>
      <c r="M398" s="37"/>
      <c r="N398" s="37"/>
      <c r="O398" s="132"/>
      <c r="P398" s="134"/>
      <c r="Q398" s="261"/>
      <c r="R398" s="94"/>
    </row>
    <row r="399" spans="3:18" x14ac:dyDescent="0.25">
      <c r="C399" s="279"/>
      <c r="D399" s="159"/>
      <c r="E399" s="40"/>
      <c r="F399" s="129"/>
      <c r="G399" s="1"/>
      <c r="H399" s="163"/>
      <c r="I399" s="37"/>
      <c r="J399" s="138"/>
      <c r="K399" s="114"/>
      <c r="L399" s="37"/>
      <c r="M399" s="37"/>
      <c r="N399" s="37"/>
      <c r="O399" s="132"/>
      <c r="P399" s="134"/>
      <c r="Q399" s="261"/>
      <c r="R399" s="94"/>
    </row>
    <row r="400" spans="3:18" x14ac:dyDescent="0.25">
      <c r="C400" s="279"/>
      <c r="D400" s="159"/>
      <c r="E400" s="40"/>
      <c r="F400" s="129"/>
      <c r="G400" s="1"/>
      <c r="H400" s="163"/>
      <c r="I400" s="37"/>
      <c r="J400" s="138"/>
      <c r="K400" s="114"/>
      <c r="L400" s="37"/>
      <c r="M400" s="37"/>
      <c r="N400" s="37"/>
      <c r="O400" s="132"/>
      <c r="P400" s="134"/>
      <c r="Q400" s="261"/>
      <c r="R400" s="94"/>
    </row>
    <row r="401" spans="3:18" x14ac:dyDescent="0.25">
      <c r="C401" s="279"/>
      <c r="D401" s="159"/>
      <c r="E401" s="40"/>
      <c r="F401" s="129"/>
      <c r="G401" s="1"/>
      <c r="H401" s="163"/>
      <c r="I401" s="37"/>
      <c r="J401" s="138"/>
      <c r="K401" s="114"/>
      <c r="L401" s="37"/>
      <c r="M401" s="37"/>
      <c r="N401" s="37"/>
      <c r="O401" s="132"/>
      <c r="P401" s="134"/>
      <c r="Q401" s="261"/>
      <c r="R401" s="94"/>
    </row>
    <row r="402" spans="3:18" x14ac:dyDescent="0.25">
      <c r="C402" s="279"/>
      <c r="D402" s="159"/>
      <c r="E402" s="40"/>
      <c r="F402" s="129"/>
      <c r="G402" s="1"/>
      <c r="H402" s="163"/>
      <c r="I402" s="37"/>
      <c r="J402" s="138"/>
      <c r="K402" s="114"/>
      <c r="L402" s="37"/>
      <c r="M402" s="37"/>
      <c r="N402" s="37"/>
      <c r="O402" s="132"/>
      <c r="P402" s="134"/>
      <c r="Q402" s="261"/>
      <c r="R402" s="94"/>
    </row>
    <row r="403" spans="3:18" x14ac:dyDescent="0.25">
      <c r="C403" s="279"/>
      <c r="D403" s="159"/>
      <c r="E403" s="40"/>
      <c r="F403" s="129"/>
      <c r="G403" s="1"/>
      <c r="H403" s="163"/>
      <c r="I403" s="37"/>
      <c r="J403" s="138"/>
      <c r="K403" s="114"/>
      <c r="L403" s="37"/>
      <c r="M403" s="37"/>
      <c r="N403" s="37"/>
      <c r="O403" s="132"/>
      <c r="P403" s="134"/>
      <c r="Q403" s="261"/>
      <c r="R403" s="94"/>
    </row>
    <row r="404" spans="3:18" x14ac:dyDescent="0.25">
      <c r="C404" s="279"/>
      <c r="D404" s="159"/>
      <c r="E404" s="40"/>
      <c r="F404" s="129"/>
      <c r="G404" s="1"/>
      <c r="H404" s="163"/>
      <c r="I404" s="37"/>
      <c r="J404" s="138"/>
      <c r="K404" s="114"/>
      <c r="L404" s="37"/>
      <c r="M404" s="37"/>
      <c r="N404" s="37"/>
      <c r="O404" s="132"/>
      <c r="P404" s="134"/>
      <c r="Q404" s="261"/>
      <c r="R404" s="94"/>
    </row>
    <row r="405" spans="3:18" x14ac:dyDescent="0.25">
      <c r="C405" s="279"/>
      <c r="D405" s="159"/>
      <c r="E405" s="40"/>
      <c r="F405" s="129"/>
      <c r="G405" s="1"/>
      <c r="H405" s="163"/>
      <c r="I405" s="37"/>
      <c r="J405" s="138"/>
      <c r="K405" s="114"/>
      <c r="L405" s="37"/>
      <c r="M405" s="37"/>
      <c r="N405" s="37"/>
      <c r="O405" s="132"/>
      <c r="P405" s="134"/>
      <c r="Q405" s="261"/>
      <c r="R405" s="94"/>
    </row>
    <row r="406" spans="3:18" x14ac:dyDescent="0.25">
      <c r="C406" s="279"/>
      <c r="D406" s="159"/>
      <c r="E406" s="40"/>
      <c r="F406" s="129"/>
      <c r="G406" s="1"/>
      <c r="H406" s="163"/>
      <c r="I406" s="37"/>
      <c r="J406" s="138"/>
      <c r="K406" s="114"/>
      <c r="L406" s="37"/>
      <c r="M406" s="37"/>
      <c r="N406" s="37"/>
      <c r="O406" s="132"/>
      <c r="P406" s="134"/>
      <c r="Q406" s="261"/>
      <c r="R406" s="94"/>
    </row>
    <row r="407" spans="3:18" x14ac:dyDescent="0.25">
      <c r="C407" s="279"/>
      <c r="D407" s="159"/>
      <c r="E407" s="40"/>
      <c r="F407" s="129"/>
      <c r="G407" s="1"/>
      <c r="H407" s="163"/>
      <c r="I407" s="37"/>
      <c r="J407" s="138"/>
      <c r="K407" s="114"/>
      <c r="L407" s="37"/>
      <c r="M407" s="37"/>
      <c r="N407" s="37"/>
      <c r="O407" s="132"/>
      <c r="P407" s="134"/>
      <c r="Q407" s="261"/>
      <c r="R407" s="94"/>
    </row>
    <row r="408" spans="3:18" x14ac:dyDescent="0.25">
      <c r="C408" s="279"/>
      <c r="D408" s="159"/>
      <c r="E408" s="40"/>
      <c r="F408" s="129"/>
      <c r="G408" s="1"/>
      <c r="H408" s="163"/>
      <c r="I408" s="37"/>
      <c r="J408" s="138"/>
      <c r="K408" s="114"/>
      <c r="L408" s="37"/>
      <c r="M408" s="37"/>
      <c r="N408" s="37"/>
      <c r="O408" s="132"/>
      <c r="P408" s="134"/>
      <c r="Q408" s="261"/>
      <c r="R408" s="94"/>
    </row>
    <row r="409" spans="3:18" x14ac:dyDescent="0.25">
      <c r="C409" s="279"/>
      <c r="D409" s="159"/>
      <c r="E409" s="40"/>
      <c r="F409" s="129"/>
      <c r="G409" s="1"/>
      <c r="H409" s="163"/>
      <c r="I409" s="37"/>
      <c r="J409" s="138"/>
      <c r="K409" s="114"/>
      <c r="L409" s="37"/>
      <c r="M409" s="37"/>
      <c r="N409" s="37"/>
      <c r="O409" s="132"/>
      <c r="P409" s="134"/>
      <c r="Q409" s="261"/>
      <c r="R409" s="94"/>
    </row>
    <row r="410" spans="3:18" x14ac:dyDescent="0.25">
      <c r="C410" s="279"/>
      <c r="D410" s="159"/>
      <c r="E410" s="40"/>
      <c r="F410" s="129"/>
      <c r="G410" s="1"/>
      <c r="H410" s="163"/>
      <c r="I410" s="37"/>
      <c r="J410" s="138"/>
      <c r="K410" s="114"/>
      <c r="L410" s="37"/>
      <c r="M410" s="37"/>
      <c r="N410" s="37"/>
      <c r="O410" s="132"/>
      <c r="P410" s="134"/>
      <c r="Q410" s="261"/>
      <c r="R410" s="94"/>
    </row>
    <row r="411" spans="3:18" x14ac:dyDescent="0.25">
      <c r="C411" s="279"/>
      <c r="D411" s="159"/>
      <c r="E411" s="40"/>
      <c r="F411" s="129"/>
      <c r="G411" s="1"/>
      <c r="H411" s="163"/>
      <c r="I411" s="37"/>
      <c r="J411" s="138"/>
      <c r="K411" s="114"/>
      <c r="L411" s="37"/>
      <c r="M411" s="37"/>
      <c r="N411" s="37"/>
      <c r="O411" s="132"/>
      <c r="P411" s="134"/>
      <c r="Q411" s="261"/>
      <c r="R411" s="94"/>
    </row>
    <row r="412" spans="3:18" x14ac:dyDescent="0.25">
      <c r="C412" s="279"/>
      <c r="D412" s="159"/>
      <c r="E412" s="40"/>
      <c r="F412" s="129"/>
      <c r="G412" s="1"/>
      <c r="H412" s="163"/>
      <c r="I412" s="37"/>
      <c r="J412" s="138"/>
      <c r="K412" s="114"/>
      <c r="L412" s="37"/>
      <c r="M412" s="37"/>
      <c r="N412" s="37"/>
      <c r="O412" s="132"/>
      <c r="P412" s="134"/>
      <c r="Q412" s="261"/>
      <c r="R412" s="94"/>
    </row>
    <row r="413" spans="3:18" x14ac:dyDescent="0.25">
      <c r="C413" s="279"/>
      <c r="D413" s="159"/>
      <c r="E413" s="40"/>
      <c r="F413" s="129"/>
      <c r="G413" s="1"/>
      <c r="H413" s="163"/>
      <c r="I413" s="37"/>
      <c r="J413" s="138"/>
      <c r="K413" s="114"/>
      <c r="L413" s="37"/>
      <c r="M413" s="37"/>
      <c r="N413" s="37"/>
      <c r="O413" s="132"/>
      <c r="P413" s="134"/>
      <c r="Q413" s="261"/>
      <c r="R413" s="94"/>
    </row>
    <row r="414" spans="3:18" x14ac:dyDescent="0.25">
      <c r="C414" s="279"/>
      <c r="D414" s="159"/>
      <c r="E414" s="40"/>
      <c r="F414" s="129"/>
      <c r="G414" s="1"/>
      <c r="H414" s="163"/>
      <c r="I414" s="37"/>
      <c r="J414" s="138"/>
      <c r="K414" s="114"/>
      <c r="L414" s="37"/>
      <c r="M414" s="37"/>
      <c r="N414" s="37"/>
      <c r="O414" s="132"/>
      <c r="P414" s="134"/>
      <c r="Q414" s="261"/>
      <c r="R414" s="94"/>
    </row>
    <row r="415" spans="3:18" x14ac:dyDescent="0.25">
      <c r="C415" s="279"/>
      <c r="D415" s="159"/>
      <c r="E415" s="40"/>
      <c r="F415" s="129"/>
      <c r="G415" s="1"/>
      <c r="H415" s="163"/>
      <c r="I415" s="37"/>
      <c r="J415" s="138"/>
      <c r="K415" s="114"/>
      <c r="L415" s="37"/>
      <c r="M415" s="37"/>
      <c r="N415" s="37"/>
      <c r="O415" s="132"/>
      <c r="P415" s="134"/>
      <c r="Q415" s="261"/>
      <c r="R415" s="94"/>
    </row>
    <row r="416" spans="3:18" x14ac:dyDescent="0.25">
      <c r="C416" s="279"/>
      <c r="D416" s="159"/>
      <c r="E416" s="40"/>
      <c r="F416" s="129"/>
      <c r="G416" s="1"/>
      <c r="H416" s="163"/>
      <c r="I416" s="37"/>
      <c r="J416" s="138"/>
      <c r="K416" s="114"/>
      <c r="L416" s="37"/>
      <c r="M416" s="37"/>
      <c r="N416" s="37"/>
      <c r="O416" s="132"/>
      <c r="P416" s="134"/>
      <c r="Q416" s="261"/>
      <c r="R416" s="94"/>
    </row>
    <row r="417" spans="3:18" x14ac:dyDescent="0.25">
      <c r="C417" s="279"/>
      <c r="D417" s="159"/>
      <c r="E417" s="40"/>
      <c r="F417" s="129"/>
      <c r="G417" s="1"/>
      <c r="H417" s="163"/>
      <c r="I417" s="37"/>
      <c r="J417" s="138"/>
      <c r="K417" s="114"/>
      <c r="L417" s="37"/>
      <c r="M417" s="37"/>
      <c r="N417" s="37"/>
      <c r="O417" s="132"/>
      <c r="P417" s="134"/>
      <c r="Q417" s="261"/>
      <c r="R417" s="94"/>
    </row>
    <row r="418" spans="3:18" x14ac:dyDescent="0.25">
      <c r="C418" s="279"/>
      <c r="D418" s="159"/>
      <c r="E418" s="40"/>
      <c r="F418" s="129"/>
      <c r="G418" s="1"/>
      <c r="H418" s="163"/>
      <c r="I418" s="37"/>
      <c r="J418" s="138"/>
      <c r="K418" s="114"/>
      <c r="L418" s="37"/>
      <c r="M418" s="37"/>
      <c r="N418" s="37"/>
      <c r="O418" s="132"/>
      <c r="P418" s="134"/>
      <c r="Q418" s="261"/>
      <c r="R418" s="94"/>
    </row>
    <row r="419" spans="3:18" x14ac:dyDescent="0.25">
      <c r="C419" s="279"/>
      <c r="D419" s="159"/>
      <c r="E419" s="40"/>
      <c r="F419" s="129"/>
      <c r="G419" s="1"/>
      <c r="H419" s="163"/>
      <c r="I419" s="37"/>
      <c r="J419" s="138"/>
      <c r="K419" s="114"/>
      <c r="L419" s="37"/>
      <c r="M419" s="37"/>
      <c r="N419" s="37"/>
      <c r="O419" s="132"/>
      <c r="P419" s="134"/>
      <c r="Q419" s="261"/>
      <c r="R419" s="94"/>
    </row>
    <row r="420" spans="3:18" x14ac:dyDescent="0.25">
      <c r="C420" s="279"/>
      <c r="D420" s="159"/>
      <c r="E420" s="40"/>
      <c r="F420" s="129"/>
      <c r="G420" s="1"/>
      <c r="H420" s="163"/>
      <c r="I420" s="37"/>
      <c r="J420" s="138"/>
      <c r="K420" s="114"/>
      <c r="L420" s="37"/>
      <c r="M420" s="37"/>
      <c r="N420" s="37"/>
      <c r="O420" s="132"/>
      <c r="P420" s="134"/>
      <c r="Q420" s="261"/>
      <c r="R420" s="94"/>
    </row>
    <row r="421" spans="3:18" x14ac:dyDescent="0.25">
      <c r="C421" s="279"/>
      <c r="D421" s="159"/>
      <c r="E421" s="40"/>
      <c r="F421" s="129"/>
      <c r="G421" s="1"/>
      <c r="H421" s="163"/>
      <c r="I421" s="37"/>
      <c r="J421" s="138"/>
      <c r="K421" s="114"/>
      <c r="L421" s="37"/>
      <c r="M421" s="37"/>
      <c r="N421" s="37"/>
      <c r="O421" s="132"/>
      <c r="P421" s="134"/>
      <c r="Q421" s="261"/>
      <c r="R421" s="94"/>
    </row>
    <row r="422" spans="3:18" x14ac:dyDescent="0.25">
      <c r="C422" s="279"/>
      <c r="D422" s="159"/>
      <c r="E422" s="40"/>
      <c r="F422" s="129"/>
      <c r="G422" s="1"/>
      <c r="H422" s="163"/>
      <c r="I422" s="37"/>
      <c r="J422" s="138"/>
      <c r="K422" s="114"/>
      <c r="L422" s="37"/>
      <c r="M422" s="37"/>
      <c r="N422" s="37"/>
      <c r="O422" s="132"/>
      <c r="P422" s="134"/>
      <c r="Q422" s="261"/>
      <c r="R422" s="94"/>
    </row>
    <row r="423" spans="3:18" x14ac:dyDescent="0.25">
      <c r="C423" s="279"/>
      <c r="D423" s="159"/>
      <c r="E423" s="40"/>
      <c r="F423" s="129"/>
      <c r="G423" s="1"/>
      <c r="H423" s="163"/>
      <c r="I423" s="37"/>
      <c r="J423" s="138"/>
      <c r="K423" s="114"/>
      <c r="L423" s="37"/>
      <c r="M423" s="37"/>
      <c r="N423" s="37"/>
      <c r="O423" s="132"/>
      <c r="P423" s="134"/>
      <c r="Q423" s="261"/>
      <c r="R423" s="94"/>
    </row>
    <row r="424" spans="3:18" x14ac:dyDescent="0.25">
      <c r="C424" s="279"/>
      <c r="D424" s="159"/>
      <c r="E424" s="40"/>
      <c r="F424" s="129"/>
      <c r="G424" s="1"/>
      <c r="H424" s="163"/>
      <c r="I424" s="37"/>
      <c r="J424" s="138"/>
      <c r="K424" s="114"/>
      <c r="L424" s="37"/>
      <c r="M424" s="37"/>
      <c r="N424" s="37"/>
      <c r="O424" s="132"/>
      <c r="P424" s="134"/>
      <c r="Q424" s="261"/>
      <c r="R424" s="94"/>
    </row>
    <row r="425" spans="3:18" x14ac:dyDescent="0.25">
      <c r="C425" s="279"/>
      <c r="D425" s="159"/>
      <c r="E425" s="40"/>
      <c r="F425" s="129"/>
      <c r="G425" s="1"/>
      <c r="H425" s="163"/>
      <c r="I425" s="37"/>
      <c r="J425" s="138"/>
      <c r="K425" s="114"/>
      <c r="L425" s="37"/>
      <c r="M425" s="37"/>
      <c r="N425" s="37"/>
      <c r="O425" s="132"/>
      <c r="P425" s="134"/>
      <c r="Q425" s="261"/>
      <c r="R425" s="94"/>
    </row>
    <row r="426" spans="3:18" x14ac:dyDescent="0.25">
      <c r="C426" s="279"/>
      <c r="D426" s="159"/>
      <c r="E426" s="40"/>
      <c r="F426" s="129"/>
      <c r="G426" s="1"/>
      <c r="H426" s="163"/>
      <c r="I426" s="37"/>
      <c r="J426" s="138"/>
      <c r="K426" s="114"/>
      <c r="L426" s="37"/>
      <c r="M426" s="37"/>
      <c r="N426" s="37"/>
      <c r="O426" s="132"/>
      <c r="P426" s="134"/>
      <c r="Q426" s="261"/>
      <c r="R426" s="94"/>
    </row>
    <row r="427" spans="3:18" x14ac:dyDescent="0.25">
      <c r="C427" s="279"/>
      <c r="D427" s="159"/>
      <c r="E427" s="40"/>
      <c r="F427" s="129"/>
      <c r="G427" s="1"/>
      <c r="H427" s="163"/>
      <c r="I427" s="37"/>
      <c r="J427" s="138"/>
      <c r="K427" s="114"/>
      <c r="L427" s="37"/>
      <c r="M427" s="37"/>
      <c r="N427" s="37"/>
      <c r="O427" s="132"/>
      <c r="P427" s="134"/>
      <c r="Q427" s="261"/>
      <c r="R427" s="94"/>
    </row>
    <row r="428" spans="3:18" x14ac:dyDescent="0.25">
      <c r="C428" s="279"/>
      <c r="D428" s="159"/>
      <c r="E428" s="40"/>
      <c r="F428" s="129"/>
      <c r="G428" s="1"/>
      <c r="H428" s="163"/>
      <c r="I428" s="37"/>
      <c r="J428" s="138"/>
      <c r="K428" s="114"/>
      <c r="L428" s="37"/>
      <c r="M428" s="37"/>
      <c r="N428" s="37"/>
      <c r="O428" s="132"/>
      <c r="P428" s="134"/>
      <c r="Q428" s="261"/>
      <c r="R428" s="94"/>
    </row>
    <row r="429" spans="3:18" x14ac:dyDescent="0.25">
      <c r="C429" s="279"/>
      <c r="D429" s="159"/>
      <c r="E429" s="40"/>
      <c r="F429" s="129"/>
      <c r="G429" s="1"/>
      <c r="H429" s="163"/>
      <c r="I429" s="37"/>
      <c r="J429" s="138"/>
      <c r="K429" s="114"/>
      <c r="L429" s="37"/>
      <c r="M429" s="37"/>
      <c r="N429" s="37"/>
      <c r="O429" s="132"/>
      <c r="P429" s="134"/>
      <c r="Q429" s="261"/>
      <c r="R429" s="94"/>
    </row>
    <row r="430" spans="3:18" x14ac:dyDescent="0.25">
      <c r="C430" s="279"/>
      <c r="D430" s="159"/>
      <c r="E430" s="40"/>
      <c r="F430" s="129"/>
      <c r="G430" s="1"/>
      <c r="H430" s="163"/>
      <c r="I430" s="37"/>
      <c r="J430" s="138"/>
      <c r="K430" s="114"/>
      <c r="L430" s="37"/>
      <c r="M430" s="37"/>
      <c r="N430" s="37"/>
      <c r="O430" s="132"/>
      <c r="P430" s="134"/>
      <c r="Q430" s="261"/>
      <c r="R430" s="94"/>
    </row>
    <row r="431" spans="3:18" x14ac:dyDescent="0.25">
      <c r="C431" s="279"/>
      <c r="D431" s="159"/>
      <c r="E431" s="40"/>
      <c r="F431" s="129"/>
      <c r="G431" s="1"/>
      <c r="H431" s="163"/>
      <c r="I431" s="37"/>
      <c r="J431" s="138"/>
      <c r="K431" s="114"/>
      <c r="L431" s="37"/>
      <c r="M431" s="37"/>
      <c r="N431" s="37"/>
      <c r="O431" s="132"/>
      <c r="P431" s="134"/>
      <c r="Q431" s="261"/>
      <c r="R431" s="94"/>
    </row>
    <row r="432" spans="3:18" x14ac:dyDescent="0.25">
      <c r="C432" s="279"/>
      <c r="D432" s="159"/>
      <c r="E432" s="40"/>
      <c r="F432" s="129"/>
      <c r="G432" s="1"/>
      <c r="H432" s="163"/>
      <c r="I432" s="37"/>
      <c r="J432" s="138"/>
      <c r="K432" s="114"/>
      <c r="L432" s="37"/>
      <c r="M432" s="37"/>
      <c r="N432" s="37"/>
      <c r="O432" s="132"/>
      <c r="P432" s="134"/>
      <c r="Q432" s="261"/>
      <c r="R432" s="94"/>
    </row>
    <row r="433" spans="3:18" x14ac:dyDescent="0.25">
      <c r="C433" s="279"/>
      <c r="D433" s="159"/>
      <c r="E433" s="40"/>
      <c r="F433" s="129"/>
      <c r="G433" s="1"/>
      <c r="H433" s="163"/>
      <c r="I433" s="37"/>
      <c r="J433" s="138"/>
      <c r="K433" s="114"/>
      <c r="L433" s="37"/>
      <c r="M433" s="37"/>
      <c r="N433" s="37"/>
      <c r="O433" s="132"/>
      <c r="P433" s="134"/>
      <c r="Q433" s="261"/>
      <c r="R433" s="94"/>
    </row>
    <row r="434" spans="3:18" x14ac:dyDescent="0.25">
      <c r="C434" s="279"/>
      <c r="D434" s="159"/>
      <c r="E434" s="40"/>
      <c r="F434" s="129"/>
      <c r="G434" s="1"/>
      <c r="H434" s="163"/>
      <c r="I434" s="37"/>
      <c r="J434" s="138"/>
      <c r="K434" s="114"/>
      <c r="L434" s="37"/>
      <c r="M434" s="37"/>
      <c r="N434" s="37"/>
      <c r="O434" s="132"/>
      <c r="P434" s="134"/>
      <c r="Q434" s="261"/>
      <c r="R434" s="94"/>
    </row>
    <row r="435" spans="3:18" x14ac:dyDescent="0.25">
      <c r="C435" s="279"/>
      <c r="D435" s="159"/>
      <c r="E435" s="40"/>
      <c r="F435" s="129"/>
      <c r="G435" s="1"/>
      <c r="H435" s="163"/>
      <c r="I435" s="37"/>
      <c r="J435" s="138"/>
      <c r="K435" s="114"/>
      <c r="L435" s="37"/>
      <c r="M435" s="37"/>
      <c r="N435" s="37"/>
      <c r="O435" s="132"/>
      <c r="P435" s="134"/>
      <c r="Q435" s="261"/>
      <c r="R435" s="94"/>
    </row>
    <row r="436" spans="3:18" x14ac:dyDescent="0.25">
      <c r="C436" s="279"/>
      <c r="D436" s="159"/>
      <c r="E436" s="40"/>
      <c r="F436" s="129"/>
      <c r="G436" s="1"/>
      <c r="H436" s="163"/>
      <c r="I436" s="37"/>
      <c r="J436" s="138"/>
      <c r="K436" s="114"/>
      <c r="L436" s="37"/>
      <c r="M436" s="37"/>
      <c r="N436" s="37"/>
      <c r="O436" s="132"/>
      <c r="P436" s="134"/>
      <c r="Q436" s="261"/>
      <c r="R436" s="94"/>
    </row>
    <row r="437" spans="3:18" x14ac:dyDescent="0.25">
      <c r="C437" s="279"/>
      <c r="D437" s="159"/>
      <c r="E437" s="40"/>
      <c r="F437" s="129"/>
      <c r="G437" s="1"/>
      <c r="H437" s="163"/>
      <c r="I437" s="37"/>
      <c r="J437" s="138"/>
      <c r="K437" s="114"/>
      <c r="L437" s="37"/>
      <c r="M437" s="37"/>
      <c r="N437" s="37"/>
      <c r="O437" s="132"/>
      <c r="P437" s="134"/>
      <c r="Q437" s="261"/>
      <c r="R437" s="94"/>
    </row>
    <row r="438" spans="3:18" x14ac:dyDescent="0.25">
      <c r="C438" s="279"/>
      <c r="D438" s="159"/>
      <c r="E438" s="40"/>
      <c r="F438" s="129"/>
      <c r="G438" s="1"/>
      <c r="H438" s="163"/>
      <c r="I438" s="37"/>
      <c r="J438" s="138"/>
      <c r="K438" s="114"/>
      <c r="L438" s="37"/>
      <c r="M438" s="37"/>
      <c r="N438" s="37"/>
      <c r="O438" s="132"/>
      <c r="P438" s="134"/>
      <c r="Q438" s="261"/>
      <c r="R438" s="94"/>
    </row>
    <row r="439" spans="3:18" x14ac:dyDescent="0.25">
      <c r="C439" s="279"/>
      <c r="D439" s="159"/>
      <c r="E439" s="40"/>
      <c r="F439" s="129"/>
      <c r="G439" s="1"/>
      <c r="H439" s="163"/>
      <c r="I439" s="37"/>
      <c r="J439" s="138"/>
      <c r="K439" s="114"/>
      <c r="L439" s="37"/>
      <c r="M439" s="37"/>
      <c r="N439" s="37"/>
      <c r="O439" s="132"/>
      <c r="P439" s="134"/>
      <c r="Q439" s="261"/>
      <c r="R439" s="94"/>
    </row>
    <row r="440" spans="3:18" x14ac:dyDescent="0.25">
      <c r="C440" s="279"/>
      <c r="D440" s="159"/>
      <c r="E440" s="40"/>
      <c r="F440" s="129"/>
      <c r="G440" s="1"/>
      <c r="H440" s="163"/>
      <c r="I440" s="37"/>
      <c r="J440" s="138"/>
      <c r="K440" s="114"/>
      <c r="L440" s="37"/>
      <c r="M440" s="37"/>
      <c r="N440" s="37"/>
      <c r="O440" s="132"/>
      <c r="P440" s="134"/>
      <c r="Q440" s="261"/>
      <c r="R440" s="94"/>
    </row>
    <row r="441" spans="3:18" x14ac:dyDescent="0.25">
      <c r="C441" s="279"/>
      <c r="D441" s="159"/>
      <c r="E441" s="40"/>
      <c r="F441" s="129"/>
      <c r="G441" s="1"/>
      <c r="H441" s="163"/>
      <c r="I441" s="37"/>
      <c r="J441" s="138"/>
      <c r="K441" s="114"/>
      <c r="L441" s="37"/>
      <c r="M441" s="37"/>
      <c r="N441" s="37"/>
      <c r="O441" s="132"/>
      <c r="P441" s="134"/>
      <c r="Q441" s="261"/>
      <c r="R441" s="94"/>
    </row>
    <row r="442" spans="3:18" x14ac:dyDescent="0.25">
      <c r="C442" s="279"/>
      <c r="D442" s="159"/>
      <c r="E442" s="40"/>
      <c r="F442" s="129"/>
      <c r="G442" s="1"/>
      <c r="H442" s="163"/>
      <c r="I442" s="37"/>
      <c r="J442" s="138"/>
      <c r="K442" s="114"/>
      <c r="L442" s="37"/>
      <c r="M442" s="37"/>
      <c r="N442" s="37"/>
      <c r="O442" s="132"/>
      <c r="P442" s="134"/>
      <c r="Q442" s="261"/>
      <c r="R442" s="94"/>
    </row>
    <row r="443" spans="3:18" x14ac:dyDescent="0.25">
      <c r="C443" s="279"/>
      <c r="D443" s="159"/>
      <c r="E443" s="40"/>
      <c r="F443" s="129"/>
      <c r="G443" s="1"/>
      <c r="H443" s="163"/>
      <c r="I443" s="37"/>
      <c r="J443" s="138"/>
      <c r="K443" s="114"/>
      <c r="L443" s="37"/>
      <c r="M443" s="37"/>
      <c r="N443" s="37"/>
      <c r="O443" s="132"/>
      <c r="P443" s="134"/>
      <c r="Q443" s="261"/>
      <c r="R443" s="94"/>
    </row>
    <row r="444" spans="3:18" x14ac:dyDescent="0.25">
      <c r="C444" s="279"/>
      <c r="D444" s="159"/>
      <c r="E444" s="40"/>
      <c r="F444" s="129"/>
      <c r="G444" s="1"/>
      <c r="H444" s="163"/>
      <c r="I444" s="37"/>
      <c r="J444" s="138"/>
      <c r="K444" s="114"/>
      <c r="L444" s="37"/>
      <c r="M444" s="37"/>
      <c r="N444" s="37"/>
      <c r="O444" s="132"/>
      <c r="P444" s="134"/>
      <c r="Q444" s="261"/>
      <c r="R444" s="94"/>
    </row>
    <row r="445" spans="3:18" x14ac:dyDescent="0.25">
      <c r="C445" s="279"/>
      <c r="D445" s="159"/>
      <c r="E445" s="40"/>
      <c r="F445" s="129"/>
      <c r="G445" s="1"/>
      <c r="H445" s="163"/>
      <c r="I445" s="37"/>
      <c r="J445" s="138"/>
      <c r="K445" s="114"/>
      <c r="L445" s="37"/>
      <c r="M445" s="37"/>
      <c r="N445" s="37"/>
      <c r="O445" s="132"/>
      <c r="P445" s="134"/>
      <c r="Q445" s="261"/>
      <c r="R445" s="94"/>
    </row>
    <row r="446" spans="3:18" x14ac:dyDescent="0.25">
      <c r="C446" s="279"/>
      <c r="D446" s="159"/>
      <c r="E446" s="40"/>
      <c r="F446" s="129"/>
      <c r="G446" s="1"/>
      <c r="H446" s="163"/>
      <c r="I446" s="37"/>
      <c r="J446" s="138"/>
      <c r="K446" s="114"/>
      <c r="L446" s="37"/>
      <c r="M446" s="37"/>
      <c r="N446" s="37"/>
      <c r="O446" s="132"/>
      <c r="P446" s="134"/>
      <c r="Q446" s="261"/>
      <c r="R446" s="94"/>
    </row>
    <row r="447" spans="3:18" x14ac:dyDescent="0.25">
      <c r="C447" s="279"/>
      <c r="D447" s="159"/>
      <c r="E447" s="40"/>
      <c r="F447" s="129"/>
      <c r="G447" s="1"/>
      <c r="H447" s="163"/>
      <c r="I447" s="37"/>
      <c r="J447" s="138"/>
      <c r="K447" s="114"/>
      <c r="L447" s="37"/>
      <c r="M447" s="37"/>
      <c r="N447" s="37"/>
      <c r="O447" s="132"/>
      <c r="P447" s="134"/>
      <c r="Q447" s="261"/>
      <c r="R447" s="94"/>
    </row>
    <row r="448" spans="3:18" x14ac:dyDescent="0.25">
      <c r="C448" s="279"/>
      <c r="D448" s="159"/>
      <c r="E448" s="40"/>
      <c r="F448" s="129"/>
      <c r="G448" s="1"/>
      <c r="H448" s="163"/>
      <c r="I448" s="37"/>
      <c r="J448" s="138"/>
      <c r="K448" s="114"/>
      <c r="L448" s="37"/>
      <c r="M448" s="37"/>
      <c r="N448" s="37"/>
      <c r="O448" s="132"/>
      <c r="P448" s="134"/>
      <c r="Q448" s="261"/>
      <c r="R448" s="94"/>
    </row>
    <row r="449" spans="3:18" x14ac:dyDescent="0.25">
      <c r="C449" s="279"/>
      <c r="D449" s="159"/>
      <c r="E449" s="40"/>
      <c r="F449" s="129"/>
      <c r="G449" s="1"/>
      <c r="H449" s="163"/>
      <c r="I449" s="37"/>
      <c r="J449" s="138"/>
      <c r="K449" s="114"/>
      <c r="L449" s="37"/>
      <c r="M449" s="37"/>
      <c r="N449" s="37"/>
      <c r="O449" s="132"/>
      <c r="P449" s="134"/>
      <c r="Q449" s="261"/>
      <c r="R449" s="94"/>
    </row>
    <row r="450" spans="3:18" x14ac:dyDescent="0.25">
      <c r="C450" s="279"/>
      <c r="D450" s="159"/>
      <c r="E450" s="40"/>
      <c r="F450" s="129"/>
      <c r="G450" s="1"/>
      <c r="H450" s="163"/>
      <c r="I450" s="37"/>
      <c r="J450" s="138"/>
      <c r="K450" s="114"/>
      <c r="L450" s="37"/>
      <c r="M450" s="37"/>
      <c r="N450" s="37"/>
      <c r="O450" s="132"/>
      <c r="P450" s="134"/>
      <c r="Q450" s="261"/>
      <c r="R450" s="94"/>
    </row>
    <row r="451" spans="3:18" x14ac:dyDescent="0.25">
      <c r="C451" s="279"/>
      <c r="D451" s="159"/>
      <c r="E451" s="40"/>
      <c r="F451" s="129"/>
      <c r="G451" s="1"/>
      <c r="H451" s="163"/>
      <c r="I451" s="37"/>
      <c r="J451" s="138"/>
      <c r="K451" s="114"/>
      <c r="L451" s="37"/>
      <c r="M451" s="37"/>
      <c r="N451" s="37"/>
      <c r="O451" s="132"/>
      <c r="P451" s="134"/>
      <c r="Q451" s="261"/>
      <c r="R451" s="94"/>
    </row>
    <row r="452" spans="3:18" x14ac:dyDescent="0.25">
      <c r="C452" s="279"/>
      <c r="D452" s="159"/>
      <c r="E452" s="40"/>
      <c r="F452" s="129"/>
      <c r="G452" s="1"/>
      <c r="H452" s="163"/>
      <c r="I452" s="37"/>
      <c r="J452" s="138"/>
      <c r="K452" s="114"/>
      <c r="L452" s="37"/>
      <c r="M452" s="37"/>
      <c r="N452" s="37"/>
      <c r="O452" s="132"/>
      <c r="P452" s="134"/>
      <c r="Q452" s="261"/>
      <c r="R452" s="94"/>
    </row>
    <row r="453" spans="3:18" x14ac:dyDescent="0.25">
      <c r="C453" s="279"/>
      <c r="D453" s="159"/>
      <c r="E453" s="40"/>
      <c r="F453" s="129"/>
      <c r="G453" s="1"/>
      <c r="H453" s="163"/>
      <c r="I453" s="37"/>
      <c r="J453" s="138"/>
      <c r="K453" s="114"/>
      <c r="L453" s="37"/>
      <c r="M453" s="37"/>
      <c r="N453" s="37"/>
      <c r="O453" s="132"/>
      <c r="P453" s="134"/>
      <c r="Q453" s="261"/>
      <c r="R453" s="94"/>
    </row>
    <row r="454" spans="3:18" x14ac:dyDescent="0.25">
      <c r="C454" s="279"/>
      <c r="D454" s="159"/>
      <c r="E454" s="40"/>
      <c r="F454" s="129"/>
      <c r="G454" s="1"/>
      <c r="H454" s="163"/>
      <c r="I454" s="37"/>
      <c r="J454" s="138"/>
      <c r="K454" s="114"/>
      <c r="L454" s="37"/>
      <c r="M454" s="37"/>
      <c r="N454" s="37"/>
      <c r="O454" s="132"/>
      <c r="P454" s="134"/>
      <c r="Q454" s="261"/>
      <c r="R454" s="94"/>
    </row>
    <row r="455" spans="3:18" x14ac:dyDescent="0.25">
      <c r="C455" s="279"/>
      <c r="D455" s="159"/>
      <c r="E455" s="40"/>
      <c r="F455" s="129"/>
      <c r="G455" s="1"/>
      <c r="H455" s="163"/>
      <c r="I455" s="37"/>
      <c r="J455" s="138"/>
      <c r="K455" s="114"/>
      <c r="L455" s="37"/>
      <c r="M455" s="37"/>
      <c r="N455" s="37"/>
      <c r="O455" s="132"/>
      <c r="P455" s="134"/>
      <c r="Q455" s="261"/>
      <c r="R455" s="94"/>
    </row>
    <row r="456" spans="3:18" x14ac:dyDescent="0.25">
      <c r="C456" s="279"/>
      <c r="D456" s="159"/>
      <c r="E456" s="40"/>
      <c r="F456" s="129"/>
      <c r="G456" s="1"/>
      <c r="H456" s="163"/>
      <c r="I456" s="37"/>
      <c r="J456" s="138"/>
      <c r="K456" s="114"/>
      <c r="L456" s="37"/>
      <c r="M456" s="37"/>
      <c r="N456" s="37"/>
      <c r="O456" s="132"/>
      <c r="P456" s="134"/>
      <c r="Q456" s="261"/>
      <c r="R456" s="94"/>
    </row>
    <row r="457" spans="3:18" x14ac:dyDescent="0.25">
      <c r="C457" s="279"/>
      <c r="D457" s="159"/>
      <c r="E457" s="40"/>
      <c r="F457" s="129"/>
      <c r="G457" s="1"/>
      <c r="H457" s="163"/>
      <c r="I457" s="37"/>
      <c r="J457" s="138"/>
      <c r="K457" s="114"/>
      <c r="L457" s="37"/>
      <c r="M457" s="37"/>
      <c r="N457" s="37"/>
      <c r="O457" s="132"/>
      <c r="P457" s="134"/>
      <c r="Q457" s="261"/>
      <c r="R457" s="94"/>
    </row>
    <row r="458" spans="3:18" x14ac:dyDescent="0.25">
      <c r="C458" s="279"/>
      <c r="D458" s="159"/>
      <c r="E458" s="40"/>
      <c r="F458" s="129"/>
      <c r="G458" s="1"/>
      <c r="H458" s="163"/>
      <c r="I458" s="37"/>
      <c r="J458" s="138"/>
      <c r="K458" s="114"/>
      <c r="L458" s="37"/>
      <c r="M458" s="37"/>
      <c r="N458" s="37"/>
      <c r="O458" s="132"/>
      <c r="P458" s="134"/>
      <c r="Q458" s="261"/>
      <c r="R458" s="94"/>
    </row>
    <row r="459" spans="3:18" x14ac:dyDescent="0.25">
      <c r="C459" s="279"/>
      <c r="D459" s="159"/>
      <c r="E459" s="40"/>
      <c r="F459" s="129"/>
      <c r="G459" s="1"/>
      <c r="H459" s="163"/>
      <c r="I459" s="37"/>
      <c r="J459" s="138"/>
      <c r="K459" s="114"/>
      <c r="L459" s="37"/>
      <c r="M459" s="37"/>
      <c r="N459" s="37"/>
      <c r="O459" s="132"/>
      <c r="P459" s="134"/>
      <c r="Q459" s="261"/>
      <c r="R459" s="94"/>
    </row>
    <row r="460" spans="3:18" x14ac:dyDescent="0.25">
      <c r="C460" s="279"/>
      <c r="D460" s="159"/>
      <c r="E460" s="40"/>
      <c r="F460" s="129"/>
      <c r="G460" s="1"/>
      <c r="H460" s="163"/>
      <c r="I460" s="37"/>
      <c r="J460" s="138"/>
      <c r="K460" s="114"/>
      <c r="L460" s="37"/>
      <c r="M460" s="37"/>
      <c r="N460" s="37"/>
      <c r="O460" s="132"/>
      <c r="P460" s="134"/>
      <c r="Q460" s="261"/>
      <c r="R460" s="94"/>
    </row>
    <row r="461" spans="3:18" x14ac:dyDescent="0.25">
      <c r="C461" s="279"/>
      <c r="D461" s="159"/>
      <c r="E461" s="40"/>
      <c r="F461" s="129"/>
      <c r="G461" s="1"/>
      <c r="H461" s="163"/>
      <c r="I461" s="37"/>
      <c r="J461" s="138"/>
      <c r="K461" s="114"/>
      <c r="L461" s="37"/>
      <c r="M461" s="37"/>
      <c r="N461" s="37"/>
      <c r="O461" s="132"/>
      <c r="P461" s="134"/>
      <c r="Q461" s="261"/>
      <c r="R461" s="94"/>
    </row>
    <row r="462" spans="3:18" x14ac:dyDescent="0.25">
      <c r="C462" s="279"/>
      <c r="D462" s="159"/>
      <c r="E462" s="40"/>
      <c r="F462" s="129"/>
      <c r="G462" s="1"/>
      <c r="H462" s="163"/>
      <c r="I462" s="37"/>
      <c r="J462" s="138"/>
      <c r="K462" s="114"/>
      <c r="L462" s="37"/>
      <c r="M462" s="37"/>
      <c r="N462" s="37"/>
      <c r="O462" s="132"/>
      <c r="P462" s="134"/>
      <c r="Q462" s="261"/>
      <c r="R462" s="94"/>
    </row>
    <row r="463" spans="3:18" x14ac:dyDescent="0.25">
      <c r="C463" s="279"/>
      <c r="D463" s="159"/>
      <c r="E463" s="40"/>
      <c r="F463" s="129"/>
      <c r="G463" s="1"/>
      <c r="H463" s="163"/>
      <c r="I463" s="37"/>
      <c r="J463" s="138"/>
      <c r="K463" s="114"/>
      <c r="L463" s="37"/>
      <c r="M463" s="37"/>
      <c r="N463" s="37"/>
      <c r="O463" s="132"/>
      <c r="P463" s="134"/>
      <c r="Q463" s="261"/>
      <c r="R463" s="94"/>
    </row>
    <row r="464" spans="3:18" x14ac:dyDescent="0.25">
      <c r="C464" s="279"/>
      <c r="D464" s="159"/>
      <c r="E464" s="40"/>
      <c r="F464" s="129"/>
      <c r="G464" s="1"/>
      <c r="H464" s="163"/>
      <c r="I464" s="37"/>
      <c r="J464" s="138"/>
      <c r="K464" s="114"/>
      <c r="L464" s="37"/>
      <c r="M464" s="37"/>
      <c r="N464" s="37"/>
      <c r="O464" s="132"/>
      <c r="P464" s="134"/>
      <c r="Q464" s="261"/>
      <c r="R464" s="94"/>
    </row>
    <row r="465" spans="3:18" x14ac:dyDescent="0.25">
      <c r="C465" s="279"/>
      <c r="D465" s="159"/>
      <c r="E465" s="40"/>
      <c r="F465" s="129"/>
      <c r="G465" s="1"/>
      <c r="H465" s="163"/>
      <c r="I465" s="37"/>
      <c r="J465" s="138"/>
      <c r="K465" s="114"/>
      <c r="L465" s="37"/>
      <c r="M465" s="37"/>
      <c r="N465" s="37"/>
      <c r="O465" s="132"/>
      <c r="P465" s="134"/>
      <c r="Q465" s="261"/>
      <c r="R465" s="94"/>
    </row>
    <row r="466" spans="3:18" x14ac:dyDescent="0.25">
      <c r="C466" s="279"/>
      <c r="D466" s="159"/>
      <c r="E466" s="40"/>
      <c r="F466" s="129"/>
      <c r="G466" s="1"/>
      <c r="H466" s="163"/>
      <c r="I466" s="37"/>
      <c r="J466" s="138"/>
      <c r="K466" s="114"/>
      <c r="L466" s="37"/>
      <c r="M466" s="37"/>
      <c r="N466" s="37"/>
      <c r="O466" s="132"/>
      <c r="P466" s="134"/>
      <c r="Q466" s="261"/>
      <c r="R466" s="94"/>
    </row>
    <row r="467" spans="3:18" x14ac:dyDescent="0.25">
      <c r="C467" s="279"/>
      <c r="D467" s="159"/>
      <c r="E467" s="40"/>
      <c r="F467" s="129"/>
      <c r="G467" s="1"/>
      <c r="H467" s="163"/>
      <c r="I467" s="37"/>
      <c r="J467" s="138"/>
      <c r="K467" s="114"/>
      <c r="L467" s="37"/>
      <c r="M467" s="37"/>
      <c r="N467" s="37"/>
      <c r="O467" s="132"/>
      <c r="P467" s="134"/>
      <c r="Q467" s="261"/>
      <c r="R467" s="94"/>
    </row>
    <row r="468" spans="3:18" x14ac:dyDescent="0.25">
      <c r="C468" s="279"/>
      <c r="D468" s="159"/>
      <c r="E468" s="40"/>
      <c r="F468" s="129"/>
      <c r="G468" s="1"/>
      <c r="H468" s="163"/>
      <c r="I468" s="37"/>
      <c r="J468" s="138"/>
      <c r="K468" s="114"/>
      <c r="L468" s="37"/>
      <c r="M468" s="37"/>
      <c r="N468" s="37"/>
      <c r="O468" s="132"/>
      <c r="P468" s="134"/>
      <c r="Q468" s="261"/>
      <c r="R468" s="94"/>
    </row>
    <row r="469" spans="3:18" x14ac:dyDescent="0.25">
      <c r="C469" s="279"/>
      <c r="D469" s="159"/>
      <c r="E469" s="40"/>
      <c r="F469" s="129"/>
      <c r="G469" s="1"/>
      <c r="H469" s="163"/>
      <c r="I469" s="37"/>
      <c r="J469" s="138"/>
      <c r="K469" s="114"/>
      <c r="L469" s="37"/>
      <c r="M469" s="37"/>
      <c r="N469" s="37"/>
      <c r="O469" s="132"/>
      <c r="P469" s="134"/>
      <c r="Q469" s="261"/>
      <c r="R469" s="94"/>
    </row>
    <row r="470" spans="3:18" x14ac:dyDescent="0.25">
      <c r="C470" s="279"/>
      <c r="D470" s="159"/>
      <c r="E470" s="40"/>
      <c r="F470" s="129"/>
      <c r="G470" s="1"/>
      <c r="H470" s="163"/>
      <c r="I470" s="37"/>
      <c r="J470" s="138"/>
      <c r="K470" s="114"/>
      <c r="L470" s="37"/>
      <c r="M470" s="37"/>
      <c r="N470" s="37"/>
      <c r="O470" s="132"/>
      <c r="P470" s="134"/>
      <c r="Q470" s="261"/>
      <c r="R470" s="94"/>
    </row>
    <row r="471" spans="3:18" x14ac:dyDescent="0.25">
      <c r="C471" s="279"/>
      <c r="D471" s="159"/>
      <c r="E471" s="40"/>
      <c r="F471" s="129"/>
      <c r="G471" s="1"/>
      <c r="H471" s="163"/>
      <c r="I471" s="37"/>
      <c r="J471" s="138"/>
      <c r="K471" s="114"/>
      <c r="L471" s="37"/>
      <c r="M471" s="37"/>
      <c r="N471" s="37"/>
      <c r="O471" s="132"/>
      <c r="P471" s="134"/>
      <c r="Q471" s="261"/>
      <c r="R471" s="94"/>
    </row>
    <row r="472" spans="3:18" x14ac:dyDescent="0.25">
      <c r="C472" s="279"/>
      <c r="D472" s="159"/>
      <c r="E472" s="40"/>
      <c r="F472" s="129"/>
      <c r="G472" s="1"/>
      <c r="H472" s="163"/>
      <c r="I472" s="37"/>
      <c r="J472" s="138"/>
      <c r="K472" s="114"/>
      <c r="L472" s="37"/>
      <c r="M472" s="37"/>
      <c r="N472" s="37"/>
      <c r="O472" s="132"/>
      <c r="P472" s="134"/>
      <c r="Q472" s="261"/>
      <c r="R472" s="94"/>
    </row>
    <row r="473" spans="3:18" x14ac:dyDescent="0.25">
      <c r="C473" s="279"/>
      <c r="D473" s="159"/>
      <c r="E473" s="40"/>
      <c r="F473" s="129"/>
      <c r="G473" s="1"/>
      <c r="H473" s="163"/>
      <c r="I473" s="37"/>
      <c r="J473" s="138"/>
      <c r="K473" s="114"/>
      <c r="L473" s="37"/>
      <c r="M473" s="37"/>
      <c r="N473" s="37"/>
      <c r="O473" s="132"/>
      <c r="P473" s="134"/>
      <c r="Q473" s="261"/>
      <c r="R473" s="94"/>
    </row>
    <row r="474" spans="3:18" x14ac:dyDescent="0.25">
      <c r="C474" s="279"/>
      <c r="D474" s="159"/>
      <c r="E474" s="40"/>
      <c r="F474" s="129"/>
      <c r="G474" s="1"/>
      <c r="H474" s="163"/>
      <c r="I474" s="37"/>
      <c r="J474" s="138"/>
      <c r="K474" s="114"/>
      <c r="L474" s="37"/>
      <c r="M474" s="37"/>
      <c r="N474" s="37"/>
      <c r="O474" s="132"/>
      <c r="P474" s="134"/>
      <c r="Q474" s="261"/>
      <c r="R474" s="94"/>
    </row>
    <row r="475" spans="3:18" x14ac:dyDescent="0.25">
      <c r="C475" s="279"/>
      <c r="D475" s="159"/>
      <c r="E475" s="40"/>
      <c r="F475" s="129"/>
      <c r="G475" s="1"/>
      <c r="H475" s="163"/>
      <c r="I475" s="37"/>
      <c r="J475" s="138"/>
      <c r="K475" s="114"/>
      <c r="L475" s="37"/>
      <c r="M475" s="37"/>
      <c r="N475" s="37"/>
      <c r="O475" s="132"/>
      <c r="P475" s="134"/>
      <c r="Q475" s="261"/>
      <c r="R475" s="94"/>
    </row>
    <row r="476" spans="3:18" x14ac:dyDescent="0.25">
      <c r="C476" s="279"/>
      <c r="D476" s="159"/>
      <c r="E476" s="40"/>
      <c r="F476" s="129"/>
      <c r="G476" s="1"/>
      <c r="H476" s="163"/>
      <c r="I476" s="37"/>
      <c r="J476" s="138"/>
      <c r="K476" s="114"/>
      <c r="L476" s="37"/>
      <c r="M476" s="37"/>
      <c r="N476" s="37"/>
      <c r="O476" s="132"/>
      <c r="P476" s="134"/>
      <c r="Q476" s="261"/>
      <c r="R476" s="94"/>
    </row>
    <row r="477" spans="3:18" x14ac:dyDescent="0.25">
      <c r="C477" s="279"/>
      <c r="D477" s="159"/>
      <c r="E477" s="40"/>
      <c r="F477" s="129"/>
      <c r="G477" s="1"/>
      <c r="H477" s="163"/>
      <c r="I477" s="37"/>
      <c r="J477" s="138"/>
      <c r="K477" s="114"/>
      <c r="L477" s="37"/>
      <c r="M477" s="37"/>
      <c r="N477" s="37"/>
      <c r="O477" s="132"/>
      <c r="P477" s="134"/>
      <c r="Q477" s="261"/>
      <c r="R477" s="94"/>
    </row>
    <row r="478" spans="3:18" x14ac:dyDescent="0.25">
      <c r="C478" s="279"/>
      <c r="D478" s="159"/>
      <c r="E478" s="40"/>
      <c r="F478" s="129"/>
      <c r="G478" s="1"/>
      <c r="H478" s="163"/>
      <c r="I478" s="37"/>
      <c r="J478" s="138"/>
      <c r="K478" s="114"/>
      <c r="L478" s="37"/>
      <c r="M478" s="37"/>
      <c r="N478" s="37"/>
      <c r="O478" s="132"/>
      <c r="P478" s="134"/>
      <c r="Q478" s="261"/>
      <c r="R478" s="94"/>
    </row>
    <row r="479" spans="3:18" x14ac:dyDescent="0.25">
      <c r="C479" s="279"/>
      <c r="D479" s="159"/>
      <c r="E479" s="40"/>
      <c r="F479" s="129"/>
      <c r="G479" s="1"/>
      <c r="H479" s="163"/>
      <c r="I479" s="37"/>
      <c r="J479" s="138"/>
      <c r="K479" s="114"/>
      <c r="L479" s="37"/>
      <c r="M479" s="37"/>
      <c r="N479" s="37"/>
      <c r="O479" s="132"/>
      <c r="P479" s="134"/>
      <c r="Q479" s="261"/>
      <c r="R479" s="94"/>
    </row>
    <row r="480" spans="3:18" x14ac:dyDescent="0.25">
      <c r="C480" s="279"/>
      <c r="D480" s="159"/>
      <c r="E480" s="40"/>
      <c r="F480" s="129"/>
      <c r="G480" s="1"/>
      <c r="H480" s="163"/>
      <c r="I480" s="37"/>
      <c r="J480" s="138"/>
      <c r="K480" s="114"/>
      <c r="L480" s="37"/>
      <c r="M480" s="37"/>
      <c r="N480" s="37"/>
      <c r="O480" s="132"/>
      <c r="P480" s="134"/>
      <c r="Q480" s="261"/>
      <c r="R480" s="94"/>
    </row>
    <row r="481" spans="3:18" x14ac:dyDescent="0.25">
      <c r="C481" s="279"/>
      <c r="D481" s="159"/>
      <c r="E481" s="40"/>
      <c r="F481" s="129"/>
      <c r="G481" s="1"/>
      <c r="H481" s="163"/>
      <c r="I481" s="37"/>
      <c r="J481" s="138"/>
      <c r="K481" s="114"/>
      <c r="L481" s="37"/>
      <c r="M481" s="37"/>
      <c r="N481" s="37"/>
      <c r="O481" s="132"/>
      <c r="P481" s="134"/>
      <c r="Q481" s="261"/>
      <c r="R481" s="94"/>
    </row>
    <row r="482" spans="3:18" x14ac:dyDescent="0.25">
      <c r="C482" s="279"/>
      <c r="D482" s="159"/>
      <c r="E482" s="40"/>
      <c r="F482" s="129"/>
      <c r="G482" s="1"/>
      <c r="H482" s="163"/>
      <c r="I482" s="37"/>
      <c r="J482" s="138"/>
      <c r="K482" s="114"/>
      <c r="L482" s="37"/>
      <c r="M482" s="37"/>
      <c r="N482" s="37"/>
      <c r="O482" s="132"/>
      <c r="P482" s="134"/>
      <c r="Q482" s="261"/>
      <c r="R482" s="94"/>
    </row>
    <row r="483" spans="3:18" x14ac:dyDescent="0.25">
      <c r="C483" s="279"/>
      <c r="D483" s="159"/>
      <c r="E483" s="40"/>
      <c r="F483" s="129"/>
      <c r="G483" s="1"/>
      <c r="H483" s="163"/>
      <c r="I483" s="37"/>
      <c r="J483" s="138"/>
      <c r="K483" s="114"/>
      <c r="L483" s="37"/>
      <c r="M483" s="37"/>
      <c r="N483" s="37"/>
      <c r="O483" s="132"/>
      <c r="P483" s="134"/>
      <c r="Q483" s="261"/>
      <c r="R483" s="94"/>
    </row>
    <row r="484" spans="3:18" x14ac:dyDescent="0.25">
      <c r="C484" s="279"/>
      <c r="D484" s="159"/>
      <c r="E484" s="40"/>
      <c r="F484" s="129"/>
      <c r="G484" s="1"/>
      <c r="H484" s="163"/>
      <c r="I484" s="37"/>
      <c r="J484" s="138"/>
      <c r="K484" s="114"/>
      <c r="L484" s="37"/>
      <c r="M484" s="37"/>
      <c r="N484" s="37"/>
      <c r="O484" s="132"/>
      <c r="P484" s="134"/>
      <c r="Q484" s="261"/>
      <c r="R484" s="94"/>
    </row>
    <row r="485" spans="3:18" x14ac:dyDescent="0.25">
      <c r="C485" s="279"/>
      <c r="D485" s="159"/>
      <c r="E485" s="40"/>
      <c r="F485" s="129"/>
      <c r="G485" s="1"/>
      <c r="H485" s="163"/>
      <c r="I485" s="37"/>
      <c r="J485" s="138"/>
      <c r="K485" s="114"/>
      <c r="L485" s="37"/>
      <c r="M485" s="37"/>
      <c r="N485" s="37"/>
      <c r="O485" s="132"/>
      <c r="P485" s="134"/>
      <c r="Q485" s="261"/>
      <c r="R485" s="94"/>
    </row>
    <row r="486" spans="3:18" x14ac:dyDescent="0.25">
      <c r="C486" s="279"/>
      <c r="D486" s="159"/>
      <c r="E486" s="40"/>
      <c r="F486" s="129"/>
      <c r="G486" s="1"/>
      <c r="H486" s="163"/>
      <c r="I486" s="37"/>
      <c r="J486" s="138"/>
      <c r="K486" s="114"/>
      <c r="L486" s="37"/>
      <c r="M486" s="37"/>
      <c r="N486" s="37"/>
      <c r="O486" s="132"/>
      <c r="P486" s="134"/>
      <c r="Q486" s="261"/>
      <c r="R486" s="94"/>
    </row>
    <row r="487" spans="3:18" x14ac:dyDescent="0.25">
      <c r="C487" s="279"/>
      <c r="D487" s="159"/>
      <c r="E487" s="40"/>
      <c r="F487" s="129"/>
      <c r="G487" s="1"/>
      <c r="H487" s="163"/>
      <c r="I487" s="37"/>
      <c r="J487" s="138"/>
      <c r="K487" s="114"/>
      <c r="L487" s="37"/>
      <c r="M487" s="37"/>
      <c r="N487" s="37"/>
      <c r="O487" s="132"/>
      <c r="P487" s="134"/>
      <c r="Q487" s="261"/>
      <c r="R487" s="94"/>
    </row>
    <row r="488" spans="3:18" x14ac:dyDescent="0.25">
      <c r="C488" s="279"/>
      <c r="D488" s="159"/>
      <c r="E488" s="40"/>
      <c r="F488" s="129"/>
      <c r="G488" s="1"/>
      <c r="H488" s="163"/>
      <c r="I488" s="37"/>
      <c r="J488" s="138"/>
      <c r="K488" s="114"/>
      <c r="L488" s="37"/>
      <c r="M488" s="37"/>
      <c r="N488" s="37"/>
      <c r="O488" s="132"/>
      <c r="P488" s="134"/>
      <c r="Q488" s="261"/>
      <c r="R488" s="94"/>
    </row>
    <row r="489" spans="3:18" x14ac:dyDescent="0.25">
      <c r="C489" s="279"/>
      <c r="D489" s="159"/>
      <c r="E489" s="40"/>
      <c r="F489" s="129"/>
      <c r="G489" s="1"/>
      <c r="H489" s="163"/>
      <c r="I489" s="37"/>
      <c r="J489" s="138"/>
      <c r="K489" s="114"/>
      <c r="L489" s="37"/>
      <c r="M489" s="37"/>
      <c r="N489" s="37"/>
      <c r="O489" s="132"/>
      <c r="P489" s="134"/>
      <c r="Q489" s="261"/>
      <c r="R489" s="94"/>
    </row>
    <row r="490" spans="3:18" x14ac:dyDescent="0.25">
      <c r="C490" s="279"/>
      <c r="D490" s="159"/>
      <c r="E490" s="40"/>
      <c r="F490" s="129"/>
      <c r="G490" s="1"/>
      <c r="H490" s="163"/>
      <c r="I490" s="37"/>
      <c r="J490" s="138"/>
      <c r="K490" s="114"/>
      <c r="L490" s="37"/>
      <c r="M490" s="37"/>
      <c r="N490" s="37"/>
      <c r="O490" s="132"/>
      <c r="P490" s="134"/>
      <c r="Q490" s="261"/>
      <c r="R490" s="94"/>
    </row>
    <row r="491" spans="3:18" x14ac:dyDescent="0.25">
      <c r="C491" s="279"/>
      <c r="D491" s="159"/>
      <c r="E491" s="40"/>
      <c r="F491" s="129"/>
      <c r="G491" s="1"/>
      <c r="H491" s="163"/>
      <c r="I491" s="37"/>
      <c r="J491" s="138"/>
      <c r="K491" s="114"/>
      <c r="L491" s="37"/>
      <c r="M491" s="37"/>
      <c r="N491" s="37"/>
      <c r="O491" s="132"/>
      <c r="P491" s="134"/>
      <c r="Q491" s="261"/>
      <c r="R491" s="94"/>
    </row>
    <row r="492" spans="3:18" x14ac:dyDescent="0.25">
      <c r="C492" s="279"/>
      <c r="D492" s="159"/>
      <c r="E492" s="40"/>
      <c r="F492" s="129"/>
      <c r="G492" s="1"/>
      <c r="H492" s="163"/>
      <c r="I492" s="37"/>
      <c r="J492" s="138"/>
      <c r="K492" s="114"/>
      <c r="L492" s="37"/>
      <c r="M492" s="37"/>
      <c r="N492" s="37"/>
      <c r="O492" s="132"/>
      <c r="P492" s="134"/>
      <c r="Q492" s="261"/>
      <c r="R492" s="94"/>
    </row>
    <row r="493" spans="3:18" x14ac:dyDescent="0.25">
      <c r="C493" s="279"/>
      <c r="D493" s="159"/>
      <c r="E493" s="40"/>
      <c r="F493" s="129"/>
      <c r="G493" s="1"/>
      <c r="H493" s="163"/>
      <c r="I493" s="37"/>
      <c r="J493" s="138"/>
      <c r="K493" s="114"/>
      <c r="L493" s="37"/>
      <c r="M493" s="37"/>
      <c r="N493" s="37"/>
      <c r="O493" s="132"/>
      <c r="P493" s="134"/>
      <c r="Q493" s="261"/>
      <c r="R493" s="94"/>
    </row>
    <row r="494" spans="3:18" x14ac:dyDescent="0.25">
      <c r="C494" s="279"/>
      <c r="D494" s="159"/>
      <c r="E494" s="40"/>
      <c r="F494" s="129"/>
      <c r="G494" s="1"/>
      <c r="H494" s="163"/>
      <c r="I494" s="37"/>
      <c r="J494" s="138"/>
      <c r="K494" s="114"/>
      <c r="L494" s="37"/>
      <c r="M494" s="37"/>
      <c r="N494" s="37"/>
      <c r="O494" s="132"/>
      <c r="P494" s="134"/>
      <c r="Q494" s="261"/>
      <c r="R494" s="94"/>
    </row>
    <row r="495" spans="3:18" x14ac:dyDescent="0.25">
      <c r="C495" s="279"/>
      <c r="D495" s="159"/>
      <c r="E495" s="40"/>
      <c r="F495" s="129"/>
      <c r="G495" s="1"/>
      <c r="H495" s="163"/>
      <c r="I495" s="37"/>
      <c r="J495" s="138"/>
      <c r="K495" s="114"/>
      <c r="L495" s="37"/>
      <c r="M495" s="37"/>
      <c r="N495" s="37"/>
      <c r="O495" s="132"/>
      <c r="P495" s="134"/>
      <c r="Q495" s="261"/>
      <c r="R495" s="94"/>
    </row>
    <row r="496" spans="3:18" x14ac:dyDescent="0.25">
      <c r="C496" s="279"/>
      <c r="D496" s="159"/>
      <c r="E496" s="40"/>
      <c r="F496" s="129"/>
      <c r="G496" s="1"/>
      <c r="H496" s="163"/>
      <c r="I496" s="37"/>
      <c r="J496" s="138"/>
      <c r="K496" s="114"/>
      <c r="L496" s="37"/>
      <c r="M496" s="37"/>
      <c r="N496" s="37"/>
      <c r="O496" s="132"/>
      <c r="P496" s="134"/>
      <c r="Q496" s="261"/>
      <c r="R496" s="94"/>
    </row>
    <row r="497" spans="3:18" x14ac:dyDescent="0.25">
      <c r="C497" s="279"/>
      <c r="D497" s="159"/>
      <c r="E497" s="40"/>
      <c r="F497" s="129"/>
      <c r="G497" s="1"/>
      <c r="H497" s="163"/>
      <c r="I497" s="37"/>
      <c r="J497" s="138"/>
      <c r="K497" s="114"/>
      <c r="L497" s="37"/>
      <c r="M497" s="37"/>
      <c r="N497" s="37"/>
      <c r="O497" s="132"/>
      <c r="P497" s="134"/>
      <c r="Q497" s="261"/>
      <c r="R497" s="94"/>
    </row>
    <row r="498" spans="3:18" x14ac:dyDescent="0.25">
      <c r="C498" s="279"/>
      <c r="D498" s="159"/>
      <c r="E498" s="40"/>
      <c r="F498" s="129"/>
      <c r="G498" s="1"/>
      <c r="H498" s="163"/>
      <c r="I498" s="37"/>
      <c r="J498" s="138"/>
      <c r="K498" s="114"/>
      <c r="L498" s="37"/>
      <c r="M498" s="37"/>
      <c r="N498" s="37"/>
      <c r="O498" s="132"/>
      <c r="P498" s="134"/>
      <c r="Q498" s="261"/>
      <c r="R498" s="94"/>
    </row>
    <row r="499" spans="3:18" x14ac:dyDescent="0.25">
      <c r="C499" s="279"/>
      <c r="D499" s="159"/>
      <c r="E499" s="40"/>
      <c r="F499" s="129"/>
      <c r="G499" s="1"/>
      <c r="H499" s="163"/>
      <c r="I499" s="37"/>
      <c r="J499" s="138"/>
      <c r="K499" s="114"/>
      <c r="L499" s="37"/>
      <c r="M499" s="37"/>
      <c r="N499" s="37"/>
      <c r="O499" s="132"/>
      <c r="P499" s="134"/>
      <c r="Q499" s="261"/>
      <c r="R499" s="94"/>
    </row>
    <row r="500" spans="3:18" x14ac:dyDescent="0.25">
      <c r="C500" s="279"/>
      <c r="D500" s="159"/>
      <c r="E500" s="40"/>
      <c r="F500" s="129"/>
      <c r="G500" s="1"/>
      <c r="H500" s="163"/>
      <c r="I500" s="37"/>
      <c r="J500" s="138"/>
      <c r="K500" s="114"/>
      <c r="L500" s="37"/>
      <c r="M500" s="37"/>
      <c r="N500" s="37"/>
      <c r="O500" s="132"/>
      <c r="P500" s="134"/>
      <c r="Q500" s="261"/>
      <c r="R500" s="94"/>
    </row>
    <row r="501" spans="3:18" x14ac:dyDescent="0.25">
      <c r="C501" s="279"/>
      <c r="D501" s="159"/>
      <c r="E501" s="40"/>
      <c r="F501" s="129"/>
      <c r="G501" s="1"/>
      <c r="H501" s="163"/>
      <c r="I501" s="37"/>
      <c r="J501" s="138"/>
      <c r="K501" s="114"/>
      <c r="L501" s="37"/>
      <c r="M501" s="37"/>
      <c r="N501" s="37"/>
      <c r="O501" s="132"/>
      <c r="P501" s="134"/>
      <c r="Q501" s="261"/>
      <c r="R501" s="94"/>
    </row>
    <row r="502" spans="3:18" x14ac:dyDescent="0.25">
      <c r="C502" s="279"/>
      <c r="D502" s="159"/>
      <c r="E502" s="40"/>
      <c r="F502" s="129"/>
      <c r="G502" s="1"/>
      <c r="H502" s="163"/>
      <c r="I502" s="37"/>
      <c r="J502" s="138"/>
      <c r="K502" s="114"/>
      <c r="L502" s="37"/>
      <c r="M502" s="37"/>
      <c r="N502" s="37"/>
      <c r="O502" s="132"/>
      <c r="P502" s="134"/>
      <c r="Q502" s="261"/>
      <c r="R502" s="94"/>
    </row>
    <row r="503" spans="3:18" x14ac:dyDescent="0.25">
      <c r="C503" s="279"/>
      <c r="D503" s="159"/>
      <c r="E503" s="40"/>
      <c r="F503" s="129"/>
      <c r="G503" s="1"/>
      <c r="H503" s="163"/>
      <c r="I503" s="37"/>
      <c r="J503" s="138"/>
      <c r="K503" s="114"/>
      <c r="L503" s="37"/>
      <c r="M503" s="37"/>
      <c r="N503" s="37"/>
      <c r="O503" s="132"/>
      <c r="P503" s="134"/>
      <c r="Q503" s="261"/>
      <c r="R503" s="94"/>
    </row>
    <row r="504" spans="3:18" x14ac:dyDescent="0.25">
      <c r="C504" s="279"/>
      <c r="D504" s="159"/>
      <c r="E504" s="40"/>
      <c r="F504" s="129"/>
      <c r="G504" s="1"/>
      <c r="H504" s="163"/>
      <c r="I504" s="37"/>
      <c r="J504" s="138"/>
      <c r="K504" s="114"/>
      <c r="L504" s="37"/>
      <c r="M504" s="37"/>
      <c r="N504" s="37"/>
      <c r="O504" s="132"/>
      <c r="P504" s="134"/>
      <c r="Q504" s="261"/>
      <c r="R504" s="94"/>
    </row>
    <row r="505" spans="3:18" x14ac:dyDescent="0.25">
      <c r="C505" s="279"/>
      <c r="D505" s="159"/>
      <c r="E505" s="40"/>
      <c r="F505" s="129"/>
      <c r="G505" s="1"/>
      <c r="H505" s="163"/>
      <c r="I505" s="37"/>
      <c r="J505" s="138"/>
      <c r="K505" s="114"/>
      <c r="L505" s="37"/>
      <c r="M505" s="37"/>
      <c r="N505" s="37"/>
      <c r="O505" s="132"/>
      <c r="P505" s="134"/>
      <c r="Q505" s="261"/>
      <c r="R505" s="94"/>
    </row>
    <row r="506" spans="3:18" x14ac:dyDescent="0.25">
      <c r="C506" s="279"/>
      <c r="D506" s="159"/>
      <c r="E506" s="40"/>
      <c r="F506" s="129"/>
      <c r="G506" s="1"/>
      <c r="H506" s="163"/>
      <c r="I506" s="37"/>
      <c r="J506" s="138"/>
      <c r="K506" s="114"/>
      <c r="L506" s="37"/>
      <c r="M506" s="37"/>
      <c r="N506" s="37"/>
      <c r="O506" s="132"/>
      <c r="P506" s="134"/>
      <c r="Q506" s="261"/>
      <c r="R506" s="94"/>
    </row>
    <row r="507" spans="3:18" x14ac:dyDescent="0.25">
      <c r="C507" s="279"/>
      <c r="D507" s="159"/>
      <c r="E507" s="40"/>
      <c r="F507" s="129"/>
      <c r="G507" s="1"/>
      <c r="H507" s="163"/>
      <c r="I507" s="37"/>
      <c r="J507" s="138"/>
      <c r="K507" s="114"/>
      <c r="L507" s="37"/>
      <c r="M507" s="37"/>
      <c r="N507" s="37"/>
      <c r="O507" s="132"/>
      <c r="P507" s="134"/>
      <c r="Q507" s="261"/>
      <c r="R507" s="94"/>
    </row>
    <row r="508" spans="3:18" x14ac:dyDescent="0.25">
      <c r="C508" s="279"/>
      <c r="D508" s="159"/>
      <c r="E508" s="40"/>
      <c r="F508" s="129"/>
      <c r="G508" s="1"/>
      <c r="H508" s="163"/>
      <c r="I508" s="37"/>
      <c r="J508" s="138"/>
      <c r="K508" s="114"/>
      <c r="L508" s="37"/>
      <c r="M508" s="37"/>
      <c r="N508" s="37"/>
      <c r="O508" s="132"/>
      <c r="P508" s="134"/>
      <c r="Q508" s="261"/>
      <c r="R508" s="94"/>
    </row>
    <row r="509" spans="3:18" x14ac:dyDescent="0.25">
      <c r="C509" s="279"/>
      <c r="D509" s="159"/>
      <c r="E509" s="40"/>
      <c r="F509" s="129"/>
      <c r="G509" s="1"/>
      <c r="H509" s="163"/>
      <c r="I509" s="37"/>
      <c r="J509" s="138"/>
      <c r="K509" s="114"/>
      <c r="L509" s="37"/>
      <c r="M509" s="37"/>
      <c r="N509" s="37"/>
      <c r="O509" s="132"/>
      <c r="P509" s="134"/>
      <c r="Q509" s="261"/>
      <c r="R509" s="94"/>
    </row>
    <row r="510" spans="3:18" x14ac:dyDescent="0.25">
      <c r="C510" s="279"/>
      <c r="D510" s="159"/>
      <c r="E510" s="40"/>
      <c r="F510" s="129"/>
      <c r="G510" s="1"/>
      <c r="H510" s="163"/>
      <c r="I510" s="37"/>
      <c r="J510" s="138"/>
      <c r="K510" s="114"/>
      <c r="L510" s="37"/>
      <c r="M510" s="37"/>
      <c r="N510" s="37"/>
      <c r="O510" s="132"/>
      <c r="P510" s="134"/>
      <c r="Q510" s="261"/>
      <c r="R510" s="94"/>
    </row>
    <row r="511" spans="3:18" x14ac:dyDescent="0.25">
      <c r="C511" s="279"/>
      <c r="D511" s="159"/>
      <c r="E511" s="40"/>
      <c r="F511" s="129"/>
      <c r="G511" s="1"/>
      <c r="H511" s="163"/>
      <c r="I511" s="37"/>
      <c r="J511" s="138"/>
      <c r="K511" s="114"/>
      <c r="L511" s="37"/>
      <c r="M511" s="37"/>
      <c r="N511" s="37"/>
      <c r="O511" s="132"/>
      <c r="P511" s="134"/>
      <c r="Q511" s="261"/>
      <c r="R511" s="94"/>
    </row>
    <row r="512" spans="3:18" x14ac:dyDescent="0.25">
      <c r="C512" s="279"/>
      <c r="D512" s="159"/>
      <c r="E512" s="40"/>
      <c r="F512" s="129"/>
      <c r="G512" s="1"/>
      <c r="H512" s="163"/>
      <c r="I512" s="37"/>
      <c r="J512" s="138"/>
      <c r="K512" s="114"/>
      <c r="L512" s="37"/>
      <c r="M512" s="37"/>
      <c r="N512" s="37"/>
      <c r="O512" s="132"/>
      <c r="P512" s="134"/>
      <c r="Q512" s="261"/>
      <c r="R512" s="94"/>
    </row>
    <row r="513" spans="3:18" x14ac:dyDescent="0.25">
      <c r="C513" s="279"/>
      <c r="D513" s="159"/>
      <c r="E513" s="40"/>
      <c r="F513" s="129"/>
      <c r="G513" s="1"/>
      <c r="H513" s="163"/>
      <c r="I513" s="37"/>
      <c r="J513" s="138"/>
      <c r="K513" s="114"/>
      <c r="L513" s="37"/>
      <c r="M513" s="37"/>
      <c r="N513" s="37"/>
      <c r="O513" s="132"/>
      <c r="P513" s="134"/>
      <c r="Q513" s="261"/>
      <c r="R513" s="94"/>
    </row>
    <row r="514" spans="3:18" x14ac:dyDescent="0.25">
      <c r="C514" s="279"/>
      <c r="D514" s="159"/>
      <c r="E514" s="40"/>
      <c r="F514" s="129"/>
      <c r="G514" s="1"/>
      <c r="H514" s="163"/>
      <c r="I514" s="37"/>
      <c r="J514" s="138"/>
      <c r="K514" s="114"/>
      <c r="L514" s="37"/>
      <c r="M514" s="37"/>
      <c r="N514" s="37"/>
      <c r="O514" s="132"/>
      <c r="P514" s="134"/>
      <c r="Q514" s="261"/>
      <c r="R514" s="94"/>
    </row>
    <row r="515" spans="3:18" x14ac:dyDescent="0.25">
      <c r="C515" s="279"/>
      <c r="D515" s="159"/>
      <c r="E515" s="40"/>
      <c r="F515" s="129"/>
      <c r="G515" s="1"/>
      <c r="H515" s="163"/>
      <c r="I515" s="37"/>
      <c r="J515" s="138"/>
      <c r="K515" s="114"/>
      <c r="L515" s="37"/>
      <c r="M515" s="37"/>
      <c r="N515" s="37"/>
      <c r="O515" s="132"/>
      <c r="P515" s="134"/>
      <c r="Q515" s="261"/>
      <c r="R515" s="94"/>
    </row>
    <row r="516" spans="3:18" x14ac:dyDescent="0.25">
      <c r="C516" s="279"/>
      <c r="D516" s="159"/>
      <c r="E516" s="40"/>
      <c r="F516" s="129"/>
      <c r="G516" s="1"/>
      <c r="H516" s="163"/>
      <c r="I516" s="37"/>
      <c r="J516" s="138"/>
      <c r="K516" s="114"/>
      <c r="L516" s="37"/>
      <c r="M516" s="37"/>
      <c r="N516" s="37"/>
      <c r="O516" s="132"/>
      <c r="P516" s="134"/>
      <c r="Q516" s="261"/>
      <c r="R516" s="94"/>
    </row>
    <row r="517" spans="3:18" x14ac:dyDescent="0.25">
      <c r="C517" s="279"/>
      <c r="D517" s="159"/>
      <c r="E517" s="40"/>
      <c r="F517" s="129"/>
      <c r="G517" s="1"/>
      <c r="H517" s="163"/>
      <c r="I517" s="37"/>
      <c r="J517" s="138"/>
      <c r="K517" s="114"/>
      <c r="L517" s="37"/>
      <c r="M517" s="37"/>
      <c r="N517" s="37"/>
      <c r="O517" s="132"/>
      <c r="P517" s="134"/>
      <c r="Q517" s="261"/>
      <c r="R517" s="94"/>
    </row>
    <row r="518" spans="3:18" x14ac:dyDescent="0.25">
      <c r="C518" s="279"/>
      <c r="D518" s="159"/>
      <c r="E518" s="40"/>
      <c r="F518" s="129"/>
      <c r="G518" s="1"/>
      <c r="H518" s="163"/>
      <c r="I518" s="37"/>
      <c r="J518" s="138"/>
      <c r="K518" s="114"/>
      <c r="L518" s="37"/>
      <c r="M518" s="37"/>
      <c r="N518" s="37"/>
      <c r="O518" s="132"/>
      <c r="P518" s="134"/>
      <c r="Q518" s="261"/>
      <c r="R518" s="94"/>
    </row>
    <row r="519" spans="3:18" x14ac:dyDescent="0.25">
      <c r="C519" s="279"/>
      <c r="D519" s="159"/>
      <c r="E519" s="40"/>
      <c r="F519" s="129"/>
      <c r="G519" s="1"/>
      <c r="H519" s="163"/>
      <c r="I519" s="37"/>
      <c r="J519" s="138"/>
      <c r="K519" s="114"/>
      <c r="L519" s="37"/>
      <c r="M519" s="37"/>
      <c r="N519" s="37"/>
      <c r="O519" s="132"/>
      <c r="P519" s="134"/>
      <c r="Q519" s="261"/>
      <c r="R519" s="94"/>
    </row>
    <row r="520" spans="3:18" x14ac:dyDescent="0.25">
      <c r="C520" s="279"/>
      <c r="D520" s="159"/>
      <c r="E520" s="40"/>
      <c r="F520" s="129"/>
      <c r="G520" s="1"/>
      <c r="H520" s="163"/>
      <c r="I520" s="37"/>
      <c r="J520" s="138"/>
      <c r="K520" s="114"/>
      <c r="L520" s="37"/>
      <c r="M520" s="37"/>
      <c r="N520" s="37"/>
      <c r="O520" s="132"/>
      <c r="P520" s="134"/>
      <c r="Q520" s="261"/>
      <c r="R520" s="94"/>
    </row>
    <row r="521" spans="3:18" x14ac:dyDescent="0.25">
      <c r="C521" s="279"/>
      <c r="D521" s="159"/>
      <c r="E521" s="40"/>
      <c r="F521" s="129"/>
      <c r="G521" s="1"/>
      <c r="H521" s="163"/>
      <c r="I521" s="37"/>
      <c r="J521" s="138"/>
      <c r="K521" s="114"/>
      <c r="L521" s="37"/>
      <c r="M521" s="37"/>
      <c r="N521" s="37"/>
      <c r="O521" s="132"/>
      <c r="P521" s="134"/>
      <c r="Q521" s="261"/>
      <c r="R521" s="94"/>
    </row>
    <row r="522" spans="3:18" x14ac:dyDescent="0.25">
      <c r="C522" s="279"/>
      <c r="D522" s="159"/>
      <c r="E522" s="40"/>
      <c r="F522" s="129"/>
      <c r="G522" s="1"/>
      <c r="H522" s="163"/>
      <c r="I522" s="37"/>
      <c r="J522" s="138"/>
      <c r="K522" s="114"/>
      <c r="L522" s="37"/>
      <c r="M522" s="37"/>
      <c r="N522" s="37"/>
      <c r="O522" s="132"/>
      <c r="P522" s="134"/>
      <c r="Q522" s="261"/>
      <c r="R522" s="94"/>
    </row>
    <row r="523" spans="3:18" x14ac:dyDescent="0.25">
      <c r="C523" s="279"/>
      <c r="D523" s="159"/>
      <c r="E523" s="40"/>
      <c r="F523" s="129"/>
      <c r="G523" s="1"/>
      <c r="H523" s="163"/>
      <c r="I523" s="37"/>
      <c r="J523" s="138"/>
      <c r="K523" s="114"/>
      <c r="L523" s="37"/>
      <c r="M523" s="37"/>
      <c r="N523" s="37"/>
      <c r="O523" s="132"/>
      <c r="P523" s="134"/>
      <c r="Q523" s="261"/>
      <c r="R523" s="94"/>
    </row>
    <row r="524" spans="3:18" x14ac:dyDescent="0.25">
      <c r="C524" s="279"/>
      <c r="D524" s="159"/>
      <c r="E524" s="40"/>
      <c r="F524" s="129"/>
      <c r="G524" s="1"/>
      <c r="H524" s="163"/>
      <c r="I524" s="37"/>
      <c r="J524" s="138"/>
      <c r="K524" s="114"/>
      <c r="L524" s="37"/>
      <c r="M524" s="37"/>
      <c r="N524" s="37"/>
      <c r="O524" s="132"/>
      <c r="P524" s="134"/>
      <c r="Q524" s="261"/>
      <c r="R524" s="94"/>
    </row>
    <row r="525" spans="3:18" x14ac:dyDescent="0.25">
      <c r="C525" s="279"/>
      <c r="D525" s="159"/>
      <c r="E525" s="40"/>
      <c r="F525" s="129"/>
      <c r="G525" s="1"/>
      <c r="H525" s="163"/>
      <c r="I525" s="37"/>
      <c r="J525" s="138"/>
      <c r="K525" s="114"/>
      <c r="L525" s="37"/>
      <c r="M525" s="37"/>
      <c r="N525" s="37"/>
      <c r="O525" s="132"/>
      <c r="P525" s="134"/>
      <c r="Q525" s="261"/>
      <c r="R525" s="94"/>
    </row>
    <row r="526" spans="3:18" x14ac:dyDescent="0.25">
      <c r="C526" s="279"/>
      <c r="D526" s="159"/>
      <c r="E526" s="40"/>
      <c r="F526" s="129"/>
      <c r="G526" s="1"/>
      <c r="H526" s="163"/>
      <c r="I526" s="37"/>
      <c r="J526" s="138"/>
      <c r="K526" s="114"/>
      <c r="L526" s="37"/>
      <c r="M526" s="37"/>
      <c r="N526" s="37"/>
      <c r="O526" s="132"/>
      <c r="P526" s="134"/>
      <c r="Q526" s="261"/>
      <c r="R526" s="94"/>
    </row>
    <row r="527" spans="3:18" x14ac:dyDescent="0.25">
      <c r="C527" s="279"/>
      <c r="D527" s="159"/>
      <c r="E527" s="40"/>
      <c r="F527" s="129"/>
      <c r="G527" s="1"/>
      <c r="H527" s="163"/>
      <c r="I527" s="37"/>
      <c r="J527" s="138"/>
      <c r="K527" s="114"/>
      <c r="L527" s="37"/>
      <c r="M527" s="37"/>
      <c r="N527" s="37"/>
      <c r="O527" s="132"/>
      <c r="P527" s="134"/>
      <c r="Q527" s="261"/>
      <c r="R527" s="94"/>
    </row>
    <row r="528" spans="3:18" x14ac:dyDescent="0.25">
      <c r="C528" s="279"/>
      <c r="D528" s="159"/>
      <c r="E528" s="40"/>
      <c r="F528" s="129"/>
      <c r="G528" s="1"/>
      <c r="H528" s="163"/>
      <c r="I528" s="37"/>
      <c r="J528" s="138"/>
      <c r="K528" s="114"/>
      <c r="L528" s="37"/>
      <c r="M528" s="37"/>
      <c r="N528" s="37"/>
      <c r="O528" s="132"/>
      <c r="P528" s="134"/>
      <c r="Q528" s="261"/>
      <c r="R528" s="94"/>
    </row>
    <row r="529" spans="3:18" x14ac:dyDescent="0.25">
      <c r="C529" s="279"/>
      <c r="D529" s="159"/>
      <c r="E529" s="40"/>
      <c r="F529" s="129"/>
      <c r="G529" s="1"/>
      <c r="H529" s="163"/>
      <c r="I529" s="37"/>
      <c r="J529" s="138"/>
      <c r="K529" s="114"/>
      <c r="L529" s="37"/>
      <c r="M529" s="37"/>
      <c r="N529" s="37"/>
      <c r="O529" s="132"/>
      <c r="P529" s="134"/>
      <c r="Q529" s="261"/>
      <c r="R529" s="94"/>
    </row>
    <row r="530" spans="3:18" x14ac:dyDescent="0.25">
      <c r="C530" s="279"/>
      <c r="D530" s="159"/>
      <c r="E530" s="40"/>
      <c r="F530" s="129"/>
      <c r="G530" s="1"/>
      <c r="H530" s="163"/>
      <c r="I530" s="37"/>
      <c r="J530" s="138"/>
      <c r="K530" s="114"/>
      <c r="L530" s="37"/>
      <c r="M530" s="37"/>
      <c r="N530" s="37"/>
      <c r="O530" s="132"/>
      <c r="P530" s="134"/>
      <c r="Q530" s="261"/>
      <c r="R530" s="94"/>
    </row>
    <row r="531" spans="3:18" x14ac:dyDescent="0.25">
      <c r="C531" s="279"/>
      <c r="D531" s="159"/>
      <c r="E531" s="40"/>
      <c r="F531" s="129"/>
      <c r="G531" s="1"/>
      <c r="H531" s="163"/>
      <c r="I531" s="37"/>
      <c r="J531" s="138"/>
      <c r="K531" s="114"/>
      <c r="L531" s="37"/>
      <c r="M531" s="37"/>
      <c r="N531" s="37"/>
      <c r="O531" s="132"/>
      <c r="P531" s="134"/>
      <c r="Q531" s="261"/>
      <c r="R531" s="94"/>
    </row>
    <row r="532" spans="3:18" x14ac:dyDescent="0.25">
      <c r="C532" s="279"/>
      <c r="D532" s="159"/>
      <c r="E532" s="40"/>
      <c r="F532" s="129"/>
      <c r="G532" s="1"/>
      <c r="H532" s="163"/>
      <c r="I532" s="37"/>
      <c r="J532" s="138"/>
      <c r="K532" s="114"/>
      <c r="L532" s="37"/>
      <c r="M532" s="37"/>
      <c r="N532" s="37"/>
      <c r="O532" s="132"/>
      <c r="P532" s="134"/>
      <c r="Q532" s="261"/>
      <c r="R532" s="94"/>
    </row>
    <row r="533" spans="3:18" x14ac:dyDescent="0.25">
      <c r="C533" s="279"/>
      <c r="D533" s="159"/>
      <c r="E533" s="40"/>
      <c r="F533" s="129"/>
      <c r="G533" s="1"/>
      <c r="H533" s="163"/>
      <c r="I533" s="37"/>
      <c r="J533" s="138"/>
      <c r="K533" s="114"/>
      <c r="L533" s="37"/>
      <c r="M533" s="37"/>
      <c r="N533" s="37"/>
      <c r="O533" s="132"/>
      <c r="P533" s="134"/>
      <c r="Q533" s="261"/>
      <c r="R533" s="94"/>
    </row>
    <row r="534" spans="3:18" x14ac:dyDescent="0.25">
      <c r="C534" s="279"/>
      <c r="D534" s="159"/>
      <c r="E534" s="40"/>
      <c r="F534" s="129"/>
      <c r="G534" s="1"/>
      <c r="H534" s="163"/>
      <c r="I534" s="37"/>
      <c r="J534" s="138"/>
      <c r="K534" s="114"/>
      <c r="L534" s="37"/>
      <c r="M534" s="37"/>
      <c r="N534" s="37"/>
      <c r="O534" s="132"/>
      <c r="P534" s="134"/>
      <c r="Q534" s="261"/>
      <c r="R534" s="94"/>
    </row>
    <row r="535" spans="3:18" x14ac:dyDescent="0.25">
      <c r="C535" s="279"/>
      <c r="D535" s="159"/>
      <c r="E535" s="40"/>
      <c r="F535" s="129"/>
      <c r="G535" s="1"/>
      <c r="H535" s="163"/>
      <c r="I535" s="37"/>
      <c r="J535" s="138"/>
      <c r="K535" s="114"/>
      <c r="L535" s="37"/>
      <c r="M535" s="37"/>
      <c r="N535" s="37"/>
      <c r="O535" s="132"/>
      <c r="P535" s="134"/>
      <c r="Q535" s="261"/>
      <c r="R535" s="94"/>
    </row>
    <row r="536" spans="3:18" x14ac:dyDescent="0.25">
      <c r="C536" s="279"/>
      <c r="D536" s="159"/>
      <c r="E536" s="40"/>
      <c r="F536" s="129"/>
      <c r="G536" s="1"/>
      <c r="H536" s="163"/>
      <c r="I536" s="37"/>
      <c r="J536" s="138"/>
      <c r="K536" s="114"/>
      <c r="L536" s="37"/>
      <c r="M536" s="37"/>
      <c r="N536" s="37"/>
      <c r="O536" s="132"/>
      <c r="P536" s="134"/>
      <c r="Q536" s="261"/>
      <c r="R536" s="94"/>
    </row>
    <row r="537" spans="3:18" x14ac:dyDescent="0.25">
      <c r="C537" s="279"/>
      <c r="D537" s="159"/>
      <c r="E537" s="40"/>
      <c r="F537" s="129"/>
      <c r="G537" s="1"/>
      <c r="H537" s="163"/>
      <c r="I537" s="37"/>
      <c r="J537" s="138"/>
      <c r="K537" s="114"/>
      <c r="L537" s="37"/>
      <c r="M537" s="37"/>
      <c r="N537" s="37"/>
      <c r="O537" s="132"/>
      <c r="P537" s="134"/>
      <c r="Q537" s="261"/>
      <c r="R537" s="94"/>
    </row>
    <row r="538" spans="3:18" x14ac:dyDescent="0.25">
      <c r="C538" s="279"/>
      <c r="D538" s="159"/>
      <c r="E538" s="40"/>
      <c r="F538" s="129"/>
      <c r="G538" s="1"/>
      <c r="H538" s="163"/>
      <c r="I538" s="37"/>
      <c r="J538" s="138"/>
      <c r="K538" s="114"/>
      <c r="L538" s="37"/>
      <c r="M538" s="37"/>
      <c r="N538" s="37"/>
      <c r="O538" s="132"/>
      <c r="P538" s="134"/>
      <c r="Q538" s="261"/>
      <c r="R538" s="94"/>
    </row>
    <row r="539" spans="3:18" x14ac:dyDescent="0.25">
      <c r="C539" s="279"/>
      <c r="D539" s="159"/>
      <c r="E539" s="40"/>
      <c r="F539" s="129"/>
      <c r="G539" s="1"/>
      <c r="H539" s="163"/>
      <c r="I539" s="37"/>
      <c r="J539" s="138"/>
      <c r="K539" s="114"/>
      <c r="L539" s="37"/>
      <c r="M539" s="37"/>
      <c r="N539" s="37"/>
      <c r="O539" s="132"/>
      <c r="P539" s="134"/>
      <c r="Q539" s="261"/>
      <c r="R539" s="94"/>
    </row>
    <row r="540" spans="3:18" x14ac:dyDescent="0.25">
      <c r="C540" s="279"/>
      <c r="D540" s="159"/>
      <c r="E540" s="40"/>
      <c r="F540" s="129"/>
      <c r="G540" s="1"/>
      <c r="H540" s="163"/>
      <c r="I540" s="37"/>
      <c r="J540" s="138"/>
      <c r="K540" s="114"/>
      <c r="L540" s="37"/>
      <c r="M540" s="37"/>
      <c r="N540" s="37"/>
      <c r="O540" s="132"/>
      <c r="P540" s="134"/>
      <c r="Q540" s="261"/>
      <c r="R540" s="94"/>
    </row>
    <row r="541" spans="3:18" x14ac:dyDescent="0.25">
      <c r="C541" s="279"/>
      <c r="D541" s="159"/>
      <c r="E541" s="40"/>
      <c r="F541" s="129"/>
      <c r="G541" s="1"/>
      <c r="H541" s="163"/>
      <c r="I541" s="37"/>
      <c r="J541" s="138"/>
      <c r="K541" s="114"/>
      <c r="L541" s="37"/>
      <c r="M541" s="37"/>
      <c r="N541" s="37"/>
      <c r="O541" s="132"/>
      <c r="P541" s="134"/>
      <c r="Q541" s="261"/>
      <c r="R541" s="94"/>
    </row>
    <row r="542" spans="3:18" x14ac:dyDescent="0.25">
      <c r="C542" s="279"/>
      <c r="D542" s="159"/>
      <c r="E542" s="40"/>
      <c r="F542" s="129"/>
      <c r="G542" s="1"/>
      <c r="H542" s="163"/>
      <c r="I542" s="37"/>
      <c r="J542" s="138"/>
      <c r="K542" s="114"/>
      <c r="L542" s="37"/>
      <c r="M542" s="37"/>
      <c r="N542" s="37"/>
      <c r="O542" s="132"/>
      <c r="P542" s="134"/>
      <c r="Q542" s="261"/>
      <c r="R542" s="94"/>
    </row>
    <row r="543" spans="3:18" x14ac:dyDescent="0.25">
      <c r="C543" s="279"/>
      <c r="D543" s="159"/>
      <c r="E543" s="40"/>
      <c r="F543" s="129"/>
      <c r="G543" s="1"/>
      <c r="H543" s="163"/>
      <c r="I543" s="37"/>
      <c r="J543" s="138"/>
      <c r="K543" s="114"/>
      <c r="L543" s="37"/>
      <c r="M543" s="37"/>
      <c r="N543" s="37"/>
      <c r="O543" s="132"/>
      <c r="P543" s="134"/>
      <c r="Q543" s="261"/>
      <c r="R543" s="94"/>
    </row>
    <row r="544" spans="3:18" x14ac:dyDescent="0.25">
      <c r="C544" s="279"/>
      <c r="D544" s="159"/>
      <c r="E544" s="40"/>
      <c r="F544" s="129"/>
      <c r="G544" s="1"/>
      <c r="H544" s="163"/>
      <c r="I544" s="37"/>
      <c r="J544" s="138"/>
      <c r="K544" s="114"/>
      <c r="L544" s="37"/>
      <c r="M544" s="37"/>
      <c r="N544" s="37"/>
      <c r="O544" s="132"/>
      <c r="P544" s="134"/>
      <c r="Q544" s="261"/>
      <c r="R544" s="94"/>
    </row>
    <row r="545" spans="3:18" x14ac:dyDescent="0.25">
      <c r="C545" s="279"/>
      <c r="D545" s="159"/>
      <c r="E545" s="40"/>
      <c r="F545" s="129"/>
      <c r="G545" s="1"/>
      <c r="H545" s="163"/>
      <c r="I545" s="37"/>
      <c r="J545" s="138"/>
      <c r="K545" s="114"/>
      <c r="L545" s="37"/>
      <c r="M545" s="37"/>
      <c r="N545" s="37"/>
      <c r="O545" s="132"/>
      <c r="P545" s="134"/>
      <c r="Q545" s="261"/>
      <c r="R545" s="94"/>
    </row>
    <row r="546" spans="3:18" x14ac:dyDescent="0.25">
      <c r="C546" s="279"/>
      <c r="D546" s="159"/>
      <c r="E546" s="40"/>
      <c r="F546" s="129"/>
      <c r="G546" s="1"/>
      <c r="H546" s="163"/>
      <c r="I546" s="37"/>
      <c r="J546" s="138"/>
      <c r="K546" s="114"/>
      <c r="L546" s="37"/>
      <c r="M546" s="37"/>
      <c r="N546" s="37"/>
      <c r="O546" s="132"/>
      <c r="P546" s="134"/>
      <c r="Q546" s="261"/>
      <c r="R546" s="94"/>
    </row>
    <row r="547" spans="3:18" x14ac:dyDescent="0.25">
      <c r="C547" s="279"/>
      <c r="D547" s="159"/>
      <c r="E547" s="40"/>
      <c r="F547" s="129"/>
      <c r="G547" s="1"/>
      <c r="H547" s="163"/>
      <c r="I547" s="37"/>
      <c r="J547" s="138"/>
      <c r="K547" s="114"/>
      <c r="L547" s="37"/>
      <c r="M547" s="37"/>
      <c r="N547" s="37"/>
      <c r="O547" s="132"/>
      <c r="P547" s="134"/>
      <c r="Q547" s="261"/>
      <c r="R547" s="94"/>
    </row>
    <row r="548" spans="3:18" x14ac:dyDescent="0.25">
      <c r="C548" s="279"/>
      <c r="D548" s="159"/>
      <c r="E548" s="40"/>
      <c r="F548" s="129"/>
      <c r="G548" s="1"/>
      <c r="H548" s="163"/>
      <c r="I548" s="37"/>
      <c r="J548" s="138"/>
      <c r="K548" s="114"/>
      <c r="L548" s="37"/>
      <c r="M548" s="37"/>
      <c r="N548" s="37"/>
      <c r="O548" s="132"/>
      <c r="P548" s="134"/>
      <c r="Q548" s="261"/>
      <c r="R548" s="94"/>
    </row>
    <row r="549" spans="3:18" x14ac:dyDescent="0.25">
      <c r="C549" s="279"/>
      <c r="D549" s="159"/>
      <c r="E549" s="40"/>
      <c r="F549" s="129"/>
      <c r="G549" s="1"/>
      <c r="H549" s="163"/>
      <c r="I549" s="37"/>
      <c r="J549" s="138"/>
      <c r="K549" s="114"/>
      <c r="L549" s="37"/>
      <c r="M549" s="37"/>
      <c r="N549" s="37"/>
      <c r="O549" s="132"/>
      <c r="P549" s="134"/>
      <c r="Q549" s="261"/>
      <c r="R549" s="94"/>
    </row>
    <row r="550" spans="3:18" x14ac:dyDescent="0.25">
      <c r="C550" s="279"/>
      <c r="D550" s="159"/>
      <c r="E550" s="40"/>
      <c r="F550" s="129"/>
      <c r="G550" s="1"/>
      <c r="H550" s="163"/>
      <c r="I550" s="37"/>
      <c r="J550" s="138"/>
      <c r="K550" s="114"/>
      <c r="L550" s="37"/>
      <c r="M550" s="37"/>
      <c r="N550" s="37"/>
      <c r="O550" s="132"/>
      <c r="P550" s="134"/>
      <c r="Q550" s="261"/>
      <c r="R550" s="94"/>
    </row>
    <row r="551" spans="3:18" x14ac:dyDescent="0.25">
      <c r="C551" s="279"/>
      <c r="D551" s="159"/>
      <c r="E551" s="40"/>
      <c r="F551" s="129"/>
      <c r="G551" s="1"/>
      <c r="H551" s="163"/>
      <c r="I551" s="37"/>
      <c r="J551" s="138"/>
      <c r="K551" s="114"/>
      <c r="L551" s="37"/>
      <c r="M551" s="37"/>
      <c r="N551" s="37"/>
      <c r="O551" s="132"/>
      <c r="P551" s="134"/>
      <c r="Q551" s="261"/>
      <c r="R551" s="94"/>
    </row>
    <row r="552" spans="3:18" x14ac:dyDescent="0.25">
      <c r="C552" s="279"/>
      <c r="D552" s="159"/>
      <c r="E552" s="40"/>
      <c r="F552" s="129"/>
      <c r="G552" s="1"/>
      <c r="H552" s="163"/>
      <c r="I552" s="37"/>
      <c r="J552" s="138"/>
      <c r="K552" s="114"/>
      <c r="L552" s="37"/>
      <c r="M552" s="37"/>
      <c r="N552" s="37"/>
      <c r="O552" s="132"/>
      <c r="P552" s="134"/>
      <c r="Q552" s="261"/>
      <c r="R552" s="94"/>
    </row>
    <row r="553" spans="3:18" x14ac:dyDescent="0.25">
      <c r="C553" s="279"/>
      <c r="D553" s="159"/>
      <c r="E553" s="40"/>
      <c r="F553" s="129"/>
      <c r="G553" s="1"/>
      <c r="H553" s="163"/>
      <c r="I553" s="37"/>
      <c r="J553" s="138"/>
      <c r="K553" s="114"/>
      <c r="L553" s="37"/>
      <c r="M553" s="37"/>
      <c r="N553" s="37"/>
      <c r="O553" s="132"/>
      <c r="P553" s="134"/>
      <c r="Q553" s="261"/>
      <c r="R553" s="94"/>
    </row>
    <row r="554" spans="3:18" x14ac:dyDescent="0.25">
      <c r="C554" s="279"/>
      <c r="D554" s="159"/>
      <c r="E554" s="40"/>
      <c r="F554" s="129"/>
      <c r="G554" s="1"/>
      <c r="H554" s="163"/>
      <c r="I554" s="37"/>
      <c r="J554" s="138"/>
      <c r="K554" s="114"/>
      <c r="L554" s="37"/>
      <c r="M554" s="37"/>
      <c r="N554" s="37"/>
      <c r="O554" s="132"/>
      <c r="P554" s="134"/>
      <c r="Q554" s="261"/>
      <c r="R554" s="94"/>
    </row>
    <row r="555" spans="3:18" x14ac:dyDescent="0.25">
      <c r="C555" s="279"/>
      <c r="D555" s="159"/>
      <c r="E555" s="40"/>
      <c r="F555" s="129"/>
      <c r="G555" s="1"/>
      <c r="H555" s="163"/>
      <c r="I555" s="37"/>
      <c r="J555" s="138"/>
      <c r="K555" s="114"/>
      <c r="L555" s="37"/>
      <c r="M555" s="37"/>
      <c r="N555" s="37"/>
      <c r="O555" s="132"/>
      <c r="P555" s="134"/>
      <c r="Q555" s="261"/>
      <c r="R555" s="94"/>
    </row>
    <row r="556" spans="3:18" x14ac:dyDescent="0.25">
      <c r="C556" s="279"/>
      <c r="D556" s="159"/>
      <c r="E556" s="40"/>
      <c r="F556" s="129"/>
      <c r="G556" s="1"/>
      <c r="H556" s="163"/>
      <c r="I556" s="37"/>
      <c r="J556" s="138"/>
      <c r="K556" s="114"/>
      <c r="L556" s="37"/>
      <c r="M556" s="37"/>
      <c r="N556" s="37"/>
      <c r="O556" s="132"/>
      <c r="P556" s="134"/>
      <c r="Q556" s="261"/>
      <c r="R556" s="94"/>
    </row>
    <row r="557" spans="3:18" x14ac:dyDescent="0.25">
      <c r="C557" s="279"/>
      <c r="D557" s="159"/>
      <c r="E557" s="40"/>
      <c r="F557" s="129"/>
      <c r="G557" s="1"/>
      <c r="H557" s="163"/>
      <c r="I557" s="37"/>
      <c r="J557" s="138"/>
      <c r="K557" s="114"/>
      <c r="L557" s="37"/>
      <c r="M557" s="37"/>
      <c r="N557" s="37"/>
      <c r="O557" s="132"/>
      <c r="P557" s="134"/>
      <c r="Q557" s="261"/>
      <c r="R557" s="94"/>
    </row>
    <row r="558" spans="3:18" x14ac:dyDescent="0.25">
      <c r="C558" s="279"/>
      <c r="D558" s="159"/>
      <c r="E558" s="40"/>
      <c r="F558" s="129"/>
      <c r="G558" s="1"/>
      <c r="H558" s="163"/>
      <c r="I558" s="37"/>
      <c r="J558" s="138"/>
      <c r="K558" s="114"/>
      <c r="L558" s="37"/>
      <c r="M558" s="37"/>
      <c r="N558" s="37"/>
      <c r="O558" s="132"/>
      <c r="P558" s="134"/>
      <c r="Q558" s="261"/>
      <c r="R558" s="94"/>
    </row>
    <row r="559" spans="3:18" x14ac:dyDescent="0.25">
      <c r="C559" s="279"/>
      <c r="D559" s="159"/>
      <c r="E559" s="40"/>
      <c r="F559" s="129"/>
      <c r="G559" s="1"/>
      <c r="H559" s="163"/>
      <c r="I559" s="37"/>
      <c r="J559" s="138"/>
      <c r="K559" s="114"/>
      <c r="L559" s="37"/>
      <c r="M559" s="37"/>
      <c r="N559" s="37"/>
      <c r="O559" s="132"/>
      <c r="P559" s="134"/>
      <c r="Q559" s="261"/>
      <c r="R559" s="94"/>
    </row>
    <row r="560" spans="3:18" x14ac:dyDescent="0.25">
      <c r="C560" s="279"/>
      <c r="D560" s="159"/>
      <c r="E560" s="40"/>
      <c r="F560" s="129"/>
      <c r="G560" s="1"/>
      <c r="H560" s="163"/>
      <c r="I560" s="37"/>
      <c r="J560" s="138"/>
      <c r="K560" s="114"/>
      <c r="L560" s="37"/>
      <c r="M560" s="37"/>
      <c r="N560" s="37"/>
      <c r="O560" s="132"/>
      <c r="P560" s="134"/>
      <c r="Q560" s="261"/>
      <c r="R560" s="94"/>
    </row>
    <row r="561" spans="3:18" x14ac:dyDescent="0.25">
      <c r="C561" s="279"/>
      <c r="D561" s="159"/>
      <c r="E561" s="40"/>
      <c r="F561" s="129"/>
      <c r="G561" s="1"/>
      <c r="H561" s="163"/>
      <c r="I561" s="37"/>
      <c r="J561" s="138"/>
      <c r="K561" s="114"/>
      <c r="L561" s="37"/>
      <c r="M561" s="37"/>
      <c r="N561" s="37"/>
      <c r="O561" s="132"/>
      <c r="P561" s="134"/>
      <c r="Q561" s="261"/>
      <c r="R561" s="94"/>
    </row>
    <row r="562" spans="3:18" x14ac:dyDescent="0.25">
      <c r="C562" s="279"/>
      <c r="D562" s="159"/>
      <c r="E562" s="40"/>
      <c r="F562" s="129"/>
      <c r="G562" s="1"/>
      <c r="H562" s="163"/>
      <c r="I562" s="37"/>
      <c r="J562" s="138"/>
      <c r="K562" s="114"/>
      <c r="L562" s="37"/>
      <c r="M562" s="37"/>
      <c r="N562" s="37"/>
      <c r="O562" s="132"/>
      <c r="P562" s="134"/>
      <c r="Q562" s="261"/>
      <c r="R562" s="94"/>
    </row>
    <row r="563" spans="3:18" x14ac:dyDescent="0.25">
      <c r="C563" s="279"/>
      <c r="D563" s="159"/>
      <c r="E563" s="40"/>
      <c r="F563" s="129"/>
      <c r="G563" s="1"/>
      <c r="H563" s="163"/>
      <c r="I563" s="37"/>
      <c r="J563" s="138"/>
      <c r="K563" s="114"/>
      <c r="L563" s="37"/>
      <c r="M563" s="37"/>
      <c r="N563" s="37"/>
      <c r="O563" s="132"/>
      <c r="P563" s="134"/>
      <c r="Q563" s="261"/>
      <c r="R563" s="94"/>
    </row>
    <row r="564" spans="3:18" x14ac:dyDescent="0.25">
      <c r="C564" s="279"/>
      <c r="D564" s="159"/>
      <c r="E564" s="40"/>
      <c r="F564" s="129"/>
      <c r="G564" s="1"/>
      <c r="H564" s="163"/>
      <c r="I564" s="37"/>
      <c r="J564" s="138"/>
      <c r="K564" s="114"/>
      <c r="L564" s="37"/>
      <c r="M564" s="37"/>
      <c r="N564" s="37"/>
      <c r="O564" s="132"/>
      <c r="P564" s="134"/>
      <c r="Q564" s="261"/>
      <c r="R564" s="94"/>
    </row>
    <row r="565" spans="3:18" x14ac:dyDescent="0.25">
      <c r="C565" s="279"/>
      <c r="D565" s="159"/>
      <c r="E565" s="40"/>
      <c r="F565" s="129"/>
      <c r="G565" s="1"/>
      <c r="H565" s="163"/>
      <c r="I565" s="37"/>
      <c r="J565" s="138"/>
      <c r="K565" s="114"/>
      <c r="L565" s="37"/>
      <c r="M565" s="37"/>
      <c r="N565" s="37"/>
      <c r="O565" s="132"/>
      <c r="P565" s="134"/>
      <c r="Q565" s="261"/>
      <c r="R565" s="94"/>
    </row>
    <row r="566" spans="3:18" x14ac:dyDescent="0.25">
      <c r="C566" s="279"/>
      <c r="D566" s="159"/>
      <c r="E566" s="40"/>
      <c r="F566" s="129"/>
      <c r="G566" s="1"/>
      <c r="H566" s="163"/>
      <c r="I566" s="37"/>
      <c r="J566" s="138"/>
      <c r="K566" s="114"/>
      <c r="L566" s="37"/>
      <c r="M566" s="37"/>
      <c r="N566" s="37"/>
      <c r="O566" s="132"/>
      <c r="P566" s="134"/>
      <c r="Q566" s="261"/>
      <c r="R566" s="94"/>
    </row>
    <row r="567" spans="3:18" x14ac:dyDescent="0.25">
      <c r="C567" s="279"/>
      <c r="D567" s="159"/>
      <c r="E567" s="40"/>
      <c r="F567" s="129"/>
      <c r="G567" s="1"/>
      <c r="H567" s="163"/>
      <c r="I567" s="37"/>
      <c r="J567" s="138"/>
      <c r="K567" s="114"/>
      <c r="L567" s="37"/>
      <c r="M567" s="37"/>
      <c r="N567" s="37"/>
      <c r="O567" s="132"/>
      <c r="P567" s="134"/>
      <c r="Q567" s="261"/>
      <c r="R567" s="94"/>
    </row>
    <row r="568" spans="3:18" x14ac:dyDescent="0.25">
      <c r="C568" s="279"/>
      <c r="D568" s="159"/>
      <c r="E568" s="40"/>
      <c r="F568" s="129"/>
      <c r="G568" s="1"/>
      <c r="H568" s="163"/>
      <c r="I568" s="37"/>
      <c r="J568" s="138"/>
      <c r="K568" s="114"/>
      <c r="L568" s="37"/>
      <c r="M568" s="37"/>
      <c r="N568" s="37"/>
      <c r="O568" s="132"/>
      <c r="P568" s="134"/>
      <c r="Q568" s="261"/>
      <c r="R568" s="94"/>
    </row>
    <row r="569" spans="3:18" x14ac:dyDescent="0.25">
      <c r="C569" s="279"/>
      <c r="D569" s="159"/>
      <c r="E569" s="40"/>
      <c r="F569" s="129"/>
      <c r="G569" s="1"/>
      <c r="H569" s="163"/>
      <c r="I569" s="37"/>
      <c r="J569" s="138"/>
      <c r="K569" s="114"/>
      <c r="L569" s="37"/>
      <c r="M569" s="37"/>
      <c r="N569" s="37"/>
      <c r="O569" s="132"/>
      <c r="P569" s="134"/>
      <c r="Q569" s="261"/>
      <c r="R569" s="94"/>
    </row>
    <row r="570" spans="3:18" x14ac:dyDescent="0.25">
      <c r="C570" s="279"/>
      <c r="D570" s="159"/>
      <c r="E570" s="40"/>
      <c r="F570" s="129"/>
      <c r="G570" s="1"/>
      <c r="H570" s="163"/>
      <c r="I570" s="37"/>
      <c r="J570" s="138"/>
      <c r="K570" s="114"/>
      <c r="L570" s="37"/>
      <c r="M570" s="37"/>
      <c r="N570" s="37"/>
      <c r="O570" s="132"/>
      <c r="P570" s="134"/>
      <c r="Q570" s="261"/>
      <c r="R570" s="94"/>
    </row>
    <row r="571" spans="3:18" x14ac:dyDescent="0.25">
      <c r="C571" s="279"/>
      <c r="D571" s="159"/>
      <c r="E571" s="40"/>
      <c r="F571" s="129"/>
      <c r="G571" s="1"/>
      <c r="H571" s="163"/>
      <c r="I571" s="37"/>
      <c r="J571" s="138"/>
      <c r="K571" s="114"/>
      <c r="L571" s="37"/>
      <c r="M571" s="37"/>
      <c r="N571" s="37"/>
      <c r="O571" s="132"/>
      <c r="P571" s="134"/>
      <c r="Q571" s="261"/>
      <c r="R571" s="94"/>
    </row>
    <row r="572" spans="3:18" x14ac:dyDescent="0.25">
      <c r="C572" s="279"/>
      <c r="D572" s="159"/>
      <c r="E572" s="40"/>
      <c r="F572" s="129"/>
      <c r="G572" s="1"/>
      <c r="H572" s="163"/>
      <c r="I572" s="37"/>
      <c r="J572" s="138"/>
      <c r="K572" s="114"/>
      <c r="L572" s="37"/>
      <c r="M572" s="37"/>
      <c r="N572" s="37"/>
      <c r="O572" s="132"/>
      <c r="P572" s="134"/>
      <c r="Q572" s="261"/>
      <c r="R572" s="94"/>
    </row>
    <row r="573" spans="3:18" x14ac:dyDescent="0.25">
      <c r="C573" s="279"/>
      <c r="D573" s="159"/>
      <c r="E573" s="40"/>
      <c r="F573" s="129"/>
      <c r="G573" s="1"/>
      <c r="H573" s="163"/>
      <c r="I573" s="37"/>
      <c r="J573" s="138"/>
      <c r="K573" s="114"/>
      <c r="L573" s="37"/>
      <c r="M573" s="37"/>
      <c r="N573" s="37"/>
      <c r="O573" s="132"/>
      <c r="P573" s="134"/>
      <c r="Q573" s="261"/>
      <c r="R573" s="94"/>
    </row>
    <row r="574" spans="3:18" x14ac:dyDescent="0.25">
      <c r="C574" s="279"/>
      <c r="D574" s="159"/>
      <c r="E574" s="40"/>
      <c r="F574" s="129"/>
      <c r="G574" s="1"/>
      <c r="H574" s="163"/>
      <c r="I574" s="37"/>
      <c r="J574" s="138"/>
      <c r="K574" s="114"/>
      <c r="L574" s="37"/>
      <c r="M574" s="37"/>
      <c r="N574" s="37"/>
      <c r="O574" s="132"/>
      <c r="P574" s="134"/>
      <c r="Q574" s="261"/>
      <c r="R574" s="94"/>
    </row>
    <row r="575" spans="3:18" x14ac:dyDescent="0.25">
      <c r="C575" s="279"/>
      <c r="D575" s="159"/>
      <c r="E575" s="40"/>
      <c r="F575" s="129"/>
      <c r="G575" s="1"/>
      <c r="H575" s="163"/>
      <c r="I575" s="37"/>
      <c r="J575" s="138"/>
      <c r="K575" s="114"/>
      <c r="L575" s="37"/>
      <c r="M575" s="37"/>
      <c r="N575" s="37"/>
      <c r="O575" s="132"/>
      <c r="P575" s="134"/>
      <c r="Q575" s="261"/>
      <c r="R575" s="94"/>
    </row>
    <row r="576" spans="3:18" x14ac:dyDescent="0.25">
      <c r="C576" s="279"/>
      <c r="D576" s="159"/>
      <c r="E576" s="40"/>
      <c r="F576" s="129"/>
      <c r="G576" s="1"/>
      <c r="H576" s="163"/>
      <c r="I576" s="37"/>
      <c r="J576" s="138"/>
      <c r="K576" s="114"/>
      <c r="L576" s="37"/>
      <c r="M576" s="37"/>
      <c r="N576" s="37"/>
      <c r="O576" s="132"/>
      <c r="P576" s="134"/>
      <c r="Q576" s="261"/>
      <c r="R576" s="94"/>
    </row>
    <row r="577" spans="3:18" x14ac:dyDescent="0.25">
      <c r="C577" s="279"/>
      <c r="D577" s="159"/>
      <c r="E577" s="40"/>
      <c r="F577" s="129"/>
      <c r="G577" s="1"/>
      <c r="H577" s="163"/>
      <c r="I577" s="37"/>
      <c r="J577" s="138"/>
      <c r="K577" s="114"/>
      <c r="L577" s="37"/>
      <c r="M577" s="37"/>
      <c r="N577" s="37"/>
      <c r="O577" s="132"/>
      <c r="P577" s="134"/>
      <c r="Q577" s="261"/>
      <c r="R577" s="94"/>
    </row>
    <row r="578" spans="3:18" x14ac:dyDescent="0.25">
      <c r="C578" s="279"/>
      <c r="D578" s="159"/>
      <c r="E578" s="40"/>
      <c r="F578" s="129"/>
      <c r="G578" s="1"/>
      <c r="H578" s="163"/>
      <c r="I578" s="37"/>
      <c r="J578" s="138"/>
      <c r="K578" s="114"/>
      <c r="L578" s="37"/>
      <c r="M578" s="37"/>
      <c r="N578" s="37"/>
      <c r="O578" s="132"/>
      <c r="P578" s="134"/>
      <c r="Q578" s="261"/>
      <c r="R578" s="94"/>
    </row>
    <row r="579" spans="3:18" x14ac:dyDescent="0.25">
      <c r="C579" s="279"/>
      <c r="D579" s="159"/>
      <c r="E579" s="40"/>
      <c r="F579" s="129"/>
      <c r="G579" s="1"/>
      <c r="H579" s="163"/>
      <c r="I579" s="37"/>
      <c r="J579" s="138"/>
      <c r="K579" s="114"/>
      <c r="L579" s="37"/>
      <c r="M579" s="37"/>
      <c r="N579" s="37"/>
      <c r="O579" s="132"/>
      <c r="P579" s="134"/>
      <c r="Q579" s="261"/>
      <c r="R579" s="94"/>
    </row>
    <row r="580" spans="3:18" x14ac:dyDescent="0.25">
      <c r="C580" s="279"/>
      <c r="D580" s="159"/>
      <c r="E580" s="40"/>
      <c r="F580" s="129"/>
      <c r="G580" s="1"/>
      <c r="H580" s="163"/>
      <c r="I580" s="37"/>
      <c r="J580" s="138"/>
      <c r="K580" s="114"/>
      <c r="L580" s="37"/>
      <c r="M580" s="37"/>
      <c r="N580" s="37"/>
      <c r="O580" s="132"/>
      <c r="P580" s="134"/>
      <c r="Q580" s="261"/>
      <c r="R580" s="94"/>
    </row>
    <row r="581" spans="3:18" x14ac:dyDescent="0.25">
      <c r="C581" s="279"/>
      <c r="D581" s="159"/>
      <c r="E581" s="40"/>
      <c r="F581" s="129"/>
      <c r="G581" s="1"/>
      <c r="H581" s="163"/>
      <c r="I581" s="37"/>
      <c r="J581" s="138"/>
      <c r="K581" s="114"/>
      <c r="L581" s="37"/>
      <c r="M581" s="37"/>
      <c r="N581" s="37"/>
      <c r="O581" s="132"/>
      <c r="P581" s="134"/>
      <c r="Q581" s="261"/>
      <c r="R581" s="94"/>
    </row>
    <row r="582" spans="3:18" x14ac:dyDescent="0.25">
      <c r="C582" s="279"/>
      <c r="D582" s="159"/>
      <c r="E582" s="40"/>
      <c r="F582" s="129"/>
      <c r="G582" s="1"/>
      <c r="H582" s="163"/>
      <c r="I582" s="37"/>
      <c r="J582" s="138"/>
      <c r="K582" s="114"/>
      <c r="L582" s="37"/>
      <c r="M582" s="37"/>
      <c r="N582" s="37"/>
      <c r="O582" s="132"/>
      <c r="P582" s="134"/>
      <c r="Q582" s="261"/>
      <c r="R582" s="94"/>
    </row>
    <row r="583" spans="3:18" x14ac:dyDescent="0.25">
      <c r="C583" s="279"/>
      <c r="D583" s="159"/>
      <c r="E583" s="40"/>
      <c r="F583" s="129"/>
      <c r="G583" s="1"/>
      <c r="H583" s="163"/>
      <c r="I583" s="37"/>
      <c r="J583" s="138"/>
      <c r="K583" s="114"/>
      <c r="L583" s="37"/>
      <c r="M583" s="37"/>
      <c r="N583" s="37"/>
      <c r="O583" s="132"/>
      <c r="P583" s="134"/>
      <c r="Q583" s="261"/>
      <c r="R583" s="94"/>
    </row>
    <row r="584" spans="3:18" x14ac:dyDescent="0.25">
      <c r="C584" s="279"/>
      <c r="D584" s="159"/>
      <c r="E584" s="40"/>
      <c r="F584" s="129"/>
      <c r="G584" s="1"/>
      <c r="H584" s="163"/>
      <c r="I584" s="37"/>
      <c r="J584" s="138"/>
      <c r="K584" s="114"/>
      <c r="L584" s="37"/>
      <c r="M584" s="37"/>
      <c r="N584" s="37"/>
      <c r="O584" s="132"/>
      <c r="P584" s="134"/>
      <c r="Q584" s="261"/>
      <c r="R584" s="94"/>
    </row>
    <row r="585" spans="3:18" x14ac:dyDescent="0.25">
      <c r="C585" s="279"/>
      <c r="D585" s="159"/>
      <c r="E585" s="40"/>
      <c r="F585" s="129"/>
      <c r="G585" s="1"/>
      <c r="H585" s="163"/>
      <c r="I585" s="37"/>
      <c r="J585" s="138"/>
      <c r="K585" s="114"/>
      <c r="L585" s="37"/>
      <c r="M585" s="37"/>
      <c r="N585" s="37"/>
      <c r="O585" s="132"/>
      <c r="P585" s="134"/>
      <c r="Q585" s="261"/>
      <c r="R585" s="94"/>
    </row>
    <row r="586" spans="3:18" x14ac:dyDescent="0.25">
      <c r="C586" s="279"/>
      <c r="D586" s="159"/>
      <c r="E586" s="40"/>
      <c r="F586" s="129"/>
      <c r="G586" s="1"/>
      <c r="H586" s="163"/>
      <c r="I586" s="37"/>
      <c r="J586" s="138"/>
      <c r="K586" s="114"/>
      <c r="L586" s="37"/>
      <c r="M586" s="37"/>
      <c r="N586" s="37"/>
      <c r="O586" s="132"/>
      <c r="P586" s="134"/>
      <c r="Q586" s="261"/>
      <c r="R586" s="94"/>
    </row>
    <row r="587" spans="3:18" x14ac:dyDescent="0.25">
      <c r="C587" s="279"/>
      <c r="D587" s="159"/>
      <c r="E587" s="40"/>
      <c r="F587" s="129"/>
      <c r="G587" s="1"/>
      <c r="H587" s="163"/>
      <c r="I587" s="37"/>
      <c r="J587" s="138"/>
      <c r="K587" s="114"/>
      <c r="L587" s="37"/>
      <c r="M587" s="37"/>
      <c r="N587" s="37"/>
      <c r="O587" s="132"/>
      <c r="P587" s="134"/>
      <c r="Q587" s="261"/>
      <c r="R587" s="94"/>
    </row>
    <row r="588" spans="3:18" x14ac:dyDescent="0.25">
      <c r="C588" s="279"/>
      <c r="D588" s="159"/>
      <c r="E588" s="40"/>
      <c r="F588" s="129"/>
      <c r="G588" s="1"/>
      <c r="H588" s="163"/>
      <c r="I588" s="37"/>
      <c r="J588" s="138"/>
      <c r="K588" s="114"/>
      <c r="L588" s="37"/>
      <c r="M588" s="37"/>
      <c r="N588" s="37"/>
      <c r="O588" s="132"/>
      <c r="P588" s="134"/>
      <c r="Q588" s="261"/>
      <c r="R588" s="94"/>
    </row>
    <row r="589" spans="3:18" x14ac:dyDescent="0.25">
      <c r="C589" s="279"/>
      <c r="D589" s="159"/>
      <c r="E589" s="40"/>
      <c r="F589" s="129"/>
      <c r="G589" s="1"/>
      <c r="H589" s="163"/>
      <c r="I589" s="37"/>
      <c r="J589" s="138"/>
      <c r="K589" s="114"/>
      <c r="L589" s="37"/>
      <c r="M589" s="37"/>
      <c r="N589" s="37"/>
      <c r="O589" s="132"/>
      <c r="P589" s="134"/>
      <c r="Q589" s="261"/>
      <c r="R589" s="94"/>
    </row>
    <row r="590" spans="3:18" x14ac:dyDescent="0.25">
      <c r="C590" s="279"/>
      <c r="D590" s="159"/>
      <c r="E590" s="40"/>
      <c r="F590" s="129"/>
      <c r="G590" s="1"/>
      <c r="H590" s="163"/>
      <c r="I590" s="37"/>
      <c r="J590" s="138"/>
      <c r="K590" s="114"/>
      <c r="L590" s="37"/>
      <c r="M590" s="37"/>
      <c r="N590" s="37"/>
      <c r="O590" s="132"/>
      <c r="P590" s="134"/>
      <c r="Q590" s="261"/>
      <c r="R590" s="94"/>
    </row>
    <row r="591" spans="3:18" x14ac:dyDescent="0.25">
      <c r="C591" s="279"/>
      <c r="D591" s="159"/>
      <c r="E591" s="40"/>
      <c r="F591" s="129"/>
      <c r="G591" s="1"/>
      <c r="H591" s="163"/>
      <c r="I591" s="37"/>
      <c r="J591" s="138"/>
      <c r="K591" s="114"/>
      <c r="L591" s="37"/>
      <c r="M591" s="37"/>
      <c r="N591" s="37"/>
      <c r="O591" s="132"/>
      <c r="P591" s="134"/>
      <c r="Q591" s="261"/>
      <c r="R591" s="94"/>
    </row>
    <row r="592" spans="3:18" x14ac:dyDescent="0.25">
      <c r="C592" s="279"/>
      <c r="D592" s="159"/>
      <c r="E592" s="40"/>
      <c r="F592" s="129"/>
      <c r="G592" s="1"/>
      <c r="H592" s="163"/>
      <c r="I592" s="37"/>
      <c r="J592" s="138"/>
      <c r="K592" s="114"/>
      <c r="L592" s="37"/>
      <c r="M592" s="37"/>
      <c r="N592" s="37"/>
      <c r="O592" s="132"/>
      <c r="P592" s="134"/>
      <c r="Q592" s="261"/>
      <c r="R592" s="94"/>
    </row>
    <row r="593" spans="3:18" x14ac:dyDescent="0.25">
      <c r="C593" s="279"/>
      <c r="D593" s="159"/>
      <c r="E593" s="40"/>
      <c r="F593" s="129"/>
      <c r="G593" s="1"/>
      <c r="H593" s="163"/>
      <c r="I593" s="37"/>
      <c r="J593" s="138"/>
      <c r="K593" s="114"/>
      <c r="L593" s="37"/>
      <c r="M593" s="37"/>
      <c r="N593" s="37"/>
      <c r="O593" s="132"/>
      <c r="P593" s="134"/>
      <c r="Q593" s="261"/>
      <c r="R593" s="94"/>
    </row>
    <row r="594" spans="3:18" x14ac:dyDescent="0.25">
      <c r="C594" s="279"/>
      <c r="D594" s="159"/>
      <c r="E594" s="40"/>
      <c r="F594" s="129"/>
      <c r="G594" s="1"/>
      <c r="H594" s="163"/>
      <c r="I594" s="37"/>
      <c r="J594" s="138"/>
      <c r="K594" s="114"/>
      <c r="L594" s="37"/>
      <c r="M594" s="37"/>
      <c r="N594" s="37"/>
      <c r="O594" s="132"/>
      <c r="P594" s="134"/>
      <c r="Q594" s="261"/>
      <c r="R594" s="94"/>
    </row>
    <row r="595" spans="3:18" x14ac:dyDescent="0.25">
      <c r="C595" s="279"/>
      <c r="D595" s="159"/>
      <c r="E595" s="40"/>
      <c r="F595" s="129"/>
      <c r="G595" s="1"/>
      <c r="H595" s="163"/>
      <c r="I595" s="37"/>
      <c r="J595" s="138"/>
      <c r="K595" s="114"/>
      <c r="L595" s="37"/>
      <c r="M595" s="37"/>
      <c r="N595" s="37"/>
      <c r="O595" s="132"/>
      <c r="P595" s="134"/>
      <c r="Q595" s="261"/>
      <c r="R595" s="94"/>
    </row>
    <row r="596" spans="3:18" x14ac:dyDescent="0.25">
      <c r="C596" s="279"/>
      <c r="D596" s="159"/>
      <c r="E596" s="40"/>
      <c r="F596" s="129"/>
      <c r="G596" s="1"/>
      <c r="H596" s="163"/>
      <c r="I596" s="37"/>
      <c r="J596" s="138"/>
      <c r="K596" s="114"/>
      <c r="L596" s="37"/>
      <c r="M596" s="37"/>
      <c r="N596" s="37"/>
      <c r="O596" s="132"/>
      <c r="P596" s="134"/>
      <c r="Q596" s="261"/>
      <c r="R596" s="94"/>
    </row>
    <row r="597" spans="3:18" x14ac:dyDescent="0.25">
      <c r="C597" s="279"/>
      <c r="D597" s="159"/>
      <c r="E597" s="40"/>
      <c r="F597" s="129"/>
      <c r="G597" s="1"/>
      <c r="H597" s="163"/>
      <c r="I597" s="37"/>
      <c r="J597" s="138"/>
      <c r="K597" s="114"/>
      <c r="L597" s="37"/>
      <c r="M597" s="37"/>
      <c r="N597" s="37"/>
      <c r="O597" s="132"/>
      <c r="P597" s="134"/>
      <c r="Q597" s="261"/>
      <c r="R597" s="94"/>
    </row>
    <row r="598" spans="3:18" x14ac:dyDescent="0.25">
      <c r="C598" s="279"/>
      <c r="D598" s="159"/>
      <c r="E598" s="40"/>
      <c r="F598" s="129"/>
      <c r="G598" s="1"/>
      <c r="H598" s="163"/>
      <c r="I598" s="37"/>
      <c r="J598" s="138"/>
      <c r="K598" s="114"/>
      <c r="L598" s="37"/>
      <c r="M598" s="37"/>
      <c r="N598" s="37"/>
      <c r="O598" s="132"/>
      <c r="P598" s="134"/>
      <c r="Q598" s="261"/>
      <c r="R598" s="94"/>
    </row>
    <row r="599" spans="3:18" x14ac:dyDescent="0.25">
      <c r="C599" s="279"/>
      <c r="D599" s="159"/>
      <c r="E599" s="40"/>
      <c r="F599" s="129"/>
      <c r="G599" s="1"/>
      <c r="H599" s="163"/>
      <c r="I599" s="37"/>
      <c r="J599" s="138"/>
      <c r="K599" s="114"/>
      <c r="L599" s="37"/>
      <c r="M599" s="37"/>
      <c r="N599" s="37"/>
      <c r="O599" s="132"/>
      <c r="P599" s="134"/>
      <c r="Q599" s="261"/>
      <c r="R599" s="94"/>
    </row>
    <row r="600" spans="3:18" x14ac:dyDescent="0.25">
      <c r="C600" s="279"/>
      <c r="D600" s="159"/>
      <c r="E600" s="40"/>
      <c r="F600" s="129"/>
      <c r="G600" s="1"/>
      <c r="H600" s="163"/>
      <c r="I600" s="37"/>
      <c r="J600" s="138"/>
      <c r="K600" s="114"/>
      <c r="L600" s="37"/>
      <c r="M600" s="37"/>
      <c r="N600" s="37"/>
      <c r="O600" s="132"/>
      <c r="P600" s="134"/>
      <c r="Q600" s="261"/>
      <c r="R600" s="94"/>
    </row>
    <row r="601" spans="3:18" x14ac:dyDescent="0.25">
      <c r="C601" s="279"/>
      <c r="D601" s="159"/>
      <c r="E601" s="40"/>
      <c r="F601" s="129"/>
      <c r="G601" s="1"/>
      <c r="H601" s="163"/>
      <c r="I601" s="37"/>
      <c r="J601" s="138"/>
      <c r="K601" s="114"/>
      <c r="L601" s="37"/>
      <c r="M601" s="37"/>
      <c r="N601" s="37"/>
      <c r="O601" s="132"/>
      <c r="P601" s="134"/>
      <c r="Q601" s="261"/>
      <c r="R601" s="94"/>
    </row>
    <row r="602" spans="3:18" x14ac:dyDescent="0.25">
      <c r="C602" s="279"/>
      <c r="D602" s="159"/>
      <c r="E602" s="40"/>
      <c r="F602" s="129"/>
      <c r="G602" s="1"/>
      <c r="H602" s="163"/>
      <c r="I602" s="37"/>
      <c r="J602" s="138"/>
      <c r="K602" s="114"/>
      <c r="L602" s="37"/>
      <c r="M602" s="37"/>
      <c r="N602" s="37"/>
      <c r="O602" s="132"/>
      <c r="P602" s="134"/>
      <c r="Q602" s="261"/>
      <c r="R602" s="94"/>
    </row>
    <row r="603" spans="3:18" x14ac:dyDescent="0.25">
      <c r="C603" s="279"/>
      <c r="D603" s="159"/>
      <c r="E603" s="40"/>
      <c r="F603" s="129"/>
      <c r="G603" s="1"/>
      <c r="H603" s="163"/>
      <c r="I603" s="37"/>
      <c r="J603" s="138"/>
      <c r="K603" s="114"/>
      <c r="L603" s="37"/>
      <c r="M603" s="37"/>
      <c r="N603" s="37"/>
      <c r="O603" s="132"/>
      <c r="P603" s="134"/>
      <c r="Q603" s="261"/>
      <c r="R603" s="94"/>
    </row>
    <row r="604" spans="3:18" x14ac:dyDescent="0.25">
      <c r="C604" s="279"/>
      <c r="D604" s="159"/>
      <c r="E604" s="40"/>
      <c r="F604" s="129"/>
      <c r="G604" s="1"/>
      <c r="H604" s="163"/>
      <c r="I604" s="37"/>
      <c r="J604" s="138"/>
      <c r="K604" s="114"/>
      <c r="L604" s="37"/>
      <c r="M604" s="37"/>
      <c r="N604" s="37"/>
      <c r="O604" s="132"/>
      <c r="P604" s="134"/>
      <c r="Q604" s="261"/>
      <c r="R604" s="94"/>
    </row>
    <row r="605" spans="3:18" x14ac:dyDescent="0.25">
      <c r="C605" s="279"/>
      <c r="D605" s="159"/>
      <c r="E605" s="40"/>
      <c r="F605" s="129"/>
      <c r="G605" s="1"/>
      <c r="H605" s="163"/>
      <c r="I605" s="37"/>
      <c r="J605" s="138"/>
      <c r="K605" s="114"/>
      <c r="L605" s="37"/>
      <c r="M605" s="37"/>
      <c r="N605" s="37"/>
      <c r="O605" s="132"/>
      <c r="P605" s="134"/>
      <c r="Q605" s="261"/>
      <c r="R605" s="94"/>
    </row>
    <row r="606" spans="3:18" x14ac:dyDescent="0.25">
      <c r="C606" s="279"/>
      <c r="D606" s="159"/>
      <c r="E606" s="40"/>
      <c r="F606" s="129"/>
      <c r="G606" s="1"/>
      <c r="H606" s="163"/>
      <c r="I606" s="37"/>
      <c r="J606" s="138"/>
      <c r="K606" s="114"/>
      <c r="L606" s="37"/>
      <c r="M606" s="37"/>
      <c r="N606" s="37"/>
      <c r="O606" s="132"/>
      <c r="P606" s="134"/>
      <c r="Q606" s="261"/>
      <c r="R606" s="94"/>
    </row>
    <row r="607" spans="3:18" x14ac:dyDescent="0.25">
      <c r="C607" s="279"/>
      <c r="D607" s="159"/>
      <c r="E607" s="40"/>
      <c r="F607" s="129"/>
      <c r="G607" s="1"/>
      <c r="H607" s="163"/>
      <c r="I607" s="37"/>
      <c r="J607" s="138"/>
      <c r="K607" s="114"/>
      <c r="L607" s="37"/>
      <c r="M607" s="37"/>
      <c r="N607" s="37"/>
      <c r="O607" s="132"/>
      <c r="P607" s="134"/>
      <c r="Q607" s="261"/>
      <c r="R607" s="94"/>
    </row>
    <row r="608" spans="3:18" x14ac:dyDescent="0.25">
      <c r="C608" s="279"/>
      <c r="D608" s="159"/>
      <c r="E608" s="40"/>
      <c r="F608" s="129"/>
      <c r="G608" s="1"/>
      <c r="H608" s="163"/>
      <c r="I608" s="37"/>
      <c r="J608" s="138"/>
      <c r="K608" s="114"/>
      <c r="L608" s="37"/>
      <c r="M608" s="37"/>
      <c r="N608" s="37"/>
      <c r="O608" s="132"/>
      <c r="P608" s="134"/>
      <c r="Q608" s="261"/>
      <c r="R608" s="94"/>
    </row>
    <row r="609" spans="3:18" x14ac:dyDescent="0.25">
      <c r="C609" s="279"/>
      <c r="D609" s="159"/>
      <c r="E609" s="40"/>
      <c r="F609" s="129"/>
      <c r="G609" s="1"/>
      <c r="H609" s="163"/>
      <c r="I609" s="37"/>
      <c r="J609" s="138"/>
      <c r="K609" s="114"/>
      <c r="L609" s="37"/>
      <c r="M609" s="37"/>
      <c r="N609" s="37"/>
      <c r="O609" s="132"/>
      <c r="P609" s="134"/>
      <c r="Q609" s="261"/>
      <c r="R609" s="94"/>
    </row>
    <row r="610" spans="3:18" x14ac:dyDescent="0.25">
      <c r="C610" s="279"/>
      <c r="D610" s="159"/>
      <c r="E610" s="40"/>
      <c r="F610" s="129"/>
      <c r="G610" s="1"/>
      <c r="H610" s="163"/>
      <c r="I610" s="37"/>
      <c r="J610" s="138"/>
      <c r="K610" s="114"/>
      <c r="L610" s="37"/>
      <c r="M610" s="37"/>
      <c r="N610" s="37"/>
      <c r="O610" s="132"/>
      <c r="P610" s="134"/>
      <c r="Q610" s="261"/>
      <c r="R610" s="94"/>
    </row>
    <row r="611" spans="3:18" x14ac:dyDescent="0.25">
      <c r="C611" s="279"/>
      <c r="D611" s="159"/>
      <c r="E611" s="40"/>
      <c r="F611" s="129"/>
      <c r="G611" s="1"/>
      <c r="H611" s="163"/>
      <c r="I611" s="37"/>
      <c r="J611" s="138"/>
      <c r="K611" s="114"/>
      <c r="L611" s="37"/>
      <c r="M611" s="37"/>
      <c r="N611" s="37"/>
      <c r="O611" s="132"/>
      <c r="P611" s="134"/>
      <c r="Q611" s="261"/>
      <c r="R611" s="94"/>
    </row>
    <row r="612" spans="3:18" x14ac:dyDescent="0.25">
      <c r="C612" s="279"/>
      <c r="D612" s="159"/>
      <c r="E612" s="40"/>
      <c r="F612" s="129"/>
      <c r="G612" s="1"/>
      <c r="H612" s="163"/>
      <c r="I612" s="37"/>
      <c r="J612" s="138"/>
      <c r="K612" s="114"/>
      <c r="L612" s="37"/>
      <c r="M612" s="37"/>
      <c r="N612" s="37"/>
      <c r="O612" s="132"/>
      <c r="P612" s="134"/>
      <c r="Q612" s="261"/>
      <c r="R612" s="94"/>
    </row>
    <row r="613" spans="3:18" x14ac:dyDescent="0.25">
      <c r="C613" s="279"/>
      <c r="D613" s="159"/>
      <c r="E613" s="40"/>
      <c r="F613" s="129"/>
      <c r="G613" s="1"/>
      <c r="H613" s="163"/>
      <c r="I613" s="37"/>
      <c r="J613" s="138"/>
      <c r="K613" s="114"/>
      <c r="L613" s="37"/>
      <c r="M613" s="37"/>
      <c r="N613" s="37"/>
      <c r="O613" s="132"/>
      <c r="P613" s="134"/>
      <c r="Q613" s="261"/>
      <c r="R613" s="94"/>
    </row>
    <row r="614" spans="3:18" x14ac:dyDescent="0.25">
      <c r="C614" s="279"/>
      <c r="D614" s="159"/>
      <c r="E614" s="40"/>
      <c r="F614" s="129"/>
      <c r="G614" s="1"/>
      <c r="H614" s="163"/>
      <c r="I614" s="37"/>
      <c r="J614" s="138"/>
      <c r="K614" s="114"/>
      <c r="L614" s="37"/>
      <c r="M614" s="37"/>
      <c r="N614" s="37"/>
      <c r="O614" s="132"/>
      <c r="P614" s="134"/>
      <c r="Q614" s="261"/>
      <c r="R614" s="94"/>
    </row>
    <row r="615" spans="3:18" x14ac:dyDescent="0.25">
      <c r="C615" s="279"/>
      <c r="D615" s="159"/>
      <c r="E615" s="40"/>
      <c r="F615" s="129"/>
      <c r="G615" s="1"/>
      <c r="H615" s="163"/>
      <c r="I615" s="37"/>
      <c r="J615" s="138"/>
      <c r="K615" s="114"/>
      <c r="L615" s="37"/>
      <c r="M615" s="37"/>
      <c r="N615" s="37"/>
      <c r="O615" s="132"/>
      <c r="P615" s="134"/>
      <c r="Q615" s="261"/>
      <c r="R615" s="94"/>
    </row>
    <row r="616" spans="3:18" x14ac:dyDescent="0.25">
      <c r="C616" s="279"/>
      <c r="D616" s="159"/>
      <c r="E616" s="40"/>
      <c r="F616" s="129"/>
      <c r="G616" s="1"/>
      <c r="H616" s="163"/>
      <c r="I616" s="37"/>
      <c r="J616" s="138"/>
      <c r="K616" s="114"/>
      <c r="L616" s="37"/>
      <c r="M616" s="37"/>
      <c r="N616" s="37"/>
      <c r="O616" s="132"/>
      <c r="P616" s="134"/>
      <c r="Q616" s="261"/>
      <c r="R616" s="94"/>
    </row>
    <row r="617" spans="3:18" x14ac:dyDescent="0.25">
      <c r="C617" s="279"/>
      <c r="D617" s="159"/>
      <c r="E617" s="40"/>
      <c r="F617" s="129"/>
      <c r="G617" s="1"/>
      <c r="H617" s="163"/>
      <c r="I617" s="37"/>
      <c r="J617" s="138"/>
      <c r="K617" s="114"/>
      <c r="L617" s="37"/>
      <c r="M617" s="37"/>
      <c r="N617" s="37"/>
      <c r="O617" s="132"/>
      <c r="P617" s="134"/>
      <c r="Q617" s="261"/>
      <c r="R617" s="94"/>
    </row>
    <row r="618" spans="3:18" x14ac:dyDescent="0.25">
      <c r="C618" s="279"/>
      <c r="D618" s="159"/>
      <c r="E618" s="40"/>
      <c r="F618" s="129"/>
      <c r="G618" s="1"/>
      <c r="H618" s="163"/>
      <c r="I618" s="37"/>
      <c r="J618" s="138"/>
      <c r="K618" s="114"/>
      <c r="L618" s="37"/>
      <c r="M618" s="37"/>
      <c r="N618" s="37"/>
      <c r="O618" s="132"/>
      <c r="P618" s="134"/>
      <c r="Q618" s="261"/>
      <c r="R618" s="94"/>
    </row>
    <row r="619" spans="3:18" x14ac:dyDescent="0.25">
      <c r="C619" s="279"/>
      <c r="D619" s="159"/>
      <c r="E619" s="40"/>
      <c r="F619" s="129"/>
      <c r="G619" s="1"/>
      <c r="H619" s="163"/>
      <c r="I619" s="37"/>
      <c r="J619" s="138"/>
      <c r="K619" s="114"/>
      <c r="L619" s="37"/>
      <c r="M619" s="37"/>
      <c r="N619" s="37"/>
      <c r="O619" s="132"/>
      <c r="P619" s="134"/>
      <c r="Q619" s="261"/>
      <c r="R619" s="94"/>
    </row>
    <row r="620" spans="3:18" x14ac:dyDescent="0.25">
      <c r="C620" s="279"/>
      <c r="D620" s="159"/>
      <c r="E620" s="40"/>
      <c r="F620" s="129"/>
      <c r="G620" s="1"/>
      <c r="H620" s="163"/>
      <c r="I620" s="37"/>
      <c r="J620" s="138"/>
      <c r="K620" s="114"/>
      <c r="L620" s="37"/>
      <c r="M620" s="37"/>
      <c r="N620" s="37"/>
      <c r="O620" s="132"/>
      <c r="P620" s="134"/>
      <c r="Q620" s="261"/>
      <c r="R620" s="94"/>
    </row>
    <row r="621" spans="3:18" x14ac:dyDescent="0.25">
      <c r="C621" s="279"/>
      <c r="D621" s="159"/>
      <c r="E621" s="40"/>
      <c r="F621" s="129"/>
      <c r="G621" s="1"/>
      <c r="H621" s="163"/>
      <c r="I621" s="37"/>
      <c r="J621" s="138"/>
      <c r="K621" s="114"/>
      <c r="L621" s="37"/>
      <c r="M621" s="37"/>
      <c r="N621" s="37"/>
      <c r="O621" s="132"/>
      <c r="P621" s="134"/>
      <c r="Q621" s="261"/>
      <c r="R621" s="94"/>
    </row>
    <row r="622" spans="3:18" x14ac:dyDescent="0.25">
      <c r="C622" s="279"/>
      <c r="D622" s="159"/>
      <c r="E622" s="40"/>
      <c r="F622" s="129"/>
      <c r="G622" s="1"/>
      <c r="H622" s="163"/>
      <c r="I622" s="37"/>
      <c r="J622" s="138"/>
      <c r="K622" s="114"/>
      <c r="L622" s="37"/>
      <c r="M622" s="37"/>
      <c r="N622" s="37"/>
      <c r="O622" s="132"/>
      <c r="P622" s="134"/>
      <c r="Q622" s="261"/>
      <c r="R622" s="94"/>
    </row>
    <row r="623" spans="3:18" x14ac:dyDescent="0.25">
      <c r="C623" s="279"/>
      <c r="D623" s="159"/>
      <c r="E623" s="40"/>
      <c r="F623" s="129"/>
      <c r="G623" s="1"/>
      <c r="H623" s="163"/>
      <c r="I623" s="37"/>
      <c r="J623" s="138"/>
      <c r="K623" s="114"/>
      <c r="L623" s="37"/>
      <c r="M623" s="37"/>
      <c r="N623" s="37"/>
      <c r="O623" s="132"/>
      <c r="P623" s="134"/>
      <c r="Q623" s="261"/>
      <c r="R623" s="94"/>
    </row>
    <row r="624" spans="3:18" x14ac:dyDescent="0.25">
      <c r="C624" s="279"/>
      <c r="D624" s="159"/>
      <c r="E624" s="40"/>
      <c r="F624" s="129"/>
      <c r="G624" s="1"/>
      <c r="H624" s="163"/>
      <c r="I624" s="37"/>
      <c r="J624" s="138"/>
      <c r="K624" s="114"/>
      <c r="L624" s="37"/>
      <c r="M624" s="37"/>
      <c r="N624" s="37"/>
      <c r="O624" s="132"/>
      <c r="P624" s="134"/>
      <c r="Q624" s="261"/>
      <c r="R624" s="94"/>
    </row>
    <row r="625" spans="3:18" x14ac:dyDescent="0.25">
      <c r="C625" s="279"/>
      <c r="D625" s="159"/>
      <c r="E625" s="40"/>
      <c r="F625" s="129"/>
      <c r="G625" s="1"/>
      <c r="H625" s="163"/>
      <c r="I625" s="37"/>
      <c r="J625" s="138"/>
      <c r="K625" s="114"/>
      <c r="L625" s="37"/>
      <c r="M625" s="37"/>
      <c r="N625" s="37"/>
      <c r="O625" s="132"/>
      <c r="P625" s="134"/>
      <c r="Q625" s="261"/>
      <c r="R625" s="94"/>
    </row>
    <row r="626" spans="3:18" x14ac:dyDescent="0.25">
      <c r="C626" s="279"/>
      <c r="D626" s="159"/>
      <c r="E626" s="40"/>
      <c r="F626" s="129"/>
      <c r="G626" s="1"/>
      <c r="H626" s="163"/>
      <c r="I626" s="37"/>
      <c r="J626" s="138"/>
      <c r="K626" s="114"/>
      <c r="L626" s="37"/>
      <c r="M626" s="37"/>
      <c r="N626" s="37"/>
      <c r="O626" s="132"/>
      <c r="P626" s="134"/>
      <c r="Q626" s="261"/>
      <c r="R626" s="94"/>
    </row>
    <row r="627" spans="3:18" x14ac:dyDescent="0.25">
      <c r="C627" s="279"/>
      <c r="D627" s="159"/>
      <c r="E627" s="40"/>
      <c r="F627" s="129"/>
      <c r="G627" s="1"/>
      <c r="H627" s="163"/>
      <c r="I627" s="37"/>
      <c r="J627" s="138"/>
      <c r="K627" s="114"/>
      <c r="L627" s="37"/>
      <c r="M627" s="37"/>
      <c r="N627" s="37"/>
      <c r="O627" s="132"/>
      <c r="P627" s="134"/>
      <c r="Q627" s="261"/>
      <c r="R627" s="94"/>
    </row>
    <row r="628" spans="3:18" x14ac:dyDescent="0.25">
      <c r="C628" s="279"/>
      <c r="D628" s="159"/>
      <c r="E628" s="40"/>
      <c r="F628" s="129"/>
      <c r="G628" s="1"/>
      <c r="H628" s="163"/>
      <c r="I628" s="37"/>
      <c r="J628" s="138"/>
      <c r="K628" s="114"/>
      <c r="L628" s="37"/>
      <c r="M628" s="37"/>
      <c r="N628" s="37"/>
      <c r="O628" s="132"/>
      <c r="P628" s="134"/>
      <c r="Q628" s="261"/>
      <c r="R628" s="94"/>
    </row>
    <row r="629" spans="3:18" x14ac:dyDescent="0.25">
      <c r="C629" s="279"/>
      <c r="D629" s="159"/>
      <c r="E629" s="40"/>
      <c r="F629" s="129"/>
      <c r="G629" s="1"/>
      <c r="H629" s="163"/>
      <c r="I629" s="37"/>
      <c r="J629" s="138"/>
      <c r="K629" s="114"/>
      <c r="L629" s="37"/>
      <c r="M629" s="37"/>
      <c r="N629" s="37"/>
      <c r="O629" s="132"/>
      <c r="P629" s="134"/>
      <c r="Q629" s="261"/>
      <c r="R629" s="94"/>
    </row>
    <row r="630" spans="3:18" x14ac:dyDescent="0.25">
      <c r="C630" s="279"/>
      <c r="D630" s="159"/>
      <c r="E630" s="40"/>
      <c r="F630" s="129"/>
      <c r="G630" s="1"/>
      <c r="H630" s="163"/>
      <c r="I630" s="37"/>
      <c r="J630" s="138"/>
      <c r="K630" s="114"/>
      <c r="L630" s="37"/>
      <c r="M630" s="37"/>
      <c r="N630" s="37"/>
      <c r="O630" s="132"/>
      <c r="P630" s="134"/>
      <c r="Q630" s="261"/>
      <c r="R630" s="94"/>
    </row>
    <row r="631" spans="3:18" x14ac:dyDescent="0.25">
      <c r="C631" s="279"/>
      <c r="D631" s="159"/>
      <c r="E631" s="40"/>
      <c r="F631" s="129"/>
      <c r="G631" s="1"/>
      <c r="H631" s="163"/>
      <c r="I631" s="37"/>
      <c r="J631" s="138"/>
      <c r="K631" s="114"/>
      <c r="L631" s="37"/>
      <c r="M631" s="37"/>
      <c r="N631" s="37"/>
      <c r="O631" s="132"/>
      <c r="P631" s="134"/>
      <c r="Q631" s="261"/>
      <c r="R631" s="94"/>
    </row>
    <row r="632" spans="3:18" x14ac:dyDescent="0.25">
      <c r="C632" s="279"/>
      <c r="D632" s="159"/>
      <c r="E632" s="40"/>
      <c r="F632" s="129"/>
      <c r="G632" s="1"/>
      <c r="H632" s="163"/>
      <c r="I632" s="37"/>
      <c r="J632" s="138"/>
      <c r="K632" s="114"/>
      <c r="L632" s="37"/>
      <c r="M632" s="37"/>
      <c r="N632" s="37"/>
      <c r="O632" s="132"/>
      <c r="P632" s="134"/>
      <c r="Q632" s="261"/>
      <c r="R632" s="94"/>
    </row>
    <row r="633" spans="3:18" x14ac:dyDescent="0.25">
      <c r="C633" s="279"/>
      <c r="D633" s="159"/>
      <c r="E633" s="40"/>
      <c r="F633" s="129"/>
      <c r="G633" s="1"/>
      <c r="H633" s="163"/>
      <c r="I633" s="37"/>
      <c r="J633" s="138"/>
      <c r="K633" s="114"/>
      <c r="L633" s="37"/>
      <c r="M633" s="37"/>
      <c r="N633" s="37"/>
      <c r="O633" s="132"/>
      <c r="P633" s="134"/>
      <c r="Q633" s="261"/>
      <c r="R633" s="94"/>
    </row>
    <row r="634" spans="3:18" x14ac:dyDescent="0.25">
      <c r="C634" s="279"/>
      <c r="D634" s="159"/>
      <c r="E634" s="40"/>
      <c r="F634" s="129"/>
      <c r="G634" s="1"/>
      <c r="H634" s="163"/>
      <c r="I634" s="37"/>
      <c r="J634" s="138"/>
      <c r="K634" s="114"/>
      <c r="L634" s="37"/>
      <c r="M634" s="37"/>
      <c r="N634" s="37"/>
      <c r="O634" s="132"/>
      <c r="P634" s="134"/>
      <c r="Q634" s="261"/>
      <c r="R634" s="94"/>
    </row>
    <row r="635" spans="3:18" x14ac:dyDescent="0.25">
      <c r="C635" s="279"/>
      <c r="D635" s="159"/>
      <c r="E635" s="40"/>
      <c r="F635" s="129"/>
      <c r="G635" s="1"/>
      <c r="H635" s="163"/>
      <c r="I635" s="37"/>
      <c r="J635" s="138"/>
      <c r="K635" s="114"/>
      <c r="L635" s="37"/>
      <c r="M635" s="37"/>
      <c r="N635" s="37"/>
      <c r="O635" s="132"/>
      <c r="P635" s="134"/>
      <c r="Q635" s="261"/>
      <c r="R635" s="94"/>
    </row>
    <row r="636" spans="3:18" x14ac:dyDescent="0.25">
      <c r="C636" s="279"/>
      <c r="D636" s="159"/>
      <c r="E636" s="40"/>
      <c r="F636" s="129"/>
      <c r="G636" s="1"/>
      <c r="H636" s="163"/>
      <c r="I636" s="37"/>
      <c r="J636" s="138"/>
      <c r="K636" s="114"/>
      <c r="L636" s="37"/>
      <c r="M636" s="37"/>
      <c r="N636" s="37"/>
      <c r="O636" s="132"/>
      <c r="P636" s="134"/>
      <c r="Q636" s="261"/>
      <c r="R636" s="94"/>
    </row>
    <row r="637" spans="3:18" x14ac:dyDescent="0.25">
      <c r="C637" s="279"/>
      <c r="D637" s="159"/>
      <c r="E637" s="40"/>
      <c r="F637" s="129"/>
      <c r="G637" s="1"/>
      <c r="H637" s="163"/>
      <c r="I637" s="37"/>
      <c r="J637" s="138"/>
      <c r="K637" s="114"/>
      <c r="L637" s="37"/>
      <c r="M637" s="37"/>
      <c r="N637" s="37"/>
      <c r="O637" s="132"/>
      <c r="P637" s="134"/>
      <c r="Q637" s="261"/>
      <c r="R637" s="94"/>
    </row>
    <row r="638" spans="3:18" x14ac:dyDescent="0.25">
      <c r="C638" s="279"/>
      <c r="D638" s="159"/>
      <c r="E638" s="40"/>
      <c r="F638" s="129"/>
      <c r="G638" s="1"/>
      <c r="H638" s="163"/>
      <c r="I638" s="37"/>
      <c r="J638" s="138"/>
      <c r="K638" s="114"/>
      <c r="L638" s="37"/>
      <c r="M638" s="37"/>
      <c r="N638" s="37"/>
      <c r="O638" s="132"/>
      <c r="P638" s="134"/>
      <c r="Q638" s="261"/>
      <c r="R638" s="94"/>
    </row>
    <row r="639" spans="3:18" x14ac:dyDescent="0.25">
      <c r="C639" s="279"/>
      <c r="D639" s="159"/>
      <c r="E639" s="40"/>
      <c r="F639" s="129"/>
      <c r="G639" s="1"/>
      <c r="H639" s="163"/>
      <c r="I639" s="37"/>
      <c r="J639" s="138"/>
      <c r="K639" s="114"/>
      <c r="L639" s="37"/>
      <c r="M639" s="37"/>
      <c r="N639" s="37"/>
      <c r="O639" s="132"/>
      <c r="P639" s="134"/>
      <c r="Q639" s="261"/>
      <c r="R639" s="94"/>
    </row>
    <row r="640" spans="3:18" x14ac:dyDescent="0.25">
      <c r="C640" s="279"/>
      <c r="D640" s="159"/>
      <c r="E640" s="40"/>
      <c r="F640" s="129"/>
      <c r="G640" s="1"/>
      <c r="H640" s="163"/>
      <c r="I640" s="37"/>
      <c r="J640" s="138"/>
      <c r="K640" s="114"/>
      <c r="L640" s="37"/>
      <c r="M640" s="37"/>
      <c r="N640" s="37"/>
      <c r="O640" s="132"/>
      <c r="P640" s="134"/>
      <c r="Q640" s="261"/>
      <c r="R640" s="94"/>
    </row>
    <row r="641" spans="3:18" x14ac:dyDescent="0.25">
      <c r="C641" s="279"/>
      <c r="D641" s="159"/>
      <c r="E641" s="40"/>
      <c r="F641" s="129"/>
      <c r="G641" s="1"/>
      <c r="H641" s="163"/>
      <c r="I641" s="37"/>
      <c r="J641" s="138"/>
      <c r="K641" s="114"/>
      <c r="L641" s="37"/>
      <c r="M641" s="37"/>
      <c r="N641" s="37"/>
      <c r="O641" s="132"/>
      <c r="P641" s="134"/>
      <c r="Q641" s="261"/>
      <c r="R641" s="94"/>
    </row>
    <row r="642" spans="3:18" x14ac:dyDescent="0.25">
      <c r="C642" s="279"/>
      <c r="D642" s="159"/>
      <c r="E642" s="40"/>
      <c r="F642" s="129"/>
      <c r="G642" s="1"/>
      <c r="H642" s="163"/>
      <c r="I642" s="37"/>
      <c r="J642" s="138"/>
      <c r="K642" s="114"/>
      <c r="L642" s="37"/>
      <c r="M642" s="37"/>
      <c r="N642" s="37"/>
      <c r="O642" s="132"/>
      <c r="P642" s="134"/>
      <c r="Q642" s="261"/>
      <c r="R642" s="94"/>
    </row>
    <row r="643" spans="3:18" x14ac:dyDescent="0.25">
      <c r="C643" s="279"/>
      <c r="D643" s="159"/>
      <c r="E643" s="40"/>
      <c r="F643" s="129"/>
      <c r="G643" s="1"/>
      <c r="H643" s="163"/>
      <c r="I643" s="37"/>
      <c r="J643" s="138"/>
      <c r="K643" s="114"/>
      <c r="L643" s="37"/>
      <c r="M643" s="37"/>
      <c r="N643" s="37"/>
      <c r="O643" s="132"/>
      <c r="P643" s="134"/>
      <c r="Q643" s="261"/>
      <c r="R643" s="94"/>
    </row>
    <row r="644" spans="3:18" x14ac:dyDescent="0.25">
      <c r="C644" s="279"/>
      <c r="D644" s="159"/>
      <c r="E644" s="40"/>
      <c r="F644" s="129"/>
      <c r="G644" s="1"/>
      <c r="H644" s="163"/>
      <c r="I644" s="37"/>
      <c r="J644" s="138"/>
      <c r="K644" s="114"/>
      <c r="L644" s="37"/>
      <c r="M644" s="37"/>
      <c r="N644" s="37"/>
      <c r="O644" s="132"/>
      <c r="P644" s="134"/>
      <c r="Q644" s="261"/>
      <c r="R644" s="94"/>
    </row>
    <row r="645" spans="3:18" x14ac:dyDescent="0.25">
      <c r="C645" s="279"/>
      <c r="D645" s="159"/>
      <c r="E645" s="40"/>
      <c r="F645" s="129"/>
      <c r="G645" s="1"/>
      <c r="H645" s="163"/>
      <c r="I645" s="37"/>
      <c r="J645" s="138"/>
      <c r="K645" s="114"/>
      <c r="L645" s="37"/>
      <c r="M645" s="37"/>
      <c r="N645" s="37"/>
      <c r="O645" s="132"/>
      <c r="P645" s="134"/>
      <c r="Q645" s="261"/>
      <c r="R645" s="94"/>
    </row>
    <row r="646" spans="3:18" x14ac:dyDescent="0.25">
      <c r="C646" s="279"/>
      <c r="D646" s="159"/>
      <c r="E646" s="40"/>
      <c r="F646" s="129"/>
      <c r="G646" s="1"/>
      <c r="H646" s="163"/>
      <c r="I646" s="37"/>
      <c r="J646" s="138"/>
      <c r="K646" s="114"/>
      <c r="L646" s="37"/>
      <c r="M646" s="37"/>
      <c r="N646" s="37"/>
      <c r="O646" s="132"/>
      <c r="P646" s="134"/>
      <c r="Q646" s="261"/>
      <c r="R646" s="94"/>
    </row>
    <row r="647" spans="3:18" x14ac:dyDescent="0.25">
      <c r="C647" s="279"/>
      <c r="D647" s="159"/>
      <c r="E647" s="40"/>
      <c r="F647" s="129"/>
      <c r="G647" s="1"/>
      <c r="H647" s="163"/>
      <c r="I647" s="37"/>
      <c r="J647" s="138"/>
      <c r="K647" s="114"/>
      <c r="L647" s="37"/>
      <c r="M647" s="37"/>
      <c r="N647" s="37"/>
      <c r="O647" s="132"/>
      <c r="P647" s="134"/>
      <c r="Q647" s="261"/>
      <c r="R647" s="94"/>
    </row>
    <row r="648" spans="3:18" x14ac:dyDescent="0.25">
      <c r="C648" s="279"/>
      <c r="D648" s="159"/>
      <c r="E648" s="40"/>
      <c r="F648" s="129"/>
      <c r="G648" s="1"/>
      <c r="H648" s="163"/>
      <c r="I648" s="37"/>
      <c r="J648" s="138"/>
      <c r="K648" s="114"/>
      <c r="L648" s="37"/>
      <c r="M648" s="37"/>
      <c r="N648" s="37"/>
      <c r="O648" s="132"/>
      <c r="P648" s="134"/>
      <c r="Q648" s="261"/>
      <c r="R648" s="94"/>
    </row>
    <row r="649" spans="3:18" x14ac:dyDescent="0.25">
      <c r="C649" s="279"/>
      <c r="D649" s="159"/>
      <c r="E649" s="40"/>
      <c r="F649" s="129"/>
      <c r="G649" s="1"/>
      <c r="H649" s="163"/>
      <c r="I649" s="37"/>
      <c r="J649" s="138"/>
      <c r="K649" s="114"/>
      <c r="L649" s="37"/>
      <c r="M649" s="37"/>
      <c r="N649" s="37"/>
      <c r="O649" s="132"/>
      <c r="P649" s="134"/>
      <c r="Q649" s="261"/>
      <c r="R649" s="94"/>
    </row>
    <row r="650" spans="3:18" x14ac:dyDescent="0.25">
      <c r="C650" s="279"/>
      <c r="D650" s="159"/>
      <c r="E650" s="40"/>
      <c r="F650" s="129"/>
      <c r="G650" s="1"/>
      <c r="H650" s="163"/>
      <c r="I650" s="37"/>
      <c r="J650" s="138"/>
      <c r="K650" s="114"/>
      <c r="L650" s="37"/>
      <c r="M650" s="37"/>
      <c r="N650" s="37"/>
      <c r="O650" s="132"/>
      <c r="P650" s="134"/>
      <c r="Q650" s="261"/>
      <c r="R650" s="94"/>
    </row>
    <row r="651" spans="3:18" x14ac:dyDescent="0.25">
      <c r="C651" s="279"/>
      <c r="D651" s="159"/>
      <c r="E651" s="40"/>
      <c r="F651" s="129"/>
      <c r="G651" s="1"/>
      <c r="H651" s="163"/>
      <c r="I651" s="37"/>
      <c r="J651" s="138"/>
      <c r="K651" s="114"/>
      <c r="L651" s="37"/>
      <c r="M651" s="37"/>
      <c r="N651" s="37"/>
      <c r="O651" s="132"/>
      <c r="P651" s="134"/>
      <c r="Q651" s="261"/>
      <c r="R651" s="94"/>
    </row>
    <row r="652" spans="3:18" x14ac:dyDescent="0.25">
      <c r="C652" s="279"/>
      <c r="D652" s="159"/>
      <c r="E652" s="40"/>
      <c r="F652" s="129"/>
      <c r="G652" s="1"/>
      <c r="H652" s="163"/>
      <c r="I652" s="37"/>
      <c r="J652" s="138"/>
      <c r="K652" s="114"/>
      <c r="L652" s="37"/>
      <c r="M652" s="37"/>
      <c r="N652" s="37"/>
      <c r="O652" s="132"/>
      <c r="P652" s="134"/>
      <c r="Q652" s="261"/>
      <c r="R652" s="94"/>
    </row>
    <row r="653" spans="3:18" x14ac:dyDescent="0.25">
      <c r="C653" s="279"/>
      <c r="D653" s="159"/>
      <c r="E653" s="40"/>
      <c r="F653" s="129"/>
      <c r="G653" s="1"/>
      <c r="H653" s="163"/>
      <c r="I653" s="37"/>
      <c r="J653" s="138"/>
      <c r="K653" s="114"/>
      <c r="L653" s="37"/>
      <c r="M653" s="37"/>
      <c r="N653" s="37"/>
      <c r="O653" s="132"/>
      <c r="P653" s="134"/>
      <c r="Q653" s="261"/>
      <c r="R653" s="94"/>
    </row>
    <row r="654" spans="3:18" x14ac:dyDescent="0.25">
      <c r="C654" s="279"/>
      <c r="D654" s="159"/>
      <c r="E654" s="40"/>
      <c r="F654" s="129"/>
      <c r="G654" s="1"/>
      <c r="H654" s="163"/>
      <c r="I654" s="37"/>
      <c r="J654" s="138"/>
      <c r="K654" s="114"/>
      <c r="L654" s="37"/>
      <c r="M654" s="37"/>
      <c r="N654" s="37"/>
      <c r="O654" s="132"/>
      <c r="P654" s="134"/>
      <c r="Q654" s="261"/>
      <c r="R654" s="94"/>
    </row>
    <row r="655" spans="3:18" x14ac:dyDescent="0.25">
      <c r="C655" s="279"/>
      <c r="D655" s="159"/>
      <c r="E655" s="40"/>
      <c r="F655" s="129"/>
      <c r="G655" s="1"/>
      <c r="H655" s="163"/>
      <c r="I655" s="37"/>
      <c r="J655" s="138"/>
      <c r="K655" s="114"/>
      <c r="L655" s="37"/>
      <c r="M655" s="37"/>
      <c r="N655" s="37"/>
      <c r="O655" s="132"/>
      <c r="P655" s="134"/>
      <c r="Q655" s="261"/>
      <c r="R655" s="94"/>
    </row>
    <row r="656" spans="3:18" x14ac:dyDescent="0.25">
      <c r="C656" s="279"/>
      <c r="D656" s="159"/>
      <c r="E656" s="40"/>
      <c r="F656" s="129"/>
      <c r="G656" s="1"/>
      <c r="H656" s="163"/>
      <c r="I656" s="37"/>
      <c r="J656" s="138"/>
      <c r="K656" s="114"/>
      <c r="L656" s="37"/>
      <c r="M656" s="37"/>
      <c r="N656" s="37"/>
      <c r="O656" s="132"/>
      <c r="P656" s="134"/>
      <c r="Q656" s="261"/>
      <c r="R656" s="94"/>
    </row>
    <row r="657" spans="3:18" x14ac:dyDescent="0.25">
      <c r="C657" s="279"/>
      <c r="D657" s="159"/>
      <c r="E657" s="40"/>
      <c r="F657" s="129"/>
      <c r="G657" s="1"/>
      <c r="H657" s="163"/>
      <c r="I657" s="37"/>
      <c r="J657" s="138"/>
      <c r="K657" s="114"/>
      <c r="L657" s="37"/>
      <c r="M657" s="37"/>
      <c r="N657" s="37"/>
      <c r="O657" s="132"/>
      <c r="P657" s="134"/>
      <c r="Q657" s="261"/>
      <c r="R657" s="94"/>
    </row>
    <row r="658" spans="3:18" x14ac:dyDescent="0.25">
      <c r="C658" s="279"/>
      <c r="D658" s="159"/>
      <c r="E658" s="40"/>
      <c r="F658" s="129"/>
      <c r="G658" s="1"/>
      <c r="H658" s="163"/>
      <c r="I658" s="37"/>
      <c r="J658" s="138"/>
      <c r="K658" s="114"/>
      <c r="L658" s="37"/>
      <c r="M658" s="37"/>
      <c r="N658" s="37"/>
      <c r="O658" s="132"/>
      <c r="P658" s="134"/>
      <c r="Q658" s="261"/>
      <c r="R658" s="94"/>
    </row>
    <row r="659" spans="3:18" x14ac:dyDescent="0.25">
      <c r="C659" s="279"/>
      <c r="D659" s="159"/>
      <c r="E659" s="40"/>
      <c r="F659" s="129"/>
      <c r="G659" s="1"/>
      <c r="H659" s="163"/>
      <c r="I659" s="37"/>
      <c r="J659" s="138"/>
      <c r="K659" s="114"/>
      <c r="L659" s="37"/>
      <c r="M659" s="37"/>
      <c r="N659" s="37"/>
      <c r="O659" s="132"/>
      <c r="P659" s="134"/>
      <c r="Q659" s="261"/>
      <c r="R659" s="94"/>
    </row>
    <row r="660" spans="3:18" x14ac:dyDescent="0.25">
      <c r="C660" s="279"/>
      <c r="D660" s="159"/>
      <c r="E660" s="40"/>
      <c r="F660" s="129"/>
      <c r="G660" s="1"/>
      <c r="H660" s="163"/>
      <c r="I660" s="37"/>
      <c r="J660" s="138"/>
      <c r="K660" s="114"/>
      <c r="L660" s="37"/>
      <c r="M660" s="37"/>
      <c r="N660" s="37"/>
      <c r="O660" s="132"/>
      <c r="P660" s="134"/>
      <c r="Q660" s="261"/>
      <c r="R660" s="94"/>
    </row>
    <row r="661" spans="3:18" x14ac:dyDescent="0.25">
      <c r="C661" s="279"/>
      <c r="D661" s="159"/>
      <c r="E661" s="40"/>
      <c r="F661" s="129"/>
      <c r="G661" s="1"/>
      <c r="H661" s="163"/>
      <c r="I661" s="37"/>
      <c r="J661" s="138"/>
      <c r="K661" s="114"/>
      <c r="L661" s="37"/>
      <c r="M661" s="37"/>
      <c r="N661" s="37"/>
      <c r="O661" s="132"/>
      <c r="P661" s="134"/>
      <c r="Q661" s="261"/>
      <c r="R661" s="94"/>
    </row>
    <row r="662" spans="3:18" x14ac:dyDescent="0.25">
      <c r="C662" s="279"/>
      <c r="D662" s="159"/>
      <c r="E662" s="40"/>
      <c r="F662" s="129"/>
      <c r="G662" s="1"/>
      <c r="H662" s="163"/>
      <c r="I662" s="37"/>
      <c r="J662" s="138"/>
      <c r="K662" s="114"/>
      <c r="L662" s="37"/>
      <c r="M662" s="37"/>
      <c r="N662" s="37"/>
      <c r="O662" s="132"/>
      <c r="P662" s="134"/>
      <c r="Q662" s="261"/>
      <c r="R662" s="94"/>
    </row>
    <row r="663" spans="3:18" x14ac:dyDescent="0.25">
      <c r="C663" s="279"/>
      <c r="D663" s="159"/>
      <c r="E663" s="40"/>
      <c r="F663" s="129"/>
      <c r="G663" s="1"/>
      <c r="H663" s="163"/>
      <c r="I663" s="37"/>
      <c r="J663" s="138"/>
      <c r="K663" s="114"/>
      <c r="L663" s="37"/>
      <c r="M663" s="37"/>
      <c r="N663" s="37"/>
      <c r="O663" s="132"/>
      <c r="P663" s="134"/>
      <c r="Q663" s="261"/>
      <c r="R663" s="94"/>
    </row>
    <row r="664" spans="3:18" x14ac:dyDescent="0.25">
      <c r="C664" s="279"/>
      <c r="D664" s="159"/>
      <c r="E664" s="40"/>
      <c r="F664" s="129"/>
      <c r="G664" s="1"/>
      <c r="H664" s="163"/>
      <c r="I664" s="37"/>
      <c r="J664" s="138"/>
      <c r="K664" s="114"/>
      <c r="L664" s="37"/>
      <c r="M664" s="37"/>
      <c r="N664" s="37"/>
      <c r="O664" s="132"/>
      <c r="P664" s="134"/>
      <c r="Q664" s="261"/>
      <c r="R664" s="94"/>
    </row>
    <row r="665" spans="3:18" x14ac:dyDescent="0.25">
      <c r="C665" s="279"/>
      <c r="D665" s="159"/>
      <c r="E665" s="40"/>
      <c r="F665" s="129"/>
      <c r="G665" s="1"/>
      <c r="H665" s="163"/>
      <c r="I665" s="37"/>
      <c r="J665" s="138"/>
      <c r="K665" s="114"/>
      <c r="L665" s="37"/>
      <c r="M665" s="37"/>
      <c r="N665" s="37"/>
      <c r="O665" s="132"/>
      <c r="P665" s="134"/>
      <c r="Q665" s="261"/>
      <c r="R665" s="94"/>
    </row>
    <row r="666" spans="3:18" x14ac:dyDescent="0.25">
      <c r="C666" s="279"/>
      <c r="D666" s="159"/>
      <c r="E666" s="40"/>
      <c r="F666" s="129"/>
      <c r="G666" s="1"/>
      <c r="H666" s="163"/>
      <c r="I666" s="37"/>
      <c r="J666" s="138"/>
      <c r="K666" s="114"/>
      <c r="L666" s="37"/>
      <c r="M666" s="37"/>
      <c r="N666" s="37"/>
      <c r="O666" s="132"/>
      <c r="P666" s="134"/>
      <c r="Q666" s="261"/>
      <c r="R666" s="94"/>
    </row>
    <row r="667" spans="3:18" x14ac:dyDescent="0.25">
      <c r="C667" s="279"/>
      <c r="D667" s="159"/>
      <c r="E667" s="40"/>
      <c r="F667" s="129"/>
      <c r="G667" s="1"/>
      <c r="H667" s="163"/>
      <c r="I667" s="37"/>
      <c r="J667" s="138"/>
      <c r="K667" s="114"/>
      <c r="L667" s="37"/>
      <c r="M667" s="37"/>
      <c r="N667" s="37"/>
      <c r="O667" s="132"/>
      <c r="P667" s="134"/>
      <c r="Q667" s="261"/>
      <c r="R667" s="94"/>
    </row>
    <row r="668" spans="3:18" x14ac:dyDescent="0.25">
      <c r="C668" s="279"/>
      <c r="D668" s="159"/>
      <c r="E668" s="40"/>
      <c r="F668" s="129"/>
      <c r="G668" s="1"/>
      <c r="H668" s="163"/>
      <c r="I668" s="37"/>
      <c r="J668" s="138"/>
      <c r="K668" s="114"/>
      <c r="L668" s="37"/>
      <c r="M668" s="37"/>
      <c r="N668" s="37"/>
      <c r="O668" s="132"/>
      <c r="P668" s="134"/>
      <c r="Q668" s="261"/>
      <c r="R668" s="94"/>
    </row>
    <row r="669" spans="3:18" x14ac:dyDescent="0.25">
      <c r="C669" s="279"/>
      <c r="D669" s="159"/>
      <c r="E669" s="40"/>
      <c r="F669" s="129"/>
      <c r="G669" s="1"/>
      <c r="H669" s="163"/>
      <c r="I669" s="37"/>
      <c r="J669" s="138"/>
      <c r="K669" s="114"/>
      <c r="L669" s="37"/>
      <c r="M669" s="37"/>
      <c r="N669" s="37"/>
      <c r="O669" s="132"/>
      <c r="P669" s="134"/>
      <c r="Q669" s="261"/>
      <c r="R669" s="94"/>
    </row>
    <row r="670" spans="3:18" x14ac:dyDescent="0.25">
      <c r="C670" s="279"/>
      <c r="D670" s="159"/>
      <c r="E670" s="40"/>
      <c r="F670" s="129"/>
      <c r="G670" s="1"/>
      <c r="H670" s="163"/>
      <c r="I670" s="37"/>
      <c r="J670" s="138"/>
      <c r="K670" s="114"/>
      <c r="L670" s="37"/>
      <c r="M670" s="37"/>
      <c r="N670" s="37"/>
      <c r="O670" s="132"/>
      <c r="P670" s="134"/>
      <c r="Q670" s="261"/>
      <c r="R670" s="94"/>
    </row>
    <row r="671" spans="3:18" x14ac:dyDescent="0.25">
      <c r="C671" s="279"/>
      <c r="D671" s="159"/>
      <c r="E671" s="40"/>
      <c r="F671" s="129"/>
      <c r="G671" s="1"/>
      <c r="H671" s="163"/>
      <c r="I671" s="37"/>
      <c r="J671" s="138"/>
      <c r="K671" s="114"/>
      <c r="L671" s="37"/>
      <c r="M671" s="37"/>
      <c r="N671" s="37"/>
      <c r="O671" s="132"/>
      <c r="P671" s="134"/>
      <c r="Q671" s="261"/>
      <c r="R671" s="94"/>
    </row>
    <row r="672" spans="3:18" x14ac:dyDescent="0.25">
      <c r="C672" s="279"/>
      <c r="D672" s="159"/>
      <c r="E672" s="40"/>
      <c r="F672" s="129"/>
      <c r="G672" s="1"/>
      <c r="H672" s="163"/>
      <c r="I672" s="37"/>
      <c r="J672" s="138"/>
      <c r="K672" s="114"/>
      <c r="L672" s="37"/>
      <c r="M672" s="37"/>
      <c r="N672" s="37"/>
      <c r="O672" s="132"/>
      <c r="P672" s="134"/>
      <c r="Q672" s="261"/>
      <c r="R672" s="94"/>
    </row>
    <row r="673" spans="3:18" x14ac:dyDescent="0.25">
      <c r="C673" s="279"/>
      <c r="D673" s="159"/>
      <c r="E673" s="40"/>
      <c r="F673" s="129"/>
      <c r="G673" s="1"/>
      <c r="H673" s="163"/>
      <c r="I673" s="37"/>
      <c r="J673" s="138"/>
      <c r="K673" s="114"/>
      <c r="L673" s="37"/>
      <c r="M673" s="37"/>
      <c r="N673" s="37"/>
      <c r="O673" s="132"/>
      <c r="P673" s="134"/>
      <c r="Q673" s="261"/>
      <c r="R673" s="94"/>
    </row>
    <row r="674" spans="3:18" x14ac:dyDescent="0.25">
      <c r="C674" s="279"/>
      <c r="D674" s="159"/>
      <c r="E674" s="40"/>
      <c r="F674" s="129"/>
      <c r="G674" s="1"/>
      <c r="H674" s="163"/>
      <c r="I674" s="37"/>
      <c r="J674" s="138"/>
      <c r="K674" s="114"/>
      <c r="L674" s="37"/>
      <c r="M674" s="37"/>
      <c r="N674" s="37"/>
      <c r="O674" s="132"/>
      <c r="P674" s="134"/>
      <c r="Q674" s="261"/>
      <c r="R674" s="94"/>
    </row>
    <row r="675" spans="3:18" x14ac:dyDescent="0.25">
      <c r="C675" s="279"/>
      <c r="D675" s="159"/>
      <c r="E675" s="40"/>
      <c r="F675" s="129"/>
      <c r="G675" s="1"/>
      <c r="H675" s="163"/>
      <c r="I675" s="37"/>
      <c r="J675" s="138"/>
      <c r="K675" s="114"/>
      <c r="L675" s="37"/>
      <c r="M675" s="37"/>
      <c r="N675" s="37"/>
      <c r="O675" s="132"/>
      <c r="P675" s="134"/>
      <c r="Q675" s="261"/>
      <c r="R675" s="94"/>
    </row>
    <row r="676" spans="3:18" x14ac:dyDescent="0.25">
      <c r="C676" s="279"/>
      <c r="D676" s="159"/>
      <c r="E676" s="40"/>
      <c r="F676" s="129"/>
      <c r="G676" s="1"/>
      <c r="H676" s="163"/>
      <c r="I676" s="37"/>
      <c r="J676" s="138"/>
      <c r="K676" s="114"/>
      <c r="L676" s="37"/>
      <c r="M676" s="37"/>
      <c r="N676" s="37"/>
      <c r="O676" s="132"/>
      <c r="P676" s="134"/>
      <c r="Q676" s="261"/>
      <c r="R676" s="94"/>
    </row>
    <row r="677" spans="3:18" x14ac:dyDescent="0.25">
      <c r="C677" s="279"/>
      <c r="D677" s="159"/>
      <c r="E677" s="40"/>
      <c r="F677" s="129"/>
      <c r="G677" s="1"/>
      <c r="H677" s="163"/>
      <c r="I677" s="37"/>
      <c r="J677" s="138"/>
      <c r="K677" s="114"/>
      <c r="L677" s="37"/>
      <c r="M677" s="37"/>
      <c r="N677" s="37"/>
      <c r="O677" s="132"/>
      <c r="P677" s="134"/>
      <c r="Q677" s="261"/>
      <c r="R677" s="94"/>
    </row>
    <row r="678" spans="3:18" x14ac:dyDescent="0.25">
      <c r="C678" s="279"/>
      <c r="D678" s="159"/>
      <c r="E678" s="40"/>
      <c r="F678" s="129"/>
      <c r="G678" s="1"/>
      <c r="H678" s="163"/>
      <c r="I678" s="37"/>
      <c r="J678" s="138"/>
      <c r="K678" s="114"/>
      <c r="L678" s="37"/>
      <c r="M678" s="37"/>
      <c r="N678" s="37"/>
      <c r="O678" s="132"/>
      <c r="P678" s="134"/>
      <c r="Q678" s="261"/>
      <c r="R678" s="94"/>
    </row>
    <row r="679" spans="3:18" x14ac:dyDescent="0.25">
      <c r="C679" s="279"/>
      <c r="D679" s="159"/>
      <c r="E679" s="40"/>
      <c r="F679" s="129"/>
      <c r="G679" s="1"/>
      <c r="H679" s="163"/>
      <c r="I679" s="37"/>
      <c r="J679" s="138"/>
      <c r="K679" s="114"/>
      <c r="L679" s="37"/>
      <c r="M679" s="37"/>
      <c r="N679" s="37"/>
      <c r="O679" s="132"/>
      <c r="P679" s="134"/>
      <c r="Q679" s="261"/>
      <c r="R679" s="94"/>
    </row>
    <row r="680" spans="3:18" x14ac:dyDescent="0.25">
      <c r="C680" s="279"/>
      <c r="D680" s="159"/>
      <c r="E680" s="40"/>
      <c r="F680" s="129"/>
      <c r="G680" s="1"/>
      <c r="H680" s="163"/>
      <c r="I680" s="37"/>
      <c r="J680" s="138"/>
      <c r="K680" s="114"/>
      <c r="L680" s="37"/>
      <c r="M680" s="37"/>
      <c r="N680" s="37"/>
      <c r="O680" s="132"/>
      <c r="P680" s="134"/>
      <c r="Q680" s="261"/>
      <c r="R680" s="94"/>
    </row>
    <row r="681" spans="3:18" x14ac:dyDescent="0.25">
      <c r="C681" s="279"/>
      <c r="D681" s="159"/>
      <c r="E681" s="40"/>
      <c r="F681" s="129"/>
      <c r="G681" s="1"/>
      <c r="H681" s="163"/>
      <c r="I681" s="37"/>
      <c r="J681" s="138"/>
      <c r="K681" s="114"/>
      <c r="L681" s="37"/>
      <c r="M681" s="37"/>
      <c r="N681" s="37"/>
      <c r="O681" s="132"/>
      <c r="P681" s="134"/>
      <c r="Q681" s="261"/>
      <c r="R681" s="94"/>
    </row>
    <row r="682" spans="3:18" x14ac:dyDescent="0.25">
      <c r="C682" s="279"/>
      <c r="D682" s="159"/>
      <c r="E682" s="40"/>
      <c r="F682" s="129"/>
      <c r="G682" s="1"/>
      <c r="H682" s="163"/>
      <c r="I682" s="37"/>
      <c r="J682" s="138"/>
      <c r="K682" s="114"/>
      <c r="L682" s="37"/>
      <c r="M682" s="37"/>
      <c r="N682" s="37"/>
      <c r="O682" s="132"/>
      <c r="P682" s="134"/>
      <c r="Q682" s="261"/>
      <c r="R682" s="94"/>
    </row>
    <row r="683" spans="3:18" x14ac:dyDescent="0.25">
      <c r="C683" s="279"/>
      <c r="D683" s="159"/>
      <c r="E683" s="40"/>
      <c r="F683" s="129"/>
      <c r="G683" s="1"/>
      <c r="H683" s="163"/>
      <c r="I683" s="37"/>
      <c r="J683" s="138"/>
      <c r="K683" s="114"/>
      <c r="L683" s="37"/>
      <c r="M683" s="37"/>
      <c r="N683" s="37"/>
      <c r="O683" s="132"/>
      <c r="P683" s="134"/>
      <c r="Q683" s="261"/>
      <c r="R683" s="94"/>
    </row>
    <row r="684" spans="3:18" x14ac:dyDescent="0.25">
      <c r="C684" s="279"/>
      <c r="D684" s="159"/>
      <c r="E684" s="40"/>
      <c r="F684" s="129"/>
      <c r="G684" s="1"/>
      <c r="H684" s="163"/>
      <c r="I684" s="37"/>
      <c r="J684" s="138"/>
      <c r="K684" s="114"/>
      <c r="L684" s="37"/>
      <c r="M684" s="37"/>
      <c r="N684" s="37"/>
      <c r="O684" s="132"/>
      <c r="P684" s="134"/>
      <c r="Q684" s="261"/>
      <c r="R684" s="94"/>
    </row>
    <row r="685" spans="3:18" x14ac:dyDescent="0.25">
      <c r="C685" s="279"/>
      <c r="D685" s="159"/>
      <c r="E685" s="40"/>
      <c r="F685" s="129"/>
      <c r="G685" s="1"/>
      <c r="H685" s="163"/>
      <c r="I685" s="37"/>
      <c r="J685" s="138"/>
      <c r="K685" s="114"/>
      <c r="L685" s="37"/>
      <c r="M685" s="37"/>
      <c r="N685" s="37"/>
      <c r="O685" s="132"/>
      <c r="P685" s="134"/>
      <c r="Q685" s="261"/>
      <c r="R685" s="94"/>
    </row>
    <row r="686" spans="3:18" x14ac:dyDescent="0.25">
      <c r="C686" s="279"/>
      <c r="D686" s="159"/>
      <c r="E686" s="40"/>
      <c r="F686" s="129"/>
      <c r="G686" s="1"/>
      <c r="H686" s="163"/>
      <c r="I686" s="37"/>
      <c r="J686" s="138"/>
      <c r="K686" s="114"/>
      <c r="L686" s="37"/>
      <c r="M686" s="37"/>
      <c r="N686" s="37"/>
      <c r="O686" s="132"/>
      <c r="P686" s="134"/>
      <c r="Q686" s="261"/>
      <c r="R686" s="94"/>
    </row>
    <row r="687" spans="3:18" x14ac:dyDescent="0.25">
      <c r="C687" s="279"/>
      <c r="D687" s="159"/>
      <c r="E687" s="40"/>
      <c r="F687" s="129"/>
      <c r="G687" s="1"/>
      <c r="H687" s="163"/>
      <c r="I687" s="37"/>
      <c r="J687" s="138"/>
      <c r="K687" s="114"/>
      <c r="L687" s="37"/>
      <c r="M687" s="37"/>
      <c r="N687" s="37"/>
      <c r="O687" s="132"/>
      <c r="P687" s="134"/>
      <c r="Q687" s="261"/>
      <c r="R687" s="94"/>
    </row>
    <row r="688" spans="3:18" x14ac:dyDescent="0.25">
      <c r="C688" s="279"/>
      <c r="D688" s="159"/>
      <c r="E688" s="40"/>
      <c r="F688" s="129"/>
      <c r="G688" s="1"/>
      <c r="H688" s="163"/>
      <c r="I688" s="37"/>
      <c r="J688" s="138"/>
      <c r="K688" s="114"/>
      <c r="L688" s="37"/>
      <c r="M688" s="37"/>
      <c r="N688" s="37"/>
      <c r="O688" s="132"/>
      <c r="P688" s="134"/>
      <c r="Q688" s="261"/>
      <c r="R688" s="94"/>
    </row>
    <row r="689" spans="3:18" x14ac:dyDescent="0.25">
      <c r="C689" s="279"/>
      <c r="D689" s="159"/>
      <c r="E689" s="40"/>
      <c r="F689" s="129"/>
      <c r="G689" s="1"/>
      <c r="H689" s="163"/>
      <c r="I689" s="37"/>
      <c r="J689" s="138"/>
      <c r="K689" s="114"/>
      <c r="L689" s="37"/>
      <c r="M689" s="37"/>
      <c r="N689" s="37"/>
      <c r="O689" s="132"/>
      <c r="P689" s="134"/>
      <c r="Q689" s="261"/>
      <c r="R689" s="94"/>
    </row>
    <row r="690" spans="3:18" x14ac:dyDescent="0.25">
      <c r="C690" s="279"/>
      <c r="D690" s="159"/>
      <c r="E690" s="40"/>
      <c r="F690" s="129"/>
      <c r="G690" s="1"/>
      <c r="H690" s="163"/>
      <c r="I690" s="37"/>
      <c r="J690" s="138"/>
      <c r="K690" s="114"/>
      <c r="L690" s="37"/>
      <c r="M690" s="37"/>
      <c r="N690" s="37"/>
      <c r="O690" s="132"/>
      <c r="P690" s="134"/>
      <c r="Q690" s="261"/>
      <c r="R690" s="94"/>
    </row>
    <row r="691" spans="3:18" x14ac:dyDescent="0.25">
      <c r="C691" s="279"/>
      <c r="D691" s="159"/>
      <c r="E691" s="40"/>
      <c r="F691" s="129"/>
      <c r="G691" s="1"/>
      <c r="H691" s="163"/>
      <c r="I691" s="37"/>
      <c r="J691" s="138"/>
      <c r="K691" s="114"/>
      <c r="L691" s="37"/>
      <c r="M691" s="37"/>
      <c r="N691" s="37"/>
      <c r="O691" s="132"/>
      <c r="P691" s="134"/>
      <c r="Q691" s="261"/>
      <c r="R691" s="94"/>
    </row>
    <row r="692" spans="3:18" x14ac:dyDescent="0.25">
      <c r="C692" s="279"/>
      <c r="D692" s="159"/>
      <c r="E692" s="40"/>
      <c r="F692" s="129"/>
      <c r="G692" s="1"/>
      <c r="H692" s="163"/>
      <c r="I692" s="37"/>
      <c r="J692" s="138"/>
      <c r="K692" s="114"/>
      <c r="L692" s="37"/>
      <c r="M692" s="37"/>
      <c r="N692" s="37"/>
      <c r="O692" s="132"/>
      <c r="P692" s="134"/>
      <c r="Q692" s="261"/>
      <c r="R692" s="94"/>
    </row>
    <row r="693" spans="3:18" x14ac:dyDescent="0.25">
      <c r="C693" s="279"/>
      <c r="D693" s="159"/>
      <c r="E693" s="40"/>
      <c r="F693" s="129"/>
      <c r="G693" s="1"/>
      <c r="H693" s="163"/>
      <c r="I693" s="37"/>
      <c r="J693" s="138"/>
      <c r="K693" s="114"/>
      <c r="L693" s="37"/>
      <c r="M693" s="37"/>
      <c r="N693" s="37"/>
      <c r="O693" s="132"/>
      <c r="P693" s="134"/>
      <c r="Q693" s="261"/>
      <c r="R693" s="94"/>
    </row>
    <row r="694" spans="3:18" x14ac:dyDescent="0.25">
      <c r="C694" s="279"/>
      <c r="D694" s="159"/>
      <c r="E694" s="40"/>
      <c r="F694" s="129"/>
      <c r="G694" s="1"/>
      <c r="H694" s="163"/>
      <c r="I694" s="37"/>
      <c r="J694" s="138"/>
      <c r="K694" s="114"/>
      <c r="L694" s="37"/>
      <c r="M694" s="37"/>
      <c r="N694" s="37"/>
      <c r="O694" s="132"/>
      <c r="P694" s="134"/>
      <c r="Q694" s="261"/>
      <c r="R694" s="94"/>
    </row>
    <row r="695" spans="3:18" x14ac:dyDescent="0.25">
      <c r="C695" s="279"/>
      <c r="D695" s="159"/>
      <c r="E695" s="40"/>
      <c r="F695" s="129"/>
      <c r="G695" s="1"/>
      <c r="H695" s="163"/>
      <c r="I695" s="37"/>
      <c r="J695" s="138"/>
      <c r="K695" s="114"/>
      <c r="L695" s="37"/>
      <c r="M695" s="37"/>
      <c r="N695" s="37"/>
      <c r="O695" s="132"/>
      <c r="P695" s="134"/>
      <c r="Q695" s="261"/>
      <c r="R695" s="94"/>
    </row>
    <row r="696" spans="3:18" x14ac:dyDescent="0.25">
      <c r="C696" s="279"/>
      <c r="D696" s="159"/>
      <c r="E696" s="40"/>
      <c r="F696" s="129"/>
      <c r="G696" s="1"/>
      <c r="H696" s="163"/>
      <c r="I696" s="37"/>
      <c r="J696" s="138"/>
      <c r="K696" s="114"/>
      <c r="L696" s="37"/>
      <c r="M696" s="37"/>
      <c r="N696" s="37"/>
      <c r="O696" s="132"/>
      <c r="P696" s="134"/>
      <c r="Q696" s="261"/>
      <c r="R696" s="94"/>
    </row>
    <row r="697" spans="3:18" x14ac:dyDescent="0.25">
      <c r="C697" s="279"/>
      <c r="D697" s="159"/>
      <c r="E697" s="40"/>
      <c r="F697" s="129"/>
      <c r="G697" s="1"/>
      <c r="H697" s="163"/>
      <c r="I697" s="37"/>
      <c r="J697" s="138"/>
      <c r="K697" s="114"/>
      <c r="L697" s="37"/>
      <c r="M697" s="37"/>
      <c r="N697" s="37"/>
      <c r="O697" s="132"/>
      <c r="P697" s="134"/>
      <c r="Q697" s="261"/>
      <c r="R697" s="94"/>
    </row>
    <row r="698" spans="3:18" x14ac:dyDescent="0.25">
      <c r="C698" s="279"/>
      <c r="D698" s="159"/>
      <c r="E698" s="40"/>
      <c r="F698" s="129"/>
      <c r="G698" s="1"/>
      <c r="H698" s="163"/>
      <c r="I698" s="37"/>
      <c r="J698" s="138"/>
      <c r="K698" s="114"/>
      <c r="L698" s="37"/>
      <c r="M698" s="37"/>
      <c r="N698" s="37"/>
      <c r="O698" s="132"/>
      <c r="P698" s="134"/>
      <c r="Q698" s="261"/>
      <c r="R698" s="94"/>
    </row>
    <row r="699" spans="3:18" x14ac:dyDescent="0.25">
      <c r="C699" s="279"/>
      <c r="D699" s="159"/>
      <c r="E699" s="40"/>
      <c r="F699" s="129"/>
      <c r="G699" s="1"/>
      <c r="H699" s="163"/>
      <c r="I699" s="37"/>
      <c r="J699" s="138"/>
      <c r="K699" s="114"/>
      <c r="L699" s="37"/>
      <c r="M699" s="37"/>
      <c r="N699" s="37"/>
      <c r="O699" s="132"/>
      <c r="P699" s="134"/>
      <c r="Q699" s="261"/>
      <c r="R699" s="94"/>
    </row>
    <row r="700" spans="3:18" x14ac:dyDescent="0.25">
      <c r="C700" s="279"/>
      <c r="D700" s="159"/>
      <c r="E700" s="40"/>
      <c r="F700" s="129"/>
      <c r="G700" s="1"/>
      <c r="H700" s="163"/>
      <c r="I700" s="37"/>
      <c r="J700" s="138"/>
      <c r="K700" s="114"/>
      <c r="L700" s="37"/>
      <c r="M700" s="37"/>
      <c r="N700" s="37"/>
      <c r="O700" s="132"/>
      <c r="P700" s="134"/>
      <c r="Q700" s="261"/>
      <c r="R700" s="94"/>
    </row>
    <row r="701" spans="3:18" x14ac:dyDescent="0.25">
      <c r="C701" s="279"/>
      <c r="D701" s="159"/>
      <c r="E701" s="40"/>
      <c r="F701" s="129"/>
      <c r="G701" s="1"/>
      <c r="H701" s="163"/>
      <c r="I701" s="37"/>
      <c r="J701" s="138"/>
      <c r="K701" s="114"/>
      <c r="L701" s="37"/>
      <c r="M701" s="37"/>
      <c r="N701" s="37"/>
      <c r="O701" s="132"/>
      <c r="P701" s="134"/>
      <c r="Q701" s="261"/>
      <c r="R701" s="94"/>
    </row>
    <row r="702" spans="3:18" x14ac:dyDescent="0.25">
      <c r="C702" s="279"/>
      <c r="D702" s="159"/>
      <c r="E702" s="40"/>
      <c r="F702" s="129"/>
      <c r="G702" s="1"/>
      <c r="H702" s="163"/>
      <c r="I702" s="37"/>
      <c r="J702" s="138"/>
      <c r="K702" s="114"/>
      <c r="L702" s="37"/>
      <c r="M702" s="37"/>
      <c r="N702" s="37"/>
      <c r="O702" s="132"/>
      <c r="P702" s="134"/>
      <c r="Q702" s="261"/>
      <c r="R702" s="94"/>
    </row>
    <row r="703" spans="3:18" x14ac:dyDescent="0.25">
      <c r="C703" s="279"/>
      <c r="D703" s="159"/>
      <c r="E703" s="40"/>
      <c r="F703" s="129"/>
      <c r="G703" s="1"/>
      <c r="H703" s="163"/>
      <c r="I703" s="37"/>
      <c r="J703" s="138"/>
      <c r="K703" s="114"/>
      <c r="L703" s="37"/>
      <c r="M703" s="37"/>
      <c r="N703" s="37"/>
      <c r="O703" s="132"/>
      <c r="P703" s="134"/>
      <c r="Q703" s="261"/>
      <c r="R703" s="94"/>
    </row>
    <row r="704" spans="3:18" x14ac:dyDescent="0.25">
      <c r="C704" s="279"/>
      <c r="D704" s="159"/>
      <c r="E704" s="40"/>
      <c r="F704" s="129"/>
      <c r="G704" s="1"/>
      <c r="H704" s="163"/>
      <c r="I704" s="37"/>
      <c r="J704" s="138"/>
      <c r="K704" s="114"/>
      <c r="L704" s="37"/>
      <c r="M704" s="37"/>
      <c r="N704" s="37"/>
      <c r="O704" s="132"/>
      <c r="P704" s="134"/>
      <c r="Q704" s="261"/>
      <c r="R704" s="94"/>
    </row>
    <row r="705" spans="3:18" x14ac:dyDescent="0.25">
      <c r="C705" s="279"/>
      <c r="D705" s="159"/>
      <c r="E705" s="40"/>
      <c r="F705" s="129"/>
      <c r="G705" s="1"/>
      <c r="H705" s="163"/>
      <c r="I705" s="37"/>
      <c r="J705" s="138"/>
      <c r="K705" s="114"/>
      <c r="L705" s="37"/>
      <c r="M705" s="37"/>
      <c r="N705" s="37"/>
      <c r="O705" s="132"/>
      <c r="P705" s="134"/>
      <c r="Q705" s="261"/>
      <c r="R705" s="94"/>
    </row>
    <row r="706" spans="3:18" x14ac:dyDescent="0.25">
      <c r="C706" s="279"/>
      <c r="D706" s="159"/>
      <c r="E706" s="40"/>
      <c r="F706" s="129"/>
      <c r="G706" s="1"/>
      <c r="H706" s="163"/>
      <c r="I706" s="37"/>
      <c r="J706" s="138"/>
      <c r="K706" s="114"/>
      <c r="L706" s="37"/>
      <c r="M706" s="37"/>
      <c r="N706" s="37"/>
      <c r="O706" s="132"/>
      <c r="P706" s="134"/>
      <c r="Q706" s="261"/>
      <c r="R706" s="94"/>
    </row>
    <row r="707" spans="3:18" x14ac:dyDescent="0.25">
      <c r="C707" s="279"/>
      <c r="D707" s="159"/>
      <c r="E707" s="40"/>
      <c r="F707" s="129"/>
      <c r="G707" s="1"/>
      <c r="H707" s="163"/>
      <c r="I707" s="37"/>
      <c r="J707" s="138"/>
      <c r="K707" s="114"/>
      <c r="L707" s="37"/>
      <c r="M707" s="37"/>
      <c r="N707" s="37"/>
      <c r="O707" s="132"/>
      <c r="P707" s="134"/>
      <c r="Q707" s="261"/>
      <c r="R707" s="94"/>
    </row>
    <row r="708" spans="3:18" x14ac:dyDescent="0.25">
      <c r="C708" s="279"/>
      <c r="D708" s="159"/>
      <c r="E708" s="40"/>
      <c r="F708" s="129"/>
      <c r="G708" s="1"/>
      <c r="H708" s="163"/>
      <c r="I708" s="37"/>
      <c r="J708" s="138"/>
      <c r="K708" s="114"/>
      <c r="L708" s="37"/>
      <c r="M708" s="37"/>
      <c r="N708" s="37"/>
      <c r="O708" s="132"/>
      <c r="P708" s="134"/>
      <c r="Q708" s="261"/>
      <c r="R708" s="94"/>
    </row>
    <row r="709" spans="3:18" x14ac:dyDescent="0.25">
      <c r="C709" s="279"/>
      <c r="D709" s="159"/>
      <c r="E709" s="40"/>
      <c r="F709" s="129"/>
      <c r="G709" s="1"/>
      <c r="H709" s="163"/>
      <c r="I709" s="37"/>
      <c r="J709" s="138"/>
      <c r="K709" s="114"/>
      <c r="L709" s="37"/>
      <c r="M709" s="37"/>
      <c r="N709" s="37"/>
      <c r="O709" s="132"/>
      <c r="P709" s="134"/>
      <c r="Q709" s="261"/>
      <c r="R709" s="94"/>
    </row>
    <row r="710" spans="3:18" x14ac:dyDescent="0.25">
      <c r="C710" s="279"/>
      <c r="D710" s="159"/>
      <c r="E710" s="40"/>
      <c r="F710" s="129"/>
      <c r="G710" s="1"/>
      <c r="H710" s="163"/>
      <c r="I710" s="37"/>
      <c r="J710" s="138"/>
      <c r="K710" s="114"/>
      <c r="L710" s="37"/>
      <c r="M710" s="37"/>
      <c r="N710" s="37"/>
      <c r="O710" s="132"/>
      <c r="P710" s="134"/>
      <c r="Q710" s="261"/>
      <c r="R710" s="94"/>
    </row>
    <row r="711" spans="3:18" x14ac:dyDescent="0.25">
      <c r="C711" s="279"/>
      <c r="D711" s="159"/>
      <c r="E711" s="40"/>
      <c r="F711" s="129"/>
      <c r="G711" s="1"/>
      <c r="H711" s="163"/>
      <c r="I711" s="37"/>
      <c r="J711" s="138"/>
      <c r="K711" s="114"/>
      <c r="L711" s="37"/>
      <c r="M711" s="37"/>
      <c r="N711" s="37"/>
      <c r="O711" s="132"/>
      <c r="P711" s="134"/>
      <c r="Q711" s="261"/>
      <c r="R711" s="94"/>
    </row>
    <row r="712" spans="3:18" x14ac:dyDescent="0.25">
      <c r="C712" s="279"/>
      <c r="D712" s="159"/>
      <c r="E712" s="40"/>
      <c r="F712" s="129"/>
      <c r="G712" s="1"/>
      <c r="H712" s="163"/>
      <c r="I712" s="37"/>
      <c r="J712" s="138"/>
      <c r="K712" s="114"/>
      <c r="L712" s="37"/>
      <c r="M712" s="37"/>
      <c r="N712" s="37"/>
      <c r="O712" s="132"/>
      <c r="P712" s="134"/>
      <c r="Q712" s="261"/>
      <c r="R712" s="94"/>
    </row>
    <row r="713" spans="3:18" x14ac:dyDescent="0.25">
      <c r="C713" s="279"/>
      <c r="D713" s="159"/>
      <c r="E713" s="40"/>
      <c r="F713" s="129"/>
      <c r="G713" s="1"/>
      <c r="H713" s="163"/>
      <c r="I713" s="37"/>
      <c r="J713" s="138"/>
      <c r="K713" s="114"/>
      <c r="L713" s="37"/>
      <c r="M713" s="37"/>
      <c r="N713" s="37"/>
      <c r="O713" s="132"/>
      <c r="P713" s="134"/>
      <c r="Q713" s="261"/>
      <c r="R713" s="94"/>
    </row>
    <row r="714" spans="3:18" x14ac:dyDescent="0.25">
      <c r="C714" s="279"/>
      <c r="D714" s="159"/>
      <c r="E714" s="40"/>
      <c r="F714" s="129"/>
      <c r="G714" s="1"/>
      <c r="H714" s="163"/>
      <c r="I714" s="37"/>
      <c r="J714" s="138"/>
      <c r="K714" s="114"/>
      <c r="L714" s="37"/>
      <c r="M714" s="37"/>
      <c r="N714" s="37"/>
      <c r="O714" s="132"/>
      <c r="P714" s="134"/>
      <c r="Q714" s="261"/>
      <c r="R714" s="94"/>
    </row>
    <row r="715" spans="3:18" x14ac:dyDescent="0.25">
      <c r="C715" s="279"/>
      <c r="D715" s="159"/>
      <c r="E715" s="40"/>
      <c r="F715" s="129"/>
      <c r="G715" s="1"/>
      <c r="H715" s="163"/>
      <c r="I715" s="37"/>
      <c r="J715" s="138"/>
      <c r="K715" s="114"/>
      <c r="L715" s="37"/>
      <c r="M715" s="37"/>
      <c r="N715" s="37"/>
      <c r="O715" s="132"/>
      <c r="P715" s="134"/>
      <c r="Q715" s="261"/>
      <c r="R715" s="94"/>
    </row>
    <row r="716" spans="3:18" x14ac:dyDescent="0.25">
      <c r="C716" s="279"/>
      <c r="D716" s="159"/>
      <c r="E716" s="40"/>
      <c r="F716" s="129"/>
      <c r="G716" s="1"/>
      <c r="H716" s="163"/>
      <c r="I716" s="37"/>
      <c r="J716" s="138"/>
      <c r="K716" s="114"/>
      <c r="L716" s="37"/>
      <c r="M716" s="37"/>
      <c r="N716" s="37"/>
      <c r="O716" s="132"/>
      <c r="P716" s="134"/>
      <c r="Q716" s="261"/>
      <c r="R716" s="94"/>
    </row>
    <row r="717" spans="3:18" x14ac:dyDescent="0.25">
      <c r="C717" s="279"/>
      <c r="D717" s="159"/>
      <c r="E717" s="40"/>
      <c r="F717" s="129"/>
      <c r="G717" s="1"/>
      <c r="H717" s="163"/>
      <c r="I717" s="37"/>
      <c r="J717" s="138"/>
      <c r="K717" s="114"/>
      <c r="L717" s="37"/>
      <c r="M717" s="37"/>
      <c r="N717" s="37"/>
      <c r="O717" s="132"/>
      <c r="P717" s="134"/>
      <c r="Q717" s="261"/>
      <c r="R717" s="94"/>
    </row>
    <row r="718" spans="3:18" x14ac:dyDescent="0.25">
      <c r="C718" s="279"/>
      <c r="D718" s="159"/>
      <c r="E718" s="40"/>
      <c r="F718" s="129"/>
      <c r="G718" s="1"/>
      <c r="H718" s="163"/>
      <c r="I718" s="37"/>
      <c r="J718" s="138"/>
      <c r="K718" s="114"/>
      <c r="L718" s="37"/>
      <c r="M718" s="37"/>
      <c r="N718" s="37"/>
      <c r="O718" s="132"/>
      <c r="P718" s="134"/>
      <c r="Q718" s="261"/>
      <c r="R718" s="94"/>
    </row>
    <row r="719" spans="3:18" x14ac:dyDescent="0.25">
      <c r="C719" s="279"/>
      <c r="D719" s="159"/>
      <c r="E719" s="40"/>
      <c r="F719" s="129"/>
      <c r="G719" s="1"/>
      <c r="H719" s="163"/>
      <c r="I719" s="37"/>
      <c r="J719" s="138"/>
      <c r="K719" s="114"/>
      <c r="L719" s="37"/>
      <c r="M719" s="37"/>
      <c r="N719" s="37"/>
      <c r="O719" s="132"/>
      <c r="P719" s="134"/>
      <c r="Q719" s="261"/>
      <c r="R719" s="94"/>
    </row>
    <row r="720" spans="3:18" x14ac:dyDescent="0.25">
      <c r="C720" s="279"/>
      <c r="D720" s="159"/>
      <c r="E720" s="40"/>
      <c r="F720" s="129"/>
      <c r="G720" s="1"/>
      <c r="H720" s="163"/>
      <c r="I720" s="37"/>
      <c r="J720" s="138"/>
      <c r="K720" s="114"/>
      <c r="L720" s="37"/>
      <c r="M720" s="37"/>
      <c r="N720" s="37"/>
      <c r="O720" s="132"/>
      <c r="P720" s="134"/>
      <c r="Q720" s="261"/>
      <c r="R720" s="94"/>
    </row>
    <row r="721" spans="3:18" x14ac:dyDescent="0.25">
      <c r="C721" s="279"/>
      <c r="D721" s="159"/>
      <c r="E721" s="40"/>
      <c r="F721" s="129"/>
      <c r="G721" s="1"/>
      <c r="H721" s="163"/>
      <c r="I721" s="37"/>
      <c r="J721" s="138"/>
      <c r="K721" s="114"/>
      <c r="L721" s="37"/>
      <c r="M721" s="37"/>
      <c r="N721" s="37"/>
      <c r="O721" s="132"/>
      <c r="P721" s="134"/>
      <c r="Q721" s="261"/>
      <c r="R721" s="94"/>
    </row>
    <row r="722" spans="3:18" x14ac:dyDescent="0.25">
      <c r="C722" s="279"/>
      <c r="D722" s="159"/>
      <c r="E722" s="40"/>
      <c r="F722" s="129"/>
      <c r="G722" s="1"/>
      <c r="H722" s="163"/>
      <c r="I722" s="37"/>
      <c r="J722" s="138"/>
      <c r="K722" s="114"/>
      <c r="L722" s="37"/>
      <c r="M722" s="37"/>
      <c r="N722" s="37"/>
      <c r="O722" s="132"/>
      <c r="P722" s="134"/>
      <c r="Q722" s="261"/>
      <c r="R722" s="94"/>
    </row>
    <row r="723" spans="3:18" x14ac:dyDescent="0.25">
      <c r="C723" s="279"/>
      <c r="D723" s="159"/>
      <c r="E723" s="40"/>
      <c r="F723" s="129"/>
      <c r="G723" s="1"/>
      <c r="H723" s="163"/>
      <c r="I723" s="37"/>
      <c r="J723" s="138"/>
      <c r="K723" s="114"/>
      <c r="L723" s="37"/>
      <c r="M723" s="37"/>
      <c r="N723" s="37"/>
      <c r="O723" s="132"/>
      <c r="P723" s="134"/>
      <c r="Q723" s="261"/>
      <c r="R723" s="94"/>
    </row>
    <row r="724" spans="3:18" x14ac:dyDescent="0.25">
      <c r="C724" s="279"/>
      <c r="D724" s="159"/>
      <c r="E724" s="40"/>
      <c r="F724" s="129"/>
      <c r="G724" s="1"/>
      <c r="H724" s="163"/>
      <c r="I724" s="37"/>
      <c r="J724" s="138"/>
      <c r="K724" s="114"/>
      <c r="L724" s="37"/>
      <c r="M724" s="37"/>
      <c r="N724" s="37"/>
      <c r="O724" s="132"/>
      <c r="P724" s="134"/>
      <c r="Q724" s="261"/>
      <c r="R724" s="94"/>
    </row>
    <row r="725" spans="3:18" x14ac:dyDescent="0.25">
      <c r="C725" s="279"/>
      <c r="D725" s="159"/>
      <c r="E725" s="40"/>
      <c r="F725" s="129"/>
      <c r="G725" s="1"/>
      <c r="H725" s="163"/>
      <c r="I725" s="37"/>
      <c r="J725" s="138"/>
      <c r="K725" s="114"/>
      <c r="L725" s="37"/>
      <c r="M725" s="37"/>
      <c r="N725" s="37"/>
      <c r="O725" s="132"/>
      <c r="P725" s="134"/>
      <c r="Q725" s="261"/>
      <c r="R725" s="94"/>
    </row>
    <row r="726" spans="3:18" x14ac:dyDescent="0.25">
      <c r="C726" s="279"/>
      <c r="D726" s="159"/>
      <c r="E726" s="40"/>
      <c r="F726" s="129"/>
      <c r="G726" s="1"/>
      <c r="H726" s="163"/>
      <c r="I726" s="37"/>
      <c r="J726" s="138"/>
      <c r="K726" s="114"/>
      <c r="L726" s="37"/>
      <c r="M726" s="37"/>
      <c r="N726" s="37"/>
      <c r="O726" s="132"/>
      <c r="P726" s="134"/>
      <c r="Q726" s="261"/>
      <c r="R726" s="94"/>
    </row>
    <row r="727" spans="3:18" x14ac:dyDescent="0.25">
      <c r="C727" s="279"/>
      <c r="D727" s="159"/>
      <c r="E727" s="40"/>
      <c r="F727" s="129"/>
      <c r="G727" s="1"/>
      <c r="H727" s="163"/>
      <c r="I727" s="37"/>
      <c r="J727" s="138"/>
      <c r="K727" s="114"/>
      <c r="L727" s="37"/>
      <c r="M727" s="37"/>
      <c r="N727" s="37"/>
      <c r="O727" s="132"/>
      <c r="P727" s="134"/>
      <c r="Q727" s="261"/>
      <c r="R727" s="94"/>
    </row>
    <row r="728" spans="3:18" x14ac:dyDescent="0.25">
      <c r="C728" s="279"/>
      <c r="D728" s="159"/>
      <c r="E728" s="40"/>
      <c r="F728" s="129"/>
      <c r="G728" s="1"/>
      <c r="H728" s="163"/>
      <c r="I728" s="37"/>
      <c r="J728" s="138"/>
      <c r="K728" s="114"/>
      <c r="L728" s="37"/>
      <c r="M728" s="37"/>
      <c r="N728" s="37"/>
      <c r="O728" s="132"/>
      <c r="P728" s="134"/>
      <c r="Q728" s="261"/>
      <c r="R728" s="94"/>
    </row>
    <row r="729" spans="3:18" x14ac:dyDescent="0.25">
      <c r="C729" s="279"/>
      <c r="D729" s="159"/>
      <c r="E729" s="40"/>
      <c r="F729" s="129"/>
      <c r="G729" s="1"/>
      <c r="H729" s="163"/>
      <c r="I729" s="37"/>
      <c r="J729" s="138"/>
      <c r="K729" s="114"/>
      <c r="L729" s="37"/>
      <c r="M729" s="37"/>
      <c r="N729" s="37"/>
      <c r="O729" s="132"/>
      <c r="P729" s="134"/>
      <c r="Q729" s="261"/>
      <c r="R729" s="94"/>
    </row>
    <row r="730" spans="3:18" x14ac:dyDescent="0.25">
      <c r="C730" s="279"/>
      <c r="D730" s="159"/>
      <c r="E730" s="40"/>
      <c r="F730" s="129"/>
      <c r="G730" s="1"/>
      <c r="H730" s="163"/>
      <c r="I730" s="37"/>
      <c r="J730" s="138"/>
      <c r="K730" s="114"/>
      <c r="L730" s="37"/>
      <c r="M730" s="37"/>
      <c r="N730" s="37"/>
      <c r="O730" s="132"/>
      <c r="P730" s="134"/>
      <c r="Q730" s="261"/>
      <c r="R730" s="94"/>
    </row>
    <row r="731" spans="3:18" x14ac:dyDescent="0.25">
      <c r="C731" s="279"/>
      <c r="D731" s="159"/>
      <c r="E731" s="40"/>
      <c r="F731" s="129"/>
      <c r="G731" s="1"/>
      <c r="H731" s="163"/>
      <c r="I731" s="37"/>
      <c r="J731" s="138"/>
      <c r="K731" s="114"/>
      <c r="L731" s="37"/>
      <c r="M731" s="37"/>
      <c r="N731" s="37"/>
      <c r="O731" s="132"/>
      <c r="P731" s="134"/>
      <c r="Q731" s="261"/>
      <c r="R731" s="94"/>
    </row>
    <row r="732" spans="3:18" x14ac:dyDescent="0.25">
      <c r="C732" s="279"/>
      <c r="D732" s="159"/>
      <c r="E732" s="40"/>
      <c r="F732" s="129"/>
      <c r="G732" s="1"/>
      <c r="H732" s="163"/>
      <c r="I732" s="37"/>
      <c r="J732" s="138"/>
      <c r="K732" s="114"/>
      <c r="L732" s="37"/>
      <c r="M732" s="37"/>
      <c r="N732" s="37"/>
      <c r="O732" s="132"/>
      <c r="P732" s="134"/>
      <c r="Q732" s="261"/>
      <c r="R732" s="94"/>
    </row>
    <row r="733" spans="3:18" x14ac:dyDescent="0.25">
      <c r="C733" s="279"/>
      <c r="D733" s="159"/>
      <c r="E733" s="40"/>
      <c r="F733" s="129"/>
      <c r="G733" s="1"/>
      <c r="H733" s="163"/>
      <c r="I733" s="37"/>
      <c r="J733" s="138"/>
      <c r="K733" s="114"/>
      <c r="L733" s="37"/>
      <c r="M733" s="37"/>
      <c r="N733" s="37"/>
      <c r="O733" s="132"/>
      <c r="P733" s="134"/>
      <c r="Q733" s="261"/>
      <c r="R733" s="94"/>
    </row>
    <row r="734" spans="3:18" x14ac:dyDescent="0.25">
      <c r="C734" s="279"/>
      <c r="D734" s="159"/>
      <c r="E734" s="40"/>
      <c r="F734" s="129"/>
      <c r="G734" s="1"/>
      <c r="H734" s="163"/>
      <c r="I734" s="37"/>
      <c r="J734" s="138"/>
      <c r="K734" s="114"/>
      <c r="L734" s="37"/>
      <c r="M734" s="37"/>
      <c r="N734" s="37"/>
      <c r="O734" s="132"/>
      <c r="P734" s="134"/>
      <c r="Q734" s="261"/>
      <c r="R734" s="94"/>
    </row>
    <row r="735" spans="3:18" x14ac:dyDescent="0.25">
      <c r="C735" s="279"/>
      <c r="D735" s="159"/>
      <c r="E735" s="40"/>
      <c r="F735" s="129"/>
      <c r="G735" s="1"/>
      <c r="H735" s="163"/>
      <c r="I735" s="37"/>
      <c r="J735" s="138"/>
      <c r="K735" s="114"/>
      <c r="L735" s="37"/>
      <c r="M735" s="37"/>
      <c r="N735" s="37"/>
      <c r="O735" s="132"/>
      <c r="P735" s="134"/>
      <c r="Q735" s="261"/>
      <c r="R735" s="94"/>
    </row>
    <row r="736" spans="3:18" x14ac:dyDescent="0.25">
      <c r="C736" s="279"/>
      <c r="D736" s="159"/>
      <c r="E736" s="40"/>
      <c r="F736" s="129"/>
      <c r="G736" s="1"/>
      <c r="H736" s="163"/>
      <c r="I736" s="37"/>
      <c r="J736" s="138"/>
      <c r="K736" s="114"/>
      <c r="L736" s="37"/>
      <c r="M736" s="37"/>
      <c r="N736" s="37"/>
      <c r="O736" s="132"/>
      <c r="P736" s="134"/>
      <c r="Q736" s="261"/>
      <c r="R736" s="94"/>
    </row>
    <row r="737" spans="3:18" x14ac:dyDescent="0.25">
      <c r="C737" s="279"/>
      <c r="D737" s="159"/>
      <c r="E737" s="40"/>
      <c r="F737" s="129"/>
      <c r="G737" s="1"/>
      <c r="H737" s="163"/>
      <c r="I737" s="37"/>
      <c r="J737" s="138"/>
      <c r="K737" s="114"/>
      <c r="L737" s="37"/>
      <c r="M737" s="37"/>
      <c r="N737" s="37"/>
      <c r="O737" s="132"/>
      <c r="P737" s="134"/>
      <c r="Q737" s="261"/>
      <c r="R737" s="94"/>
    </row>
    <row r="738" spans="3:18" x14ac:dyDescent="0.25">
      <c r="C738" s="279"/>
      <c r="D738" s="159"/>
      <c r="E738" s="40"/>
      <c r="F738" s="129"/>
      <c r="G738" s="1"/>
      <c r="H738" s="163"/>
      <c r="I738" s="37"/>
      <c r="J738" s="138"/>
      <c r="K738" s="114"/>
      <c r="L738" s="37"/>
      <c r="M738" s="37"/>
      <c r="N738" s="37"/>
      <c r="O738" s="132"/>
      <c r="P738" s="134"/>
      <c r="Q738" s="261"/>
      <c r="R738" s="94"/>
    </row>
    <row r="739" spans="3:18" x14ac:dyDescent="0.25">
      <c r="C739" s="279"/>
      <c r="D739" s="159"/>
      <c r="E739" s="40"/>
      <c r="F739" s="129"/>
      <c r="G739" s="1"/>
      <c r="H739" s="163"/>
      <c r="I739" s="37"/>
      <c r="J739" s="138"/>
      <c r="K739" s="114"/>
      <c r="L739" s="37"/>
      <c r="M739" s="37"/>
      <c r="N739" s="37"/>
      <c r="O739" s="132"/>
      <c r="P739" s="134"/>
      <c r="Q739" s="261"/>
      <c r="R739" s="94"/>
    </row>
    <row r="740" spans="3:18" x14ac:dyDescent="0.25">
      <c r="C740" s="279"/>
      <c r="D740" s="159"/>
      <c r="E740" s="40"/>
      <c r="F740" s="129"/>
      <c r="G740" s="1"/>
      <c r="H740" s="163"/>
      <c r="I740" s="37"/>
      <c r="J740" s="138"/>
      <c r="K740" s="114"/>
      <c r="L740" s="37"/>
      <c r="M740" s="37"/>
      <c r="N740" s="37"/>
      <c r="O740" s="132"/>
      <c r="P740" s="134"/>
      <c r="Q740" s="261"/>
      <c r="R740" s="94"/>
    </row>
    <row r="741" spans="3:18" x14ac:dyDescent="0.25">
      <c r="C741" s="279"/>
      <c r="D741" s="159"/>
      <c r="E741" s="40"/>
      <c r="F741" s="129"/>
      <c r="G741" s="1"/>
      <c r="H741" s="163"/>
      <c r="I741" s="37"/>
      <c r="J741" s="138"/>
      <c r="K741" s="114"/>
      <c r="L741" s="37"/>
      <c r="M741" s="37"/>
      <c r="N741" s="37"/>
      <c r="O741" s="132"/>
      <c r="P741" s="134"/>
      <c r="Q741" s="261"/>
      <c r="R741" s="94"/>
    </row>
    <row r="742" spans="3:18" x14ac:dyDescent="0.25">
      <c r="C742" s="279"/>
      <c r="D742" s="159"/>
      <c r="E742" s="40"/>
      <c r="F742" s="129"/>
      <c r="G742" s="1"/>
      <c r="H742" s="163"/>
      <c r="I742" s="37"/>
      <c r="J742" s="138"/>
      <c r="K742" s="114"/>
      <c r="L742" s="37"/>
      <c r="M742" s="37"/>
      <c r="N742" s="37"/>
      <c r="O742" s="132"/>
      <c r="P742" s="134"/>
      <c r="Q742" s="261"/>
      <c r="R742" s="94"/>
    </row>
    <row r="743" spans="3:18" x14ac:dyDescent="0.25">
      <c r="C743" s="279"/>
      <c r="D743" s="159"/>
      <c r="E743" s="40"/>
      <c r="F743" s="129"/>
      <c r="G743" s="1"/>
      <c r="H743" s="163"/>
      <c r="I743" s="37"/>
      <c r="J743" s="138"/>
      <c r="K743" s="114"/>
      <c r="L743" s="37"/>
      <c r="M743" s="37"/>
      <c r="N743" s="37"/>
      <c r="O743" s="132"/>
      <c r="P743" s="134"/>
      <c r="Q743" s="261"/>
      <c r="R743" s="94"/>
    </row>
    <row r="744" spans="3:18" x14ac:dyDescent="0.25">
      <c r="C744" s="279"/>
      <c r="D744" s="159"/>
      <c r="E744" s="40"/>
      <c r="F744" s="129"/>
      <c r="G744" s="1"/>
      <c r="H744" s="163"/>
      <c r="I744" s="37"/>
      <c r="J744" s="138"/>
      <c r="K744" s="114"/>
      <c r="L744" s="37"/>
      <c r="M744" s="37"/>
      <c r="N744" s="37"/>
      <c r="O744" s="132"/>
      <c r="P744" s="134"/>
      <c r="Q744" s="261"/>
      <c r="R744" s="94"/>
    </row>
    <row r="745" spans="3:18" x14ac:dyDescent="0.25">
      <c r="C745" s="279"/>
      <c r="D745" s="159"/>
      <c r="E745" s="40"/>
      <c r="F745" s="129"/>
      <c r="G745" s="1"/>
      <c r="H745" s="163"/>
      <c r="I745" s="37"/>
      <c r="J745" s="138"/>
      <c r="K745" s="114"/>
      <c r="L745" s="37"/>
      <c r="M745" s="37"/>
      <c r="N745" s="37"/>
      <c r="O745" s="132"/>
      <c r="P745" s="134"/>
      <c r="Q745" s="261"/>
      <c r="R745" s="94"/>
    </row>
    <row r="746" spans="3:18" x14ac:dyDescent="0.25">
      <c r="C746" s="279"/>
      <c r="D746" s="159"/>
      <c r="E746" s="40"/>
      <c r="F746" s="129"/>
      <c r="G746" s="1"/>
      <c r="H746" s="163"/>
      <c r="I746" s="37"/>
      <c r="J746" s="138"/>
      <c r="K746" s="114"/>
      <c r="L746" s="37"/>
      <c r="M746" s="37"/>
      <c r="N746" s="37"/>
      <c r="O746" s="132"/>
      <c r="P746" s="134"/>
      <c r="Q746" s="261"/>
      <c r="R746" s="94"/>
    </row>
    <row r="747" spans="3:18" x14ac:dyDescent="0.25">
      <c r="C747" s="279"/>
      <c r="D747" s="159"/>
      <c r="E747" s="40"/>
      <c r="F747" s="129"/>
      <c r="G747" s="1"/>
      <c r="H747" s="163"/>
      <c r="I747" s="37"/>
      <c r="J747" s="138"/>
      <c r="K747" s="114"/>
      <c r="L747" s="37"/>
      <c r="M747" s="37"/>
      <c r="N747" s="37"/>
      <c r="O747" s="132"/>
      <c r="P747" s="134"/>
      <c r="Q747" s="261"/>
      <c r="R747" s="94"/>
    </row>
    <row r="748" spans="3:18" x14ac:dyDescent="0.25">
      <c r="C748" s="279"/>
      <c r="D748" s="159"/>
      <c r="E748" s="40"/>
      <c r="F748" s="129"/>
      <c r="G748" s="1"/>
      <c r="H748" s="163"/>
      <c r="I748" s="37"/>
      <c r="J748" s="138"/>
      <c r="K748" s="114"/>
      <c r="L748" s="37"/>
      <c r="M748" s="37"/>
      <c r="N748" s="37"/>
      <c r="O748" s="132"/>
      <c r="P748" s="134"/>
      <c r="Q748" s="261"/>
      <c r="R748" s="94"/>
    </row>
    <row r="749" spans="3:18" x14ac:dyDescent="0.25">
      <c r="C749" s="279"/>
      <c r="D749" s="159"/>
      <c r="E749" s="40"/>
      <c r="F749" s="129"/>
      <c r="G749" s="1"/>
      <c r="H749" s="163"/>
      <c r="I749" s="37"/>
      <c r="J749" s="138"/>
      <c r="K749" s="114"/>
      <c r="L749" s="37"/>
      <c r="M749" s="37"/>
      <c r="N749" s="37"/>
      <c r="O749" s="132"/>
      <c r="P749" s="134"/>
      <c r="Q749" s="261"/>
      <c r="R749" s="94"/>
    </row>
    <row r="750" spans="3:18" x14ac:dyDescent="0.25">
      <c r="C750" s="279"/>
      <c r="D750" s="159"/>
      <c r="E750" s="40"/>
      <c r="F750" s="129"/>
      <c r="G750" s="1"/>
      <c r="H750" s="163"/>
      <c r="I750" s="37"/>
      <c r="J750" s="138"/>
      <c r="K750" s="114"/>
      <c r="L750" s="37"/>
      <c r="M750" s="37"/>
      <c r="N750" s="37"/>
      <c r="O750" s="132"/>
      <c r="P750" s="134"/>
      <c r="Q750" s="261"/>
      <c r="R750" s="94"/>
    </row>
    <row r="751" spans="3:18" x14ac:dyDescent="0.25">
      <c r="C751" s="279"/>
      <c r="D751" s="159"/>
      <c r="E751" s="40"/>
      <c r="F751" s="129"/>
      <c r="G751" s="1"/>
      <c r="H751" s="163"/>
      <c r="I751" s="37"/>
      <c r="J751" s="138"/>
      <c r="K751" s="114"/>
      <c r="L751" s="37"/>
      <c r="M751" s="37"/>
      <c r="N751" s="37"/>
      <c r="O751" s="132"/>
      <c r="P751" s="134"/>
      <c r="Q751" s="261"/>
      <c r="R751" s="94"/>
    </row>
    <row r="752" spans="3:18" x14ac:dyDescent="0.25">
      <c r="C752" s="279"/>
      <c r="D752" s="159"/>
      <c r="E752" s="40"/>
      <c r="F752" s="129"/>
      <c r="G752" s="1"/>
      <c r="H752" s="163"/>
      <c r="I752" s="37"/>
      <c r="J752" s="138"/>
      <c r="K752" s="114"/>
      <c r="L752" s="37"/>
      <c r="M752" s="37"/>
      <c r="N752" s="37"/>
      <c r="O752" s="132"/>
      <c r="P752" s="134"/>
      <c r="Q752" s="261"/>
      <c r="R752" s="94"/>
    </row>
    <row r="753" spans="3:18" x14ac:dyDescent="0.25">
      <c r="C753" s="279"/>
      <c r="D753" s="159"/>
      <c r="E753" s="40"/>
      <c r="F753" s="129"/>
      <c r="G753" s="1"/>
      <c r="H753" s="163"/>
      <c r="I753" s="37"/>
      <c r="J753" s="138"/>
      <c r="K753" s="114"/>
      <c r="L753" s="37"/>
      <c r="M753" s="37"/>
      <c r="N753" s="37"/>
      <c r="O753" s="132"/>
      <c r="P753" s="134"/>
      <c r="Q753" s="261"/>
      <c r="R753" s="94"/>
    </row>
    <row r="754" spans="3:18" x14ac:dyDescent="0.25">
      <c r="C754" s="279"/>
      <c r="D754" s="159"/>
      <c r="E754" s="40"/>
      <c r="F754" s="129"/>
      <c r="G754" s="1"/>
      <c r="H754" s="163"/>
      <c r="I754" s="37"/>
      <c r="J754" s="138"/>
      <c r="K754" s="114"/>
      <c r="L754" s="37"/>
      <c r="M754" s="37"/>
      <c r="N754" s="37"/>
      <c r="O754" s="132"/>
      <c r="P754" s="134"/>
      <c r="Q754" s="261"/>
      <c r="R754" s="94"/>
    </row>
    <row r="755" spans="3:18" x14ac:dyDescent="0.25">
      <c r="C755" s="279"/>
      <c r="D755" s="159"/>
      <c r="E755" s="40"/>
      <c r="F755" s="129"/>
      <c r="G755" s="1"/>
      <c r="H755" s="163"/>
      <c r="I755" s="37"/>
      <c r="J755" s="138"/>
      <c r="K755" s="114"/>
      <c r="L755" s="37"/>
      <c r="M755" s="37"/>
      <c r="N755" s="37"/>
      <c r="O755" s="132"/>
      <c r="P755" s="134"/>
      <c r="Q755" s="261"/>
      <c r="R755" s="94"/>
    </row>
    <row r="756" spans="3:18" x14ac:dyDescent="0.25">
      <c r="C756" s="279"/>
      <c r="D756" s="159"/>
      <c r="E756" s="40"/>
      <c r="F756" s="129"/>
      <c r="G756" s="1"/>
      <c r="H756" s="163"/>
      <c r="I756" s="37"/>
      <c r="J756" s="138"/>
      <c r="K756" s="114"/>
      <c r="L756" s="37"/>
      <c r="M756" s="37"/>
      <c r="N756" s="37"/>
      <c r="O756" s="132"/>
      <c r="P756" s="134"/>
      <c r="Q756" s="261"/>
      <c r="R756" s="94"/>
    </row>
    <row r="757" spans="3:18" x14ac:dyDescent="0.25">
      <c r="C757" s="279"/>
      <c r="D757" s="159"/>
      <c r="E757" s="40"/>
      <c r="F757" s="129"/>
      <c r="G757" s="1"/>
      <c r="H757" s="163"/>
      <c r="I757" s="37"/>
      <c r="J757" s="138"/>
      <c r="K757" s="114"/>
      <c r="L757" s="37"/>
      <c r="M757" s="37"/>
      <c r="N757" s="37"/>
      <c r="O757" s="132"/>
      <c r="P757" s="134"/>
      <c r="Q757" s="261"/>
      <c r="R757" s="94"/>
    </row>
    <row r="758" spans="3:18" x14ac:dyDescent="0.25">
      <c r="C758" s="279"/>
      <c r="D758" s="159"/>
      <c r="E758" s="40"/>
      <c r="F758" s="129"/>
      <c r="G758" s="1"/>
      <c r="H758" s="163"/>
      <c r="I758" s="37"/>
      <c r="J758" s="138"/>
      <c r="K758" s="114"/>
      <c r="L758" s="37"/>
      <c r="M758" s="37"/>
      <c r="N758" s="37"/>
      <c r="O758" s="132"/>
      <c r="P758" s="134"/>
      <c r="Q758" s="261"/>
      <c r="R758" s="94"/>
    </row>
    <row r="759" spans="3:18" x14ac:dyDescent="0.25">
      <c r="C759" s="279"/>
      <c r="D759" s="159"/>
      <c r="E759" s="40"/>
      <c r="F759" s="129"/>
      <c r="G759" s="1"/>
      <c r="H759" s="163"/>
      <c r="I759" s="37"/>
      <c r="J759" s="138"/>
      <c r="K759" s="114"/>
      <c r="L759" s="37"/>
      <c r="M759" s="37"/>
      <c r="N759" s="37"/>
      <c r="O759" s="132"/>
      <c r="P759" s="134"/>
      <c r="Q759" s="261"/>
      <c r="R759" s="94"/>
    </row>
    <row r="760" spans="3:18" x14ac:dyDescent="0.25">
      <c r="C760" s="279"/>
      <c r="D760" s="159"/>
      <c r="E760" s="40"/>
      <c r="F760" s="129"/>
      <c r="G760" s="1"/>
      <c r="H760" s="163"/>
      <c r="I760" s="37"/>
      <c r="J760" s="138"/>
      <c r="K760" s="114"/>
      <c r="L760" s="37"/>
      <c r="M760" s="37"/>
      <c r="N760" s="37"/>
      <c r="O760" s="132"/>
      <c r="P760" s="134"/>
      <c r="Q760" s="261"/>
      <c r="R760" s="94"/>
    </row>
    <row r="761" spans="3:18" x14ac:dyDescent="0.25">
      <c r="C761" s="279"/>
      <c r="D761" s="159"/>
      <c r="E761" s="40"/>
      <c r="F761" s="129"/>
      <c r="G761" s="1"/>
      <c r="H761" s="163"/>
      <c r="I761" s="37"/>
      <c r="J761" s="138"/>
      <c r="K761" s="114"/>
      <c r="L761" s="37"/>
      <c r="M761" s="37"/>
      <c r="N761" s="37"/>
      <c r="O761" s="132"/>
      <c r="P761" s="134"/>
      <c r="Q761" s="261"/>
      <c r="R761" s="94"/>
    </row>
    <row r="762" spans="3:18" x14ac:dyDescent="0.25">
      <c r="C762" s="279"/>
      <c r="D762" s="159"/>
      <c r="E762" s="40"/>
      <c r="F762" s="129"/>
      <c r="G762" s="1"/>
      <c r="H762" s="163"/>
      <c r="I762" s="37"/>
      <c r="J762" s="138"/>
      <c r="K762" s="114"/>
      <c r="L762" s="37"/>
      <c r="M762" s="37"/>
      <c r="N762" s="37"/>
      <c r="O762" s="132"/>
      <c r="P762" s="134"/>
      <c r="Q762" s="261"/>
      <c r="R762" s="94"/>
    </row>
    <row r="763" spans="3:18" x14ac:dyDescent="0.25">
      <c r="C763" s="279"/>
      <c r="D763" s="159"/>
      <c r="E763" s="40"/>
      <c r="F763" s="129"/>
      <c r="G763" s="1"/>
      <c r="H763" s="163"/>
      <c r="I763" s="37"/>
      <c r="J763" s="138"/>
      <c r="K763" s="114"/>
      <c r="L763" s="37"/>
      <c r="M763" s="37"/>
      <c r="N763" s="37"/>
      <c r="O763" s="132"/>
      <c r="P763" s="134"/>
      <c r="Q763" s="261"/>
      <c r="R763" s="94"/>
    </row>
    <row r="764" spans="3:18" x14ac:dyDescent="0.25">
      <c r="C764" s="279"/>
      <c r="D764" s="159"/>
      <c r="E764" s="40"/>
      <c r="F764" s="129"/>
      <c r="G764" s="1"/>
      <c r="H764" s="163"/>
      <c r="I764" s="37"/>
      <c r="J764" s="138"/>
      <c r="K764" s="114"/>
      <c r="L764" s="37"/>
      <c r="M764" s="37"/>
      <c r="N764" s="37"/>
      <c r="O764" s="132"/>
      <c r="P764" s="134"/>
      <c r="Q764" s="261"/>
      <c r="R764" s="94"/>
    </row>
    <row r="765" spans="3:18" x14ac:dyDescent="0.25">
      <c r="C765" s="279"/>
      <c r="D765" s="159"/>
      <c r="E765" s="40"/>
      <c r="F765" s="129"/>
      <c r="G765" s="1"/>
      <c r="H765" s="163"/>
      <c r="I765" s="37"/>
      <c r="J765" s="138"/>
      <c r="K765" s="114"/>
      <c r="L765" s="37"/>
      <c r="M765" s="37"/>
      <c r="N765" s="37"/>
      <c r="O765" s="132"/>
      <c r="P765" s="134"/>
      <c r="Q765" s="261"/>
      <c r="R765" s="94"/>
    </row>
    <row r="766" spans="3:18" x14ac:dyDescent="0.25">
      <c r="C766" s="279"/>
      <c r="D766" s="159"/>
      <c r="E766" s="40"/>
      <c r="F766" s="129"/>
      <c r="G766" s="1"/>
      <c r="H766" s="163"/>
      <c r="I766" s="37"/>
      <c r="J766" s="138"/>
      <c r="K766" s="114"/>
      <c r="L766" s="37"/>
      <c r="M766" s="37"/>
      <c r="N766" s="37"/>
      <c r="O766" s="132"/>
      <c r="P766" s="134"/>
      <c r="Q766" s="261"/>
      <c r="R766" s="94"/>
    </row>
    <row r="767" spans="3:18" x14ac:dyDescent="0.25">
      <c r="C767" s="279"/>
      <c r="D767" s="159"/>
      <c r="E767" s="40"/>
      <c r="F767" s="129"/>
      <c r="G767" s="1"/>
      <c r="H767" s="163"/>
      <c r="I767" s="37"/>
      <c r="J767" s="138"/>
      <c r="K767" s="114"/>
      <c r="L767" s="37"/>
      <c r="M767" s="37"/>
      <c r="N767" s="37"/>
      <c r="O767" s="132"/>
      <c r="P767" s="134"/>
      <c r="Q767" s="261"/>
      <c r="R767" s="94"/>
    </row>
    <row r="768" spans="3:18" x14ac:dyDescent="0.25">
      <c r="C768" s="279"/>
      <c r="D768" s="159"/>
      <c r="E768" s="40"/>
      <c r="F768" s="129"/>
      <c r="G768" s="1"/>
      <c r="H768" s="163"/>
      <c r="I768" s="37"/>
      <c r="J768" s="138"/>
      <c r="K768" s="114"/>
      <c r="L768" s="37"/>
      <c r="M768" s="37"/>
      <c r="N768" s="37"/>
      <c r="O768" s="132"/>
      <c r="P768" s="134"/>
      <c r="Q768" s="261"/>
      <c r="R768" s="94"/>
    </row>
    <row r="769" spans="3:18" x14ac:dyDescent="0.25">
      <c r="C769" s="279"/>
      <c r="D769" s="159"/>
      <c r="E769" s="40"/>
      <c r="F769" s="129"/>
      <c r="G769" s="1"/>
      <c r="H769" s="163"/>
      <c r="I769" s="37"/>
      <c r="J769" s="138"/>
      <c r="K769" s="114"/>
      <c r="L769" s="37"/>
      <c r="M769" s="37"/>
      <c r="N769" s="37"/>
      <c r="O769" s="132"/>
      <c r="P769" s="134"/>
      <c r="Q769" s="261"/>
      <c r="R769" s="94"/>
    </row>
    <row r="770" spans="3:18" x14ac:dyDescent="0.25">
      <c r="C770" s="279"/>
      <c r="D770" s="159"/>
      <c r="E770" s="40"/>
      <c r="F770" s="129"/>
      <c r="G770" s="1"/>
      <c r="H770" s="163"/>
      <c r="I770" s="37"/>
      <c r="J770" s="138"/>
      <c r="K770" s="114"/>
      <c r="L770" s="37"/>
      <c r="M770" s="37"/>
      <c r="N770" s="37"/>
      <c r="O770" s="132"/>
      <c r="P770" s="134"/>
      <c r="Q770" s="261"/>
      <c r="R770" s="94"/>
    </row>
    <row r="771" spans="3:18" x14ac:dyDescent="0.25">
      <c r="C771" s="279"/>
      <c r="D771" s="159"/>
      <c r="E771" s="40"/>
      <c r="F771" s="129"/>
      <c r="G771" s="1"/>
      <c r="H771" s="163"/>
      <c r="I771" s="37"/>
      <c r="J771" s="138"/>
      <c r="K771" s="114"/>
      <c r="L771" s="37"/>
      <c r="M771" s="37"/>
      <c r="N771" s="37"/>
      <c r="O771" s="132"/>
      <c r="P771" s="134"/>
      <c r="Q771" s="261"/>
      <c r="R771" s="94"/>
    </row>
    <row r="772" spans="3:18" x14ac:dyDescent="0.25">
      <c r="C772" s="279"/>
      <c r="D772" s="159"/>
      <c r="E772" s="40"/>
      <c r="F772" s="129"/>
      <c r="G772" s="1"/>
      <c r="H772" s="163"/>
      <c r="I772" s="37"/>
      <c r="J772" s="138"/>
      <c r="K772" s="114"/>
      <c r="L772" s="37"/>
      <c r="M772" s="37"/>
      <c r="N772" s="37"/>
      <c r="O772" s="132"/>
      <c r="P772" s="134"/>
      <c r="Q772" s="261"/>
      <c r="R772" s="94"/>
    </row>
    <row r="773" spans="3:18" x14ac:dyDescent="0.25">
      <c r="C773" s="279"/>
      <c r="D773" s="159"/>
      <c r="E773" s="40"/>
      <c r="F773" s="129"/>
      <c r="G773" s="1"/>
      <c r="H773" s="163"/>
      <c r="I773" s="37"/>
      <c r="J773" s="138"/>
      <c r="K773" s="114"/>
      <c r="L773" s="37"/>
      <c r="M773" s="37"/>
      <c r="N773" s="37"/>
      <c r="O773" s="132"/>
      <c r="P773" s="134"/>
      <c r="Q773" s="261"/>
      <c r="R773" s="94"/>
    </row>
    <row r="774" spans="3:18" x14ac:dyDescent="0.25">
      <c r="C774" s="279"/>
      <c r="D774" s="159"/>
      <c r="E774" s="40"/>
      <c r="F774" s="129"/>
      <c r="G774" s="1"/>
      <c r="H774" s="163"/>
      <c r="I774" s="37"/>
      <c r="J774" s="138"/>
      <c r="K774" s="114"/>
      <c r="L774" s="37"/>
      <c r="M774" s="37"/>
      <c r="N774" s="37"/>
      <c r="O774" s="132"/>
      <c r="P774" s="134"/>
      <c r="Q774" s="261"/>
      <c r="R774" s="94"/>
    </row>
    <row r="775" spans="3:18" x14ac:dyDescent="0.25">
      <c r="C775" s="279"/>
      <c r="D775" s="159"/>
      <c r="E775" s="40"/>
      <c r="F775" s="129"/>
      <c r="G775" s="1"/>
      <c r="H775" s="163"/>
      <c r="I775" s="37"/>
      <c r="J775" s="138"/>
      <c r="K775" s="114"/>
      <c r="L775" s="37"/>
      <c r="M775" s="37"/>
      <c r="N775" s="37"/>
      <c r="O775" s="132"/>
      <c r="P775" s="134"/>
      <c r="Q775" s="261"/>
      <c r="R775" s="94"/>
    </row>
    <row r="776" spans="3:18" x14ac:dyDescent="0.25">
      <c r="C776" s="279"/>
      <c r="D776" s="159"/>
      <c r="E776" s="40"/>
      <c r="F776" s="129"/>
      <c r="G776" s="1"/>
      <c r="H776" s="163"/>
      <c r="I776" s="37"/>
      <c r="J776" s="138"/>
      <c r="K776" s="114"/>
      <c r="L776" s="37"/>
      <c r="M776" s="37"/>
      <c r="N776" s="37"/>
      <c r="O776" s="132"/>
      <c r="P776" s="134"/>
      <c r="Q776" s="261"/>
      <c r="R776" s="94"/>
    </row>
    <row r="777" spans="3:18" x14ac:dyDescent="0.25">
      <c r="C777" s="279"/>
      <c r="D777" s="159"/>
      <c r="E777" s="40"/>
      <c r="F777" s="129"/>
      <c r="G777" s="1"/>
      <c r="H777" s="163"/>
      <c r="I777" s="37"/>
      <c r="J777" s="138"/>
      <c r="K777" s="114"/>
      <c r="L777" s="37"/>
      <c r="M777" s="37"/>
      <c r="N777" s="37"/>
      <c r="O777" s="132"/>
      <c r="P777" s="134"/>
      <c r="Q777" s="261"/>
      <c r="R777" s="94"/>
    </row>
    <row r="778" spans="3:18" x14ac:dyDescent="0.25">
      <c r="C778" s="279"/>
      <c r="D778" s="159"/>
      <c r="E778" s="40"/>
      <c r="F778" s="129"/>
      <c r="G778" s="1"/>
      <c r="H778" s="163"/>
      <c r="I778" s="37"/>
      <c r="J778" s="138"/>
      <c r="K778" s="114"/>
      <c r="L778" s="37"/>
      <c r="M778" s="37"/>
      <c r="N778" s="37"/>
      <c r="O778" s="132"/>
      <c r="P778" s="134"/>
      <c r="Q778" s="261"/>
      <c r="R778" s="94"/>
    </row>
    <row r="779" spans="3:18" x14ac:dyDescent="0.25">
      <c r="C779" s="279"/>
      <c r="D779" s="159"/>
      <c r="E779" s="40"/>
      <c r="F779" s="129"/>
      <c r="G779" s="1"/>
      <c r="H779" s="163"/>
      <c r="I779" s="37"/>
      <c r="J779" s="138"/>
      <c r="K779" s="114"/>
      <c r="L779" s="37"/>
      <c r="M779" s="37"/>
      <c r="N779" s="37"/>
      <c r="O779" s="132"/>
      <c r="P779" s="134"/>
      <c r="Q779" s="261"/>
      <c r="R779" s="94"/>
    </row>
    <row r="780" spans="3:18" x14ac:dyDescent="0.25">
      <c r="C780" s="279"/>
      <c r="D780" s="159"/>
      <c r="E780" s="40"/>
      <c r="F780" s="129"/>
      <c r="G780" s="1"/>
      <c r="H780" s="163"/>
      <c r="I780" s="37"/>
      <c r="J780" s="138"/>
      <c r="K780" s="114"/>
      <c r="L780" s="37"/>
      <c r="M780" s="37"/>
      <c r="N780" s="37"/>
      <c r="O780" s="132"/>
      <c r="P780" s="134"/>
      <c r="Q780" s="261"/>
      <c r="R780" s="94"/>
    </row>
    <row r="781" spans="3:18" x14ac:dyDescent="0.25">
      <c r="C781" s="279"/>
      <c r="D781" s="159"/>
      <c r="E781" s="40"/>
      <c r="F781" s="129"/>
      <c r="G781" s="1"/>
      <c r="H781" s="163"/>
      <c r="I781" s="37"/>
      <c r="J781" s="138"/>
      <c r="K781" s="114"/>
      <c r="L781" s="37"/>
      <c r="M781" s="37"/>
      <c r="N781" s="37"/>
      <c r="O781" s="132"/>
      <c r="P781" s="134"/>
      <c r="Q781" s="261"/>
      <c r="R781" s="94"/>
    </row>
    <row r="782" spans="3:18" x14ac:dyDescent="0.25">
      <c r="C782" s="279"/>
      <c r="D782" s="159"/>
      <c r="E782" s="40"/>
      <c r="F782" s="129"/>
      <c r="G782" s="1"/>
      <c r="H782" s="163"/>
      <c r="I782" s="37"/>
      <c r="J782" s="138"/>
      <c r="K782" s="114"/>
      <c r="L782" s="37"/>
      <c r="M782" s="37"/>
      <c r="N782" s="37"/>
      <c r="O782" s="132"/>
      <c r="P782" s="134"/>
      <c r="Q782" s="261"/>
      <c r="R782" s="94"/>
    </row>
    <row r="783" spans="3:18" x14ac:dyDescent="0.25">
      <c r="C783" s="279"/>
      <c r="D783" s="159"/>
      <c r="E783" s="40"/>
      <c r="F783" s="129"/>
      <c r="G783" s="1"/>
      <c r="H783" s="163"/>
      <c r="I783" s="37"/>
      <c r="J783" s="138"/>
      <c r="K783" s="114"/>
      <c r="L783" s="37"/>
      <c r="M783" s="37"/>
      <c r="N783" s="37"/>
      <c r="O783" s="132"/>
      <c r="P783" s="134"/>
      <c r="Q783" s="261"/>
      <c r="R783" s="94"/>
    </row>
    <row r="784" spans="3:18" x14ac:dyDescent="0.25">
      <c r="C784" s="279"/>
      <c r="D784" s="159"/>
      <c r="E784" s="40"/>
      <c r="F784" s="129"/>
      <c r="G784" s="1"/>
      <c r="H784" s="163"/>
      <c r="I784" s="37"/>
      <c r="J784" s="138"/>
      <c r="K784" s="114"/>
      <c r="L784" s="37"/>
      <c r="M784" s="37"/>
      <c r="N784" s="37"/>
      <c r="O784" s="132"/>
      <c r="P784" s="134"/>
      <c r="Q784" s="261"/>
      <c r="R784" s="94"/>
    </row>
    <row r="785" spans="3:18" x14ac:dyDescent="0.25">
      <c r="C785" s="279"/>
      <c r="D785" s="159"/>
      <c r="E785" s="40"/>
      <c r="F785" s="129"/>
      <c r="G785" s="1"/>
      <c r="H785" s="163"/>
      <c r="I785" s="37"/>
      <c r="J785" s="138"/>
      <c r="K785" s="114"/>
      <c r="L785" s="37"/>
      <c r="M785" s="37"/>
      <c r="N785" s="37"/>
      <c r="O785" s="132"/>
      <c r="P785" s="134"/>
      <c r="Q785" s="261"/>
      <c r="R785" s="94"/>
    </row>
    <row r="786" spans="3:18" x14ac:dyDescent="0.25">
      <c r="C786" s="279"/>
      <c r="D786" s="159"/>
      <c r="E786" s="40"/>
      <c r="F786" s="129"/>
      <c r="G786" s="1"/>
      <c r="H786" s="163"/>
      <c r="I786" s="37"/>
      <c r="J786" s="138"/>
      <c r="K786" s="114"/>
      <c r="L786" s="37"/>
      <c r="M786" s="37"/>
      <c r="N786" s="37"/>
      <c r="O786" s="132"/>
      <c r="P786" s="134"/>
      <c r="Q786" s="261"/>
      <c r="R786" s="94"/>
    </row>
    <row r="787" spans="3:18" x14ac:dyDescent="0.25">
      <c r="C787" s="279"/>
      <c r="D787" s="159"/>
      <c r="E787" s="40"/>
      <c r="F787" s="129"/>
      <c r="G787" s="1"/>
      <c r="H787" s="163"/>
      <c r="I787" s="37"/>
      <c r="J787" s="138"/>
      <c r="K787" s="114"/>
      <c r="L787" s="37"/>
      <c r="M787" s="37"/>
      <c r="N787" s="37"/>
      <c r="O787" s="132"/>
      <c r="P787" s="134"/>
      <c r="Q787" s="261"/>
      <c r="R787" s="94"/>
    </row>
    <row r="788" spans="3:18" x14ac:dyDescent="0.25">
      <c r="C788" s="279"/>
      <c r="D788" s="159"/>
      <c r="E788" s="40"/>
      <c r="F788" s="129"/>
      <c r="G788" s="1"/>
      <c r="H788" s="163"/>
      <c r="I788" s="37"/>
      <c r="J788" s="138"/>
      <c r="K788" s="114"/>
      <c r="L788" s="37"/>
      <c r="M788" s="37"/>
      <c r="N788" s="37"/>
      <c r="O788" s="132"/>
      <c r="P788" s="134"/>
      <c r="Q788" s="261"/>
      <c r="R788" s="94"/>
    </row>
    <row r="789" spans="3:18" x14ac:dyDescent="0.25">
      <c r="C789" s="279"/>
      <c r="D789" s="159"/>
      <c r="E789" s="40"/>
      <c r="F789" s="129"/>
      <c r="G789" s="1"/>
      <c r="H789" s="163"/>
      <c r="I789" s="37"/>
      <c r="J789" s="138"/>
      <c r="K789" s="114"/>
      <c r="L789" s="37"/>
      <c r="M789" s="37"/>
      <c r="N789" s="37"/>
      <c r="O789" s="132"/>
      <c r="P789" s="134"/>
      <c r="Q789" s="261"/>
      <c r="R789" s="94"/>
    </row>
    <row r="790" spans="3:18" x14ac:dyDescent="0.25">
      <c r="C790" s="279"/>
      <c r="D790" s="159"/>
      <c r="E790" s="40"/>
      <c r="F790" s="129"/>
      <c r="G790" s="1"/>
      <c r="H790" s="163"/>
      <c r="I790" s="37"/>
      <c r="J790" s="138"/>
      <c r="K790" s="114"/>
      <c r="L790" s="37"/>
      <c r="M790" s="37"/>
      <c r="N790" s="37"/>
      <c r="O790" s="132"/>
      <c r="P790" s="134"/>
      <c r="Q790" s="261"/>
      <c r="R790" s="94"/>
    </row>
    <row r="791" spans="3:18" x14ac:dyDescent="0.25">
      <c r="C791" s="279"/>
      <c r="D791" s="159"/>
      <c r="E791" s="40"/>
      <c r="F791" s="129"/>
      <c r="G791" s="1"/>
      <c r="H791" s="163"/>
      <c r="I791" s="37"/>
      <c r="J791" s="138"/>
      <c r="K791" s="114"/>
      <c r="L791" s="37"/>
      <c r="M791" s="37"/>
      <c r="N791" s="37"/>
      <c r="O791" s="132"/>
      <c r="P791" s="134"/>
      <c r="Q791" s="261"/>
      <c r="R791" s="94"/>
    </row>
    <row r="792" spans="3:18" x14ac:dyDescent="0.25">
      <c r="C792" s="279"/>
      <c r="D792" s="159"/>
      <c r="E792" s="40"/>
      <c r="F792" s="129"/>
      <c r="G792" s="1"/>
      <c r="H792" s="163"/>
      <c r="I792" s="37"/>
      <c r="J792" s="138"/>
      <c r="K792" s="114"/>
      <c r="L792" s="37"/>
      <c r="M792" s="37"/>
      <c r="N792" s="37"/>
      <c r="O792" s="132"/>
      <c r="P792" s="134"/>
      <c r="Q792" s="261"/>
      <c r="R792" s="94"/>
    </row>
    <row r="793" spans="3:18" x14ac:dyDescent="0.25">
      <c r="C793" s="291"/>
      <c r="D793" s="178"/>
      <c r="E793" s="179"/>
      <c r="F793" s="130"/>
      <c r="G793" s="1"/>
      <c r="H793" s="161"/>
      <c r="I793" s="51"/>
      <c r="J793" s="164"/>
      <c r="K793" s="93"/>
      <c r="L793" s="42"/>
      <c r="M793" s="42"/>
      <c r="N793" s="42"/>
      <c r="O793" s="165"/>
      <c r="P793" s="135"/>
      <c r="Q793" s="282"/>
      <c r="R793" s="94"/>
    </row>
    <row r="794" spans="3:18" x14ac:dyDescent="0.25">
      <c r="J794" s="94"/>
      <c r="K794" s="94"/>
      <c r="L794" s="94"/>
      <c r="M794" s="94"/>
      <c r="O794" s="58" t="s">
        <v>19</v>
      </c>
      <c r="P794" s="190">
        <f>SUM(P22:P793)</f>
        <v>38876805.950578898</v>
      </c>
      <c r="Q794" s="276"/>
      <c r="R794" s="94"/>
    </row>
  </sheetData>
  <conditionalFormatting sqref="F22:F793">
    <cfRule type="containsText" dxfId="11" priority="5" operator="containsText" text="ERROR">
      <formula>NOT(ISERROR(SEARCH("ERROR",F22)))</formula>
    </cfRule>
  </conditionalFormatting>
  <conditionalFormatting sqref="J22:J793">
    <cfRule type="cellIs" dxfId="10" priority="2" operator="equal">
      <formula>1</formula>
    </cfRule>
  </conditionalFormatting>
  <conditionalFormatting sqref="E134">
    <cfRule type="expression" dxfId="9" priority="1">
      <formula>VALUE(A134)&gt;2004</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02"/>
  <sheetViews>
    <sheetView showGridLines="0" zoomScale="70" zoomScaleNormal="70" workbookViewId="0">
      <pane ySplit="21" topLeftCell="A22" activePane="bottomLeft" state="frozen"/>
      <selection activeCell="A22" sqref="A22"/>
      <selection pane="bottomLeft" activeCell="D19" sqref="D19"/>
    </sheetView>
  </sheetViews>
  <sheetFormatPr defaultRowHeight="11.5" outlineLevelRow="1" x14ac:dyDescent="0.25"/>
  <cols>
    <col min="1" max="1" width="6.69921875" style="367" customWidth="1"/>
    <col min="2" max="2" width="11.5" style="367" bestFit="1" customWidth="1"/>
    <col min="3" max="3" width="22.59765625" style="277"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8984375" style="281" customWidth="1"/>
    <col min="18" max="18" width="9.09765625" customWidth="1"/>
  </cols>
  <sheetData>
    <row r="1" spans="3:18" x14ac:dyDescent="0.25">
      <c r="E1" s="43"/>
    </row>
    <row r="2" spans="3:18" x14ac:dyDescent="0.25">
      <c r="E2" s="43"/>
    </row>
    <row r="3" spans="3:18" ht="20" x14ac:dyDescent="0.4">
      <c r="C3" s="283" t="s">
        <v>204</v>
      </c>
    </row>
    <row r="4" spans="3:18" hidden="1" outlineLevel="1" x14ac:dyDescent="0.25"/>
    <row r="5" spans="3:18" hidden="1" outlineLevel="1" x14ac:dyDescent="0.25">
      <c r="D5" s="43"/>
    </row>
    <row r="6" spans="3:18" ht="12" hidden="1" customHeight="1" outlineLevel="1" x14ac:dyDescent="0.25">
      <c r="C6" s="28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4"/>
      <c r="E6" s="94"/>
      <c r="F6" s="94"/>
      <c r="G6" s="94"/>
      <c r="H6" s="94"/>
      <c r="I6" s="94"/>
      <c r="J6" s="94"/>
      <c r="K6" s="94"/>
      <c r="L6" s="94"/>
      <c r="M6" s="94"/>
      <c r="N6" s="94"/>
      <c r="O6" s="94"/>
      <c r="P6" s="94"/>
      <c r="Q6" s="276"/>
      <c r="R6" s="94"/>
    </row>
    <row r="7" spans="3:18" hidden="1" outlineLevel="1" x14ac:dyDescent="0.25">
      <c r="C7" s="285" t="str">
        <f ca="1">"Hyperlink to the '"&amp;MID(CELL("filename",'Asset exclusions'!A1),FIND("]",CELL("filename",'Asset exclusions'!A1))+1,255)&amp;"' worksheet:"</f>
        <v>Hyperlink to the 'Asset exclusions' worksheet:</v>
      </c>
      <c r="E7" s="215" t="s">
        <v>189</v>
      </c>
      <c r="F7" s="94"/>
      <c r="G7" s="94"/>
      <c r="H7" s="94"/>
      <c r="I7" s="94"/>
      <c r="J7" s="94"/>
      <c r="K7" s="94"/>
      <c r="L7" s="94"/>
      <c r="M7" s="94"/>
      <c r="N7" s="94"/>
      <c r="O7" s="94"/>
      <c r="P7" s="94"/>
      <c r="Q7" s="276"/>
      <c r="R7" s="94"/>
    </row>
    <row r="8" spans="3:18" hidden="1" outlineLevel="1" x14ac:dyDescent="0.25">
      <c r="C8" s="285"/>
      <c r="E8" s="215"/>
      <c r="F8" s="94"/>
      <c r="G8" s="94"/>
      <c r="H8" s="94"/>
      <c r="I8" s="94"/>
      <c r="J8" s="94"/>
      <c r="K8" s="94"/>
      <c r="L8" s="94"/>
      <c r="M8" s="94"/>
      <c r="N8" s="94"/>
      <c r="O8" s="94"/>
      <c r="P8" s="94"/>
      <c r="Q8" s="276"/>
      <c r="R8" s="94"/>
    </row>
    <row r="9" spans="3:18" hidden="1" outlineLevel="1" x14ac:dyDescent="0.25">
      <c r="C9" s="285" t="s">
        <v>244</v>
      </c>
      <c r="E9" s="215"/>
      <c r="F9" s="94"/>
      <c r="G9" s="94"/>
      <c r="H9" s="94"/>
      <c r="I9" s="94"/>
      <c r="J9" s="94"/>
      <c r="K9" s="94"/>
      <c r="L9" s="94"/>
      <c r="M9" s="94"/>
      <c r="N9" s="94"/>
      <c r="O9" s="94"/>
      <c r="P9" s="94"/>
      <c r="Q9" s="276"/>
      <c r="R9" s="94"/>
    </row>
    <row r="10" spans="3:18" hidden="1" outlineLevel="1" x14ac:dyDescent="0.25">
      <c r="C10" s="285" t="s">
        <v>247</v>
      </c>
      <c r="E10" s="215"/>
      <c r="F10" s="94"/>
      <c r="G10" s="94"/>
      <c r="H10" s="94"/>
      <c r="I10" s="94"/>
      <c r="J10" s="94"/>
      <c r="K10" s="94"/>
      <c r="L10" s="94"/>
      <c r="M10" s="94"/>
      <c r="N10" s="94"/>
      <c r="O10" s="94"/>
      <c r="P10" s="94"/>
      <c r="Q10" s="276"/>
      <c r="R10" s="94"/>
    </row>
    <row r="11" spans="3:18" hidden="1" outlineLevel="1" x14ac:dyDescent="0.25">
      <c r="C11" s="285" t="s">
        <v>246</v>
      </c>
      <c r="E11" s="215"/>
      <c r="F11" s="94"/>
      <c r="G11" s="94"/>
      <c r="H11" s="94"/>
      <c r="I11" s="94"/>
      <c r="J11" s="94"/>
      <c r="K11" s="94"/>
      <c r="L11" s="94"/>
      <c r="M11" s="94"/>
      <c r="N11" s="94"/>
      <c r="O11" s="94"/>
      <c r="P11" s="94"/>
      <c r="Q11" s="276"/>
      <c r="R11" s="94"/>
    </row>
    <row r="12" spans="3:18" hidden="1" outlineLevel="1" x14ac:dyDescent="0.25">
      <c r="C12" s="285" t="s">
        <v>245</v>
      </c>
      <c r="E12" s="215"/>
      <c r="F12" s="94"/>
      <c r="G12" s="94"/>
      <c r="H12" s="94"/>
      <c r="I12" s="94"/>
      <c r="J12" s="94"/>
      <c r="K12" s="94"/>
      <c r="L12" s="94"/>
      <c r="M12" s="94"/>
      <c r="N12" s="94"/>
      <c r="O12" s="94"/>
      <c r="P12" s="94"/>
      <c r="Q12" s="276"/>
      <c r="R12" s="94"/>
    </row>
    <row r="13" spans="3:18" collapsed="1" x14ac:dyDescent="0.25">
      <c r="C13" s="286"/>
      <c r="D13" s="94"/>
      <c r="E13" s="94"/>
      <c r="F13" s="94"/>
      <c r="G13" s="94"/>
      <c r="H13" s="94"/>
      <c r="I13" s="94"/>
      <c r="J13" s="94"/>
      <c r="K13" s="94"/>
      <c r="L13" s="94"/>
      <c r="M13" s="94"/>
      <c r="N13" s="94"/>
      <c r="O13" s="94"/>
      <c r="P13" s="94"/>
      <c r="Q13" s="276"/>
      <c r="R13" s="94"/>
    </row>
    <row r="14" spans="3:18" ht="12" x14ac:dyDescent="0.3">
      <c r="C14" s="287" t="s">
        <v>55</v>
      </c>
      <c r="D14" s="94"/>
      <c r="E14" s="94"/>
      <c r="F14" s="94"/>
      <c r="G14" s="94"/>
      <c r="H14" s="262" t="s">
        <v>286</v>
      </c>
      <c r="L14" s="271" t="s">
        <v>287</v>
      </c>
      <c r="M14" s="370"/>
      <c r="N14" s="370"/>
      <c r="O14" s="93"/>
      <c r="P14" s="94"/>
      <c r="Q14" s="276"/>
      <c r="R14" s="94"/>
    </row>
    <row r="15" spans="3:18" ht="12" x14ac:dyDescent="0.3">
      <c r="C15" s="288" t="s">
        <v>59</v>
      </c>
      <c r="D15" s="94"/>
      <c r="E15" s="126">
        <f>'General inputs'!$H$24+1</f>
        <v>35065</v>
      </c>
      <c r="F15" s="94"/>
      <c r="G15" s="94"/>
      <c r="H15" s="263" t="s">
        <v>279</v>
      </c>
      <c r="I15" s="264">
        <f>SUMIF($B$22:$B$3002,H15,$P$22:$P$3002)/$J$22</f>
        <v>96603540.846322477</v>
      </c>
      <c r="L15" s="264">
        <f>'Pre-1996 assets'!I15+I15</f>
        <v>134523536.45829988</v>
      </c>
      <c r="M15" s="270"/>
      <c r="N15" s="272"/>
      <c r="O15" s="93"/>
      <c r="P15" s="94"/>
      <c r="Q15" s="276"/>
      <c r="R15" s="94"/>
    </row>
    <row r="16" spans="3:18" ht="12" x14ac:dyDescent="0.3">
      <c r="C16" s="288" t="s">
        <v>60</v>
      </c>
      <c r="D16" s="94"/>
      <c r="E16" s="127">
        <f>'General inputs'!$H$18</f>
        <v>44377</v>
      </c>
      <c r="F16" s="94"/>
      <c r="G16" s="94"/>
      <c r="H16" s="265" t="s">
        <v>282</v>
      </c>
      <c r="I16" s="266">
        <f>SUMIF($B$22:$B$3002,H16,$P$22:$P$3002)/$J$22</f>
        <v>0</v>
      </c>
      <c r="L16" s="266">
        <f>'Pre-1996 assets'!I16+I16</f>
        <v>0</v>
      </c>
      <c r="M16" s="270"/>
      <c r="N16" s="272"/>
      <c r="O16" s="93"/>
      <c r="P16" s="94"/>
      <c r="Q16" s="276"/>
      <c r="R16" s="94"/>
    </row>
    <row r="17" spans="1:18" ht="12" x14ac:dyDescent="0.3">
      <c r="C17" s="286"/>
      <c r="D17" s="94"/>
      <c r="E17" s="94"/>
      <c r="F17" s="94"/>
      <c r="G17" s="94"/>
      <c r="H17" s="269" t="s">
        <v>283</v>
      </c>
      <c r="I17" s="270">
        <f>SUMIF($B$22:$B$3002,H17,$P$22:$P$3002)/$J$22</f>
        <v>43873386.269496322</v>
      </c>
      <c r="J17" s="1"/>
      <c r="K17" s="1"/>
      <c r="L17" s="270">
        <f>'Pre-1996 assets'!I17+I17</f>
        <v>49480311.141270161</v>
      </c>
      <c r="M17" s="270"/>
      <c r="N17" s="272"/>
      <c r="O17" s="93"/>
      <c r="P17" s="94"/>
      <c r="Q17" s="276"/>
      <c r="R17" s="94"/>
    </row>
    <row r="18" spans="1:18" ht="15.5" x14ac:dyDescent="0.35">
      <c r="C18" s="289" t="s">
        <v>210</v>
      </c>
      <c r="E18" s="94"/>
      <c r="F18" s="94"/>
      <c r="G18" s="94"/>
      <c r="H18" s="267" t="s">
        <v>285</v>
      </c>
      <c r="I18" s="268">
        <f>SUMIF($B$22:$B$3002,H18,$P$22:$P$3002)/$J$22</f>
        <v>0</v>
      </c>
      <c r="L18" s="268">
        <f>'Pre-1996 assets'!I18+I18</f>
        <v>11249138.934460999</v>
      </c>
      <c r="M18" s="270"/>
      <c r="N18" s="272"/>
      <c r="O18" s="93"/>
      <c r="P18" s="94"/>
      <c r="Q18" s="276"/>
      <c r="R18" s="94"/>
    </row>
    <row r="19" spans="1:18" ht="12" x14ac:dyDescent="0.3">
      <c r="C19" s="286"/>
      <c r="D19" s="94"/>
      <c r="E19" s="94"/>
      <c r="F19" s="94"/>
      <c r="G19" s="94"/>
      <c r="H19" s="347" t="s">
        <v>1083</v>
      </c>
      <c r="I19" s="348">
        <f>SUMIF($B$22:$B$3002,H19,$P$22:$P$3002)/$J$22</f>
        <v>0</v>
      </c>
      <c r="J19" s="94"/>
      <c r="K19" s="94"/>
      <c r="L19" s="264">
        <f>'Pre-1996 assets'!I19+I19</f>
        <v>116880892.43000001</v>
      </c>
      <c r="M19" s="270"/>
      <c r="N19" s="272"/>
      <c r="O19" s="93"/>
      <c r="P19" s="94"/>
      <c r="Q19" s="276"/>
      <c r="R19" s="94"/>
    </row>
    <row r="20" spans="1:18" x14ac:dyDescent="0.25">
      <c r="C20" s="287" t="s">
        <v>16</v>
      </c>
      <c r="D20" s="94"/>
      <c r="E20" s="94"/>
      <c r="F20" s="94"/>
      <c r="G20" s="94"/>
      <c r="H20" s="124" t="s">
        <v>17</v>
      </c>
      <c r="I20" s="94"/>
      <c r="J20" s="94"/>
      <c r="K20" s="94"/>
      <c r="L20" s="124" t="s">
        <v>18</v>
      </c>
      <c r="M20" s="124"/>
      <c r="N20" s="94"/>
      <c r="O20" s="94"/>
      <c r="P20" s="94"/>
      <c r="Q20" s="276"/>
      <c r="R20" s="94"/>
    </row>
    <row r="21" spans="1:18" ht="46" x14ac:dyDescent="0.25">
      <c r="C21" s="290" t="s">
        <v>13</v>
      </c>
      <c r="D21" s="35" t="s">
        <v>12</v>
      </c>
      <c r="E21" s="35" t="s">
        <v>14</v>
      </c>
      <c r="F21" s="35" t="s">
        <v>26</v>
      </c>
      <c r="G21" s="94"/>
      <c r="H21" s="35" t="s">
        <v>31</v>
      </c>
      <c r="I21" s="35" t="s">
        <v>90</v>
      </c>
      <c r="J21" s="35" t="s">
        <v>88</v>
      </c>
      <c r="K21" s="94"/>
      <c r="L21" s="35" t="s">
        <v>89</v>
      </c>
      <c r="M21" s="35" t="s">
        <v>114</v>
      </c>
      <c r="N21" s="35" t="str">
        <f>"MEERA value per unit/measure of length (B) 
("&amp;'General inputs'!$H$42&amp;" as at 1 July "&amp;LEFT('General inputs'!$I$40,4)&amp;")"</f>
        <v>MEERA value per unit/measure of length (B) 
($ as at 1 July 2022)</v>
      </c>
      <c r="O21" s="35" t="str">
        <f>"Total MEERA value (A x B)
("&amp;'General inputs'!$H$42&amp;", $"&amp;'General inputs'!$I$40&amp;")"</f>
        <v>Total MEERA value (A x B)
($, $2022-23)</v>
      </c>
      <c r="P21" s="35" t="str">
        <f>"MEERA value to be recovered via DSP ("&amp;'General inputs'!$H$42&amp;", $"&amp;'General inputs'!$I$40&amp;")"</f>
        <v>MEERA value to be recovered via DSP ($, $2022-23)</v>
      </c>
      <c r="Q21" s="280" t="s">
        <v>281</v>
      </c>
      <c r="R21" s="94"/>
    </row>
    <row r="22" spans="1:18" ht="23" x14ac:dyDescent="0.25">
      <c r="A22" s="367">
        <v>2000</v>
      </c>
      <c r="B22" s="367" t="s">
        <v>279</v>
      </c>
      <c r="C22" s="278">
        <v>1000467</v>
      </c>
      <c r="D22" s="158" t="s">
        <v>777</v>
      </c>
      <c r="E22" s="44">
        <f>IF(A22&lt;2022,DATEVALUE("30 Jun "&amp;A22),A22)</f>
        <v>36707</v>
      </c>
      <c r="F22" s="136" t="str">
        <f>IF(E22="","-",IF(OR(E22&lt;$E$15,E22&gt;$E$16),"ERROR - date outside of range",IF(MONTH(E22)&gt;=7,YEAR(E22)&amp;"-"&amp;IF(YEAR(E22)=1999,"00",IF(AND(YEAR(E22)&gt;=2000,YEAR(E22)&lt;2009),"0","")&amp;RIGHT(YEAR(E22),2)+1),RIGHT(YEAR(E22),4)-1&amp;"-"&amp;RIGHT(YEAR(E22),2))))</f>
        <v>1999-00</v>
      </c>
      <c r="G22" s="1"/>
      <c r="H22" s="162" t="s">
        <v>280</v>
      </c>
      <c r="I22" s="36"/>
      <c r="J22" s="137">
        <f>'ET inputs'!AP21</f>
        <v>0.77968490742404351</v>
      </c>
      <c r="K22" s="114"/>
      <c r="L22" s="36">
        <v>47.251399999999997</v>
      </c>
      <c r="M22" s="36" t="s">
        <v>142</v>
      </c>
      <c r="N22" s="36">
        <v>459.03407217694991</v>
      </c>
      <c r="O22" s="131">
        <f>IF(N22="","-",L22*N22)</f>
        <v>21690.002558061929</v>
      </c>
      <c r="P22" s="133">
        <f>IF(O22="-","-",IF(OR(E22&lt;$E$15,E22&gt;$E$16),0,O22*J22))*Q22</f>
        <v>3213.1598509368587</v>
      </c>
      <c r="Q22" s="261">
        <v>0.19</v>
      </c>
      <c r="R22" s="94"/>
    </row>
    <row r="23" spans="1:18" x14ac:dyDescent="0.25">
      <c r="A23" s="367">
        <v>2000</v>
      </c>
      <c r="B23" s="367" t="s">
        <v>279</v>
      </c>
      <c r="C23" s="279">
        <v>10000038</v>
      </c>
      <c r="D23" s="159" t="s">
        <v>778</v>
      </c>
      <c r="E23" s="45">
        <f t="shared" ref="E23:E86" si="0">IF(A23&lt;2022,DATEVALUE("30 Jun "&amp;A23),A23)</f>
        <v>36707</v>
      </c>
      <c r="F23" s="148" t="str">
        <f>IF(E23="","-",IF(OR(E23&lt;$E$15,E23&gt;$E$16),"ERROR - date outside of range",IF(MONTH(E23)&gt;=7,YEAR(E23)&amp;"-"&amp;IF(YEAR(E23)=1999,"00",IF(AND(YEAR(E23)&gt;=2000,YEAR(E23)&lt;2009),"0","")&amp;RIGHT(YEAR(E23),2)+1),RIGHT(YEAR(E23),4)-1&amp;"-"&amp;RIGHT(YEAR(E23),2))))</f>
        <v>1999-00</v>
      </c>
      <c r="G23" s="1"/>
      <c r="H23" s="163"/>
      <c r="I23" s="37"/>
      <c r="J23" s="138">
        <f>J22</f>
        <v>0.77968490742404351</v>
      </c>
      <c r="K23" s="114"/>
      <c r="L23" s="187">
        <v>147.82881</v>
      </c>
      <c r="M23" s="37" t="s">
        <v>142</v>
      </c>
      <c r="N23" s="37">
        <v>526.68119860302681</v>
      </c>
      <c r="O23" s="132">
        <f>IF(N23="","-",L23*N23)</f>
        <v>77858.654838859118</v>
      </c>
      <c r="P23" s="134">
        <f>IF(O23="-","-",IF(OR(E23&lt;$E$15,E23&gt;$E$16),0,O23*J23))*Q23</f>
        <v>7284.6261708235716</v>
      </c>
      <c r="Q23" s="261">
        <v>0.12</v>
      </c>
      <c r="R23" s="94"/>
    </row>
    <row r="24" spans="1:18" x14ac:dyDescent="0.25">
      <c r="A24" s="367">
        <v>2000</v>
      </c>
      <c r="B24" s="367" t="s">
        <v>279</v>
      </c>
      <c r="C24" s="279">
        <v>1000415</v>
      </c>
      <c r="D24" s="159" t="s">
        <v>779</v>
      </c>
      <c r="E24" s="45">
        <f t="shared" si="0"/>
        <v>36707</v>
      </c>
      <c r="F24" s="148" t="str">
        <f t="shared" ref="F24:F87" si="1">IF(E24="","-",IF(OR(E24&lt;$E$15,E24&gt;$E$16),"ERROR - date outside of range",IF(MONTH(E24)&gt;=7,YEAR(E24)&amp;"-"&amp;IF(YEAR(E24)=1999,"00",IF(AND(YEAR(E24)&gt;=2000,YEAR(E24)&lt;2009),"0","")&amp;RIGHT(YEAR(E24),2)+1),RIGHT(YEAR(E24),4)-1&amp;"-"&amp;RIGHT(YEAR(E24),2))))</f>
        <v>1999-00</v>
      </c>
      <c r="G24" s="1"/>
      <c r="H24" s="163"/>
      <c r="I24" s="37"/>
      <c r="J24" s="138">
        <f t="shared" ref="J24:J87" si="2">J23</f>
        <v>0.77968490742404351</v>
      </c>
      <c r="K24" s="114"/>
      <c r="L24" s="37">
        <v>60</v>
      </c>
      <c r="M24" s="37" t="s">
        <v>142</v>
      </c>
      <c r="N24" s="37">
        <v>459.03407217694991</v>
      </c>
      <c r="O24" s="132">
        <f t="shared" ref="O24:O87" si="3">IF(N24="","-",L24*N24)</f>
        <v>27542.044330616995</v>
      </c>
      <c r="P24" s="134">
        <f t="shared" ref="P24:P87" si="4">IF(O24="-","-",IF(OR(E24&lt;$E$15,E24&gt;$E$16),0,O24*J24))*Q24</f>
        <v>21474.116284186013</v>
      </c>
      <c r="Q24" s="261">
        <v>1</v>
      </c>
      <c r="R24" s="94"/>
    </row>
    <row r="25" spans="1:18" x14ac:dyDescent="0.25">
      <c r="A25" s="367">
        <v>2000</v>
      </c>
      <c r="B25" s="367" t="s">
        <v>279</v>
      </c>
      <c r="C25" s="279">
        <v>1000415</v>
      </c>
      <c r="D25" s="159" t="s">
        <v>779</v>
      </c>
      <c r="E25" s="45">
        <f t="shared" si="0"/>
        <v>36707</v>
      </c>
      <c r="F25" s="148" t="str">
        <f t="shared" si="1"/>
        <v>1999-00</v>
      </c>
      <c r="G25" s="1"/>
      <c r="H25" s="163"/>
      <c r="I25" s="37"/>
      <c r="J25" s="138">
        <f t="shared" si="2"/>
        <v>0.77968490742404351</v>
      </c>
      <c r="K25" s="114"/>
      <c r="L25" s="37">
        <v>50</v>
      </c>
      <c r="M25" s="37" t="s">
        <v>142</v>
      </c>
      <c r="N25" s="37">
        <v>459.03407217694991</v>
      </c>
      <c r="O25" s="132">
        <f t="shared" si="3"/>
        <v>22951.703608847496</v>
      </c>
      <c r="P25" s="134">
        <f t="shared" si="4"/>
        <v>3400.0684116627858</v>
      </c>
      <c r="Q25" s="261">
        <v>0.19</v>
      </c>
      <c r="R25" s="94"/>
    </row>
    <row r="26" spans="1:18" x14ac:dyDescent="0.25">
      <c r="A26" s="367">
        <v>2001</v>
      </c>
      <c r="B26" s="367" t="s">
        <v>279</v>
      </c>
      <c r="C26" s="279">
        <v>1000806</v>
      </c>
      <c r="D26" s="159" t="s">
        <v>780</v>
      </c>
      <c r="E26" s="45">
        <f t="shared" si="0"/>
        <v>37072</v>
      </c>
      <c r="F26" s="148" t="str">
        <f t="shared" si="1"/>
        <v>2000-01</v>
      </c>
      <c r="G26" s="1"/>
      <c r="H26" s="163"/>
      <c r="I26" s="37"/>
      <c r="J26" s="138">
        <f t="shared" si="2"/>
        <v>0.77968490742404351</v>
      </c>
      <c r="K26" s="114"/>
      <c r="L26" s="37">
        <v>84.341499999999996</v>
      </c>
      <c r="M26" s="37" t="s">
        <v>142</v>
      </c>
      <c r="N26" s="37">
        <v>459.03407217694991</v>
      </c>
      <c r="O26" s="132">
        <f t="shared" si="3"/>
        <v>38715.622198512217</v>
      </c>
      <c r="P26" s="134">
        <f t="shared" si="4"/>
        <v>5735.3373988451358</v>
      </c>
      <c r="Q26" s="261">
        <v>0.19</v>
      </c>
      <c r="R26" s="94"/>
    </row>
    <row r="27" spans="1:18" x14ac:dyDescent="0.25">
      <c r="A27" s="367">
        <v>2002</v>
      </c>
      <c r="B27" s="367" t="s">
        <v>279</v>
      </c>
      <c r="C27" s="279">
        <v>1001336</v>
      </c>
      <c r="D27" s="159" t="s">
        <v>781</v>
      </c>
      <c r="E27" s="45">
        <f t="shared" si="0"/>
        <v>37437</v>
      </c>
      <c r="F27" s="148" t="str">
        <f t="shared" si="1"/>
        <v>2001-02</v>
      </c>
      <c r="G27" s="1"/>
      <c r="H27" s="163"/>
      <c r="I27" s="37"/>
      <c r="J27" s="138">
        <f t="shared" si="2"/>
        <v>0.77968490742404351</v>
      </c>
      <c r="K27" s="114"/>
      <c r="L27" s="37">
        <v>30.5</v>
      </c>
      <c r="M27" s="37" t="s">
        <v>142</v>
      </c>
      <c r="N27" s="37">
        <v>615.26672130384168</v>
      </c>
      <c r="O27" s="132">
        <f t="shared" si="3"/>
        <v>18765.634999767171</v>
      </c>
      <c r="P27" s="134">
        <f t="shared" si="4"/>
        <v>3657.8205968867146</v>
      </c>
      <c r="Q27" s="261">
        <v>0.25</v>
      </c>
      <c r="R27" s="94"/>
    </row>
    <row r="28" spans="1:18" x14ac:dyDescent="0.25">
      <c r="A28" s="367">
        <v>2002</v>
      </c>
      <c r="B28" s="367" t="s">
        <v>279</v>
      </c>
      <c r="C28" s="279">
        <v>1001084</v>
      </c>
      <c r="D28" s="159" t="s">
        <v>782</v>
      </c>
      <c r="E28" s="45">
        <f t="shared" si="0"/>
        <v>37437</v>
      </c>
      <c r="F28" s="148" t="str">
        <f t="shared" si="1"/>
        <v>2001-02</v>
      </c>
      <c r="G28" s="1"/>
      <c r="H28" s="163"/>
      <c r="I28" s="37"/>
      <c r="J28" s="138">
        <f t="shared" si="2"/>
        <v>0.77968490742404351</v>
      </c>
      <c r="K28" s="114"/>
      <c r="L28" s="37">
        <v>139.91748000000001</v>
      </c>
      <c r="M28" s="37" t="s">
        <v>142</v>
      </c>
      <c r="N28" s="37">
        <v>526.68119860302681</v>
      </c>
      <c r="O28" s="132">
        <f t="shared" si="3"/>
        <v>73691.906071915044</v>
      </c>
      <c r="P28" s="134">
        <f t="shared" si="4"/>
        <v>57456.466963582388</v>
      </c>
      <c r="Q28" s="261">
        <v>1</v>
      </c>
      <c r="R28" s="94"/>
    </row>
    <row r="29" spans="1:18" x14ac:dyDescent="0.25">
      <c r="A29" s="367">
        <v>2003</v>
      </c>
      <c r="B29" s="367" t="s">
        <v>279</v>
      </c>
      <c r="C29" s="279">
        <v>1001423</v>
      </c>
      <c r="D29" s="159" t="s">
        <v>783</v>
      </c>
      <c r="E29" s="45">
        <f t="shared" si="0"/>
        <v>37802</v>
      </c>
      <c r="F29" s="148" t="str">
        <f t="shared" si="1"/>
        <v>2002-03</v>
      </c>
      <c r="G29" s="1"/>
      <c r="H29" s="163"/>
      <c r="I29" s="37"/>
      <c r="J29" s="138">
        <f t="shared" si="2"/>
        <v>0.77968490742404351</v>
      </c>
      <c r="K29" s="114"/>
      <c r="L29" s="37">
        <v>172.73641000000001</v>
      </c>
      <c r="M29" s="37" t="s">
        <v>142</v>
      </c>
      <c r="N29" s="37">
        <v>526.68119860302681</v>
      </c>
      <c r="O29" s="132">
        <f t="shared" si="3"/>
        <v>90977.019461183867</v>
      </c>
      <c r="P29" s="134">
        <f t="shared" si="4"/>
        <v>8512.009079557025</v>
      </c>
      <c r="Q29" s="261">
        <v>0.12</v>
      </c>
      <c r="R29" s="94"/>
    </row>
    <row r="30" spans="1:18" x14ac:dyDescent="0.25">
      <c r="A30" s="367">
        <v>2004</v>
      </c>
      <c r="B30" s="367" t="s">
        <v>279</v>
      </c>
      <c r="C30" s="279" t="s">
        <v>393</v>
      </c>
      <c r="D30" s="159" t="s">
        <v>784</v>
      </c>
      <c r="E30" s="45">
        <f t="shared" si="0"/>
        <v>38168</v>
      </c>
      <c r="F30" s="148" t="str">
        <f t="shared" si="1"/>
        <v>2003-04</v>
      </c>
      <c r="G30" s="1"/>
      <c r="H30" s="163"/>
      <c r="I30" s="37"/>
      <c r="J30" s="138">
        <f t="shared" si="2"/>
        <v>0.77968490742404351</v>
      </c>
      <c r="K30" s="114"/>
      <c r="L30" s="37">
        <v>49.573279999999997</v>
      </c>
      <c r="M30" s="37" t="s">
        <v>142</v>
      </c>
      <c r="N30" s="37">
        <v>526.68119860302681</v>
      </c>
      <c r="O30" s="132">
        <f t="shared" si="3"/>
        <v>26109.314529083455</v>
      </c>
      <c r="P30" s="134">
        <f t="shared" si="4"/>
        <v>2442.84461778164</v>
      </c>
      <c r="Q30" s="261">
        <v>0.12</v>
      </c>
      <c r="R30" s="94"/>
    </row>
    <row r="31" spans="1:18" x14ac:dyDescent="0.25">
      <c r="A31" s="367">
        <v>2005</v>
      </c>
      <c r="B31" s="367" t="s">
        <v>279</v>
      </c>
      <c r="C31" s="279" t="s">
        <v>394</v>
      </c>
      <c r="D31" s="159" t="s">
        <v>785</v>
      </c>
      <c r="E31" s="45">
        <f t="shared" si="0"/>
        <v>38533</v>
      </c>
      <c r="F31" s="148" t="str">
        <f t="shared" si="1"/>
        <v>2004-05</v>
      </c>
      <c r="G31" s="1"/>
      <c r="H31" s="163"/>
      <c r="I31" s="37"/>
      <c r="J31" s="138">
        <f t="shared" si="2"/>
        <v>0.77968490742404351</v>
      </c>
      <c r="K31" s="114"/>
      <c r="L31" s="37">
        <v>178.79943</v>
      </c>
      <c r="M31" s="37" t="s">
        <v>142</v>
      </c>
      <c r="N31" s="37">
        <v>459.03407217694991</v>
      </c>
      <c r="O31" s="132">
        <f t="shared" si="3"/>
        <v>82075.030455817498</v>
      </c>
      <c r="P31" s="134">
        <f t="shared" si="4"/>
        <v>12158.605879326227</v>
      </c>
      <c r="Q31" s="261">
        <v>0.19</v>
      </c>
      <c r="R31" s="94"/>
    </row>
    <row r="32" spans="1:18" x14ac:dyDescent="0.25">
      <c r="A32" s="367">
        <v>1999</v>
      </c>
      <c r="B32" s="367" t="s">
        <v>279</v>
      </c>
      <c r="C32" s="279" t="s">
        <v>395</v>
      </c>
      <c r="D32" s="159" t="s">
        <v>786</v>
      </c>
      <c r="E32" s="45">
        <f t="shared" si="0"/>
        <v>36341</v>
      </c>
      <c r="F32" s="148" t="str">
        <f t="shared" si="1"/>
        <v>1998-99</v>
      </c>
      <c r="G32" s="1"/>
      <c r="H32" s="163"/>
      <c r="I32" s="37"/>
      <c r="J32" s="138">
        <f t="shared" si="2"/>
        <v>0.77968490742404351</v>
      </c>
      <c r="K32" s="114"/>
      <c r="L32" s="37">
        <v>570</v>
      </c>
      <c r="M32" s="37" t="s">
        <v>142</v>
      </c>
      <c r="N32" s="37">
        <v>526.68119860302681</v>
      </c>
      <c r="O32" s="132">
        <f t="shared" si="3"/>
        <v>300208.2832037253</v>
      </c>
      <c r="P32" s="134">
        <f t="shared" si="4"/>
        <v>67879.681574311995</v>
      </c>
      <c r="Q32" s="261">
        <v>0.28999999999999998</v>
      </c>
      <c r="R32" s="94"/>
    </row>
    <row r="33" spans="1:18" x14ac:dyDescent="0.25">
      <c r="A33" s="367">
        <v>1999</v>
      </c>
      <c r="B33" s="367" t="s">
        <v>279</v>
      </c>
      <c r="C33" s="279" t="s">
        <v>395</v>
      </c>
      <c r="D33" s="159" t="s">
        <v>787</v>
      </c>
      <c r="E33" s="45">
        <f t="shared" si="0"/>
        <v>36341</v>
      </c>
      <c r="F33" s="148" t="str">
        <f t="shared" si="1"/>
        <v>1998-99</v>
      </c>
      <c r="G33" s="1"/>
      <c r="H33" s="163"/>
      <c r="I33" s="37"/>
      <c r="J33" s="138">
        <f t="shared" si="2"/>
        <v>0.77968490742404351</v>
      </c>
      <c r="K33" s="114"/>
      <c r="L33" s="37">
        <v>100</v>
      </c>
      <c r="M33" s="37" t="s">
        <v>142</v>
      </c>
      <c r="N33" s="37">
        <v>370.44854947613504</v>
      </c>
      <c r="O33" s="132">
        <f t="shared" si="3"/>
        <v>37044.854947613501</v>
      </c>
      <c r="P33" s="134">
        <f t="shared" si="4"/>
        <v>28883.314300367154</v>
      </c>
      <c r="Q33" s="261">
        <v>1</v>
      </c>
      <c r="R33" s="94"/>
    </row>
    <row r="34" spans="1:18" x14ac:dyDescent="0.25">
      <c r="A34" s="367">
        <v>1999</v>
      </c>
      <c r="B34" s="367" t="s">
        <v>279</v>
      </c>
      <c r="C34" s="279" t="s">
        <v>395</v>
      </c>
      <c r="D34" s="159" t="s">
        <v>788</v>
      </c>
      <c r="E34" s="45">
        <f t="shared" si="0"/>
        <v>36341</v>
      </c>
      <c r="F34" s="148" t="str">
        <f t="shared" si="1"/>
        <v>1998-99</v>
      </c>
      <c r="G34" s="1"/>
      <c r="H34" s="163"/>
      <c r="I34" s="37"/>
      <c r="J34" s="138">
        <f t="shared" si="2"/>
        <v>0.77968490742404351</v>
      </c>
      <c r="K34" s="114"/>
      <c r="L34" s="37">
        <v>30</v>
      </c>
      <c r="M34" s="37" t="s">
        <v>142</v>
      </c>
      <c r="N34" s="37">
        <v>459.03407217694991</v>
      </c>
      <c r="O34" s="132">
        <f t="shared" si="3"/>
        <v>13771.022165308497</v>
      </c>
      <c r="P34" s="134">
        <f t="shared" si="4"/>
        <v>10737.058142093007</v>
      </c>
      <c r="Q34" s="261">
        <v>1</v>
      </c>
      <c r="R34" s="94"/>
    </row>
    <row r="35" spans="1:18" x14ac:dyDescent="0.25">
      <c r="A35" s="367">
        <v>1999</v>
      </c>
      <c r="B35" s="367" t="s">
        <v>279</v>
      </c>
      <c r="C35" s="279" t="s">
        <v>396</v>
      </c>
      <c r="D35" s="159" t="s">
        <v>789</v>
      </c>
      <c r="E35" s="45">
        <f t="shared" si="0"/>
        <v>36341</v>
      </c>
      <c r="F35" s="148" t="str">
        <f t="shared" si="1"/>
        <v>1998-99</v>
      </c>
      <c r="G35" s="1"/>
      <c r="H35" s="163"/>
      <c r="I35" s="37"/>
      <c r="J35" s="138">
        <f t="shared" si="2"/>
        <v>0.77968490742404351</v>
      </c>
      <c r="K35" s="114"/>
      <c r="L35" s="37">
        <v>9.6642200000000003</v>
      </c>
      <c r="M35" s="37" t="s">
        <v>142</v>
      </c>
      <c r="N35" s="37">
        <v>615.26672130384168</v>
      </c>
      <c r="O35" s="132">
        <f t="shared" si="3"/>
        <v>5946.0729533590129</v>
      </c>
      <c r="P35" s="134">
        <f t="shared" si="4"/>
        <v>649.04886762468641</v>
      </c>
      <c r="Q35" s="261">
        <v>0.14000000000000001</v>
      </c>
      <c r="R35" s="94"/>
    </row>
    <row r="36" spans="1:18" x14ac:dyDescent="0.25">
      <c r="A36" s="367">
        <v>1999</v>
      </c>
      <c r="B36" s="367" t="s">
        <v>279</v>
      </c>
      <c r="C36" s="279" t="s">
        <v>396</v>
      </c>
      <c r="D36" s="159" t="s">
        <v>790</v>
      </c>
      <c r="E36" s="45">
        <f t="shared" si="0"/>
        <v>36341</v>
      </c>
      <c r="F36" s="148" t="str">
        <f t="shared" si="1"/>
        <v>1998-99</v>
      </c>
      <c r="G36" s="1"/>
      <c r="H36" s="163"/>
      <c r="I36" s="37"/>
      <c r="J36" s="138">
        <f t="shared" si="2"/>
        <v>0.77968490742404351</v>
      </c>
      <c r="K36" s="114"/>
      <c r="L36" s="37">
        <v>10.890699999999999</v>
      </c>
      <c r="M36" s="37" t="s">
        <v>142</v>
      </c>
      <c r="N36" s="37">
        <v>615.26672130384168</v>
      </c>
      <c r="O36" s="132">
        <f t="shared" si="3"/>
        <v>6700.6852817037479</v>
      </c>
      <c r="P36" s="134">
        <f t="shared" si="4"/>
        <v>5224.4231835428373</v>
      </c>
      <c r="Q36" s="261">
        <v>1</v>
      </c>
      <c r="R36" s="94"/>
    </row>
    <row r="37" spans="1:18" x14ac:dyDescent="0.25">
      <c r="A37" s="367">
        <v>1999</v>
      </c>
      <c r="B37" s="367" t="s">
        <v>279</v>
      </c>
      <c r="C37" s="279" t="s">
        <v>396</v>
      </c>
      <c r="D37" s="159" t="s">
        <v>790</v>
      </c>
      <c r="E37" s="45">
        <f t="shared" si="0"/>
        <v>36341</v>
      </c>
      <c r="F37" s="148" t="str">
        <f t="shared" si="1"/>
        <v>1998-99</v>
      </c>
      <c r="G37" s="1"/>
      <c r="H37" s="163"/>
      <c r="I37" s="37"/>
      <c r="J37" s="138">
        <f t="shared" si="2"/>
        <v>0.77968490742404351</v>
      </c>
      <c r="K37" s="114"/>
      <c r="L37" s="37">
        <v>23.02298</v>
      </c>
      <c r="M37" s="37" t="s">
        <v>142</v>
      </c>
      <c r="N37" s="37">
        <v>2148.6015869615835</v>
      </c>
      <c r="O37" s="132">
        <f t="shared" si="3"/>
        <v>49467.2113645848</v>
      </c>
      <c r="P37" s="134">
        <f t="shared" si="4"/>
        <v>38568.838113321894</v>
      </c>
      <c r="Q37" s="261">
        <v>1</v>
      </c>
      <c r="R37" s="94"/>
    </row>
    <row r="38" spans="1:18" x14ac:dyDescent="0.25">
      <c r="A38" s="367">
        <v>1999</v>
      </c>
      <c r="B38" s="367" t="s">
        <v>279</v>
      </c>
      <c r="C38" s="279" t="s">
        <v>397</v>
      </c>
      <c r="D38" s="159" t="s">
        <v>791</v>
      </c>
      <c r="E38" s="45">
        <f t="shared" si="0"/>
        <v>36341</v>
      </c>
      <c r="F38" s="148" t="str">
        <f t="shared" si="1"/>
        <v>1998-99</v>
      </c>
      <c r="G38" s="1"/>
      <c r="H38" s="163"/>
      <c r="I38" s="37"/>
      <c r="J38" s="138">
        <f t="shared" si="2"/>
        <v>0.77968490742404351</v>
      </c>
      <c r="K38" s="114"/>
      <c r="L38" s="37">
        <v>22.023499999999999</v>
      </c>
      <c r="M38" s="37" t="s">
        <v>142</v>
      </c>
      <c r="N38" s="37">
        <v>526.68119860302681</v>
      </c>
      <c r="O38" s="132">
        <f t="shared" si="3"/>
        <v>11599.36337743376</v>
      </c>
      <c r="P38" s="134">
        <f t="shared" si="4"/>
        <v>9043.8485611122815</v>
      </c>
      <c r="Q38" s="261">
        <v>1</v>
      </c>
      <c r="R38" s="94"/>
    </row>
    <row r="39" spans="1:18" x14ac:dyDescent="0.25">
      <c r="A39" s="367">
        <v>2000</v>
      </c>
      <c r="B39" s="367" t="s">
        <v>279</v>
      </c>
      <c r="C39" s="279" t="s">
        <v>398</v>
      </c>
      <c r="D39" s="159" t="s">
        <v>792</v>
      </c>
      <c r="E39" s="45">
        <f t="shared" si="0"/>
        <v>36707</v>
      </c>
      <c r="F39" s="148" t="str">
        <f t="shared" si="1"/>
        <v>1999-00</v>
      </c>
      <c r="G39" s="1"/>
      <c r="H39" s="163"/>
      <c r="I39" s="37"/>
      <c r="J39" s="138">
        <f t="shared" si="2"/>
        <v>0.77968490742404351</v>
      </c>
      <c r="K39" s="114"/>
      <c r="L39" s="37">
        <v>35.031850000000006</v>
      </c>
      <c r="M39" s="37" t="s">
        <v>142</v>
      </c>
      <c r="N39" s="37">
        <v>526.68119860302681</v>
      </c>
      <c r="O39" s="132">
        <f t="shared" si="3"/>
        <v>18450.616747281449</v>
      </c>
      <c r="P39" s="134">
        <f t="shared" si="4"/>
        <v>14385.667410520642</v>
      </c>
      <c r="Q39" s="261">
        <v>1</v>
      </c>
      <c r="R39" s="94"/>
    </row>
    <row r="40" spans="1:18" x14ac:dyDescent="0.25">
      <c r="A40" s="367">
        <v>2000</v>
      </c>
      <c r="B40" s="367" t="s">
        <v>279</v>
      </c>
      <c r="C40" s="279" t="s">
        <v>398</v>
      </c>
      <c r="D40" s="159" t="s">
        <v>792</v>
      </c>
      <c r="E40" s="45">
        <f t="shared" si="0"/>
        <v>36707</v>
      </c>
      <c r="F40" s="148" t="str">
        <f t="shared" si="1"/>
        <v>1999-00</v>
      </c>
      <c r="G40" s="1"/>
      <c r="H40" s="163"/>
      <c r="I40" s="37"/>
      <c r="J40" s="138">
        <f t="shared" si="2"/>
        <v>0.77968490742404351</v>
      </c>
      <c r="K40" s="114"/>
      <c r="L40" s="37">
        <v>62.050709999999995</v>
      </c>
      <c r="M40" s="37" t="s">
        <v>142</v>
      </c>
      <c r="N40" s="37">
        <v>615.26672130384168</v>
      </c>
      <c r="O40" s="132">
        <f t="shared" si="3"/>
        <v>38177.736896275499</v>
      </c>
      <c r="P40" s="134">
        <f t="shared" si="4"/>
        <v>7441.6513144080127</v>
      </c>
      <c r="Q40" s="261">
        <v>0.25</v>
      </c>
      <c r="R40" s="94"/>
    </row>
    <row r="41" spans="1:18" x14ac:dyDescent="0.25">
      <c r="A41" s="367">
        <v>2000</v>
      </c>
      <c r="B41" s="367" t="s">
        <v>279</v>
      </c>
      <c r="C41" s="279" t="s">
        <v>399</v>
      </c>
      <c r="D41" s="159" t="s">
        <v>793</v>
      </c>
      <c r="E41" s="45">
        <f t="shared" si="0"/>
        <v>36707</v>
      </c>
      <c r="F41" s="148" t="str">
        <f t="shared" si="1"/>
        <v>1999-00</v>
      </c>
      <c r="G41" s="1"/>
      <c r="H41" s="163"/>
      <c r="I41" s="37"/>
      <c r="J41" s="138">
        <f t="shared" si="2"/>
        <v>0.77968490742404351</v>
      </c>
      <c r="K41" s="114"/>
      <c r="L41" s="37">
        <v>50.147500000000001</v>
      </c>
      <c r="M41" s="37" t="s">
        <v>142</v>
      </c>
      <c r="N41" s="37">
        <v>5725.8460582072175</v>
      </c>
      <c r="O41" s="132">
        <f t="shared" si="3"/>
        <v>287136.86520394642</v>
      </c>
      <c r="P41" s="134">
        <f t="shared" si="4"/>
        <v>223876.28016456903</v>
      </c>
      <c r="Q41" s="261">
        <v>1</v>
      </c>
      <c r="R41" s="94"/>
    </row>
    <row r="42" spans="1:18" x14ac:dyDescent="0.25">
      <c r="A42" s="367">
        <v>2000</v>
      </c>
      <c r="B42" s="367" t="s">
        <v>279</v>
      </c>
      <c r="C42" s="279" t="s">
        <v>400</v>
      </c>
      <c r="D42" s="159" t="s">
        <v>793</v>
      </c>
      <c r="E42" s="45">
        <f t="shared" si="0"/>
        <v>36707</v>
      </c>
      <c r="F42" s="148" t="str">
        <f t="shared" si="1"/>
        <v>1999-00</v>
      </c>
      <c r="G42" s="1"/>
      <c r="H42" s="163"/>
      <c r="I42" s="37"/>
      <c r="J42" s="138">
        <f t="shared" si="2"/>
        <v>0.77968490742404351</v>
      </c>
      <c r="K42" s="114"/>
      <c r="L42" s="37">
        <v>6</v>
      </c>
      <c r="M42" s="37" t="s">
        <v>142</v>
      </c>
      <c r="N42" s="37">
        <v>615.26672130384168</v>
      </c>
      <c r="O42" s="132">
        <f t="shared" si="3"/>
        <v>3691.6003278230501</v>
      </c>
      <c r="P42" s="134">
        <f t="shared" si="4"/>
        <v>2878.2850598452833</v>
      </c>
      <c r="Q42" s="261">
        <v>1</v>
      </c>
      <c r="R42" s="94"/>
    </row>
    <row r="43" spans="1:18" x14ac:dyDescent="0.25">
      <c r="A43" s="367">
        <v>2001</v>
      </c>
      <c r="B43" s="367" t="s">
        <v>279</v>
      </c>
      <c r="C43" s="279" t="s">
        <v>401</v>
      </c>
      <c r="D43" s="159" t="s">
        <v>794</v>
      </c>
      <c r="E43" s="45">
        <f t="shared" si="0"/>
        <v>37072</v>
      </c>
      <c r="F43" s="148" t="str">
        <f t="shared" si="1"/>
        <v>2000-01</v>
      </c>
      <c r="G43" s="1"/>
      <c r="H43" s="163"/>
      <c r="I43" s="37"/>
      <c r="J43" s="138">
        <f t="shared" si="2"/>
        <v>0.77968490742404351</v>
      </c>
      <c r="K43" s="114"/>
      <c r="L43" s="37">
        <v>18.904699999999998</v>
      </c>
      <c r="M43" s="37" t="s">
        <v>142</v>
      </c>
      <c r="N43" s="37">
        <v>459.03407217694991</v>
      </c>
      <c r="O43" s="132">
        <f t="shared" si="3"/>
        <v>8677.9014242835838</v>
      </c>
      <c r="P43" s="134">
        <f t="shared" si="4"/>
        <v>1285.545466039229</v>
      </c>
      <c r="Q43" s="261">
        <v>0.19</v>
      </c>
      <c r="R43" s="94"/>
    </row>
    <row r="44" spans="1:18" x14ac:dyDescent="0.25">
      <c r="A44" s="367">
        <v>2001</v>
      </c>
      <c r="B44" s="367" t="s">
        <v>279</v>
      </c>
      <c r="C44" s="279" t="s">
        <v>402</v>
      </c>
      <c r="D44" s="159" t="s">
        <v>795</v>
      </c>
      <c r="E44" s="45">
        <f t="shared" si="0"/>
        <v>37072</v>
      </c>
      <c r="F44" s="148" t="str">
        <f t="shared" si="1"/>
        <v>2000-01</v>
      </c>
      <c r="G44" s="1"/>
      <c r="H44" s="163"/>
      <c r="I44" s="37"/>
      <c r="J44" s="138">
        <f t="shared" si="2"/>
        <v>0.77968490742404351</v>
      </c>
      <c r="K44" s="114"/>
      <c r="L44" s="37">
        <v>303.42336</v>
      </c>
      <c r="M44" s="37" t="s">
        <v>142</v>
      </c>
      <c r="N44" s="37">
        <v>459.03407217694991</v>
      </c>
      <c r="O44" s="132">
        <f t="shared" si="3"/>
        <v>139281.66053441266</v>
      </c>
      <c r="P44" s="134">
        <f t="shared" si="4"/>
        <v>20633.203633931713</v>
      </c>
      <c r="Q44" s="261">
        <v>0.19</v>
      </c>
      <c r="R44" s="94"/>
    </row>
    <row r="45" spans="1:18" x14ac:dyDescent="0.25">
      <c r="A45" s="367">
        <v>2001</v>
      </c>
      <c r="B45" s="367" t="s">
        <v>279</v>
      </c>
      <c r="C45" s="279" t="s">
        <v>402</v>
      </c>
      <c r="D45" s="159" t="s">
        <v>796</v>
      </c>
      <c r="E45" s="45">
        <f t="shared" si="0"/>
        <v>37072</v>
      </c>
      <c r="F45" s="148" t="str">
        <f t="shared" si="1"/>
        <v>2000-01</v>
      </c>
      <c r="G45" s="1"/>
      <c r="H45" s="163"/>
      <c r="I45" s="37"/>
      <c r="J45" s="138">
        <f t="shared" si="2"/>
        <v>0.77968490742404351</v>
      </c>
      <c r="K45" s="114"/>
      <c r="L45" s="37">
        <v>4.3250700000000002</v>
      </c>
      <c r="M45" s="37" t="s">
        <v>142</v>
      </c>
      <c r="N45" s="37">
        <v>526.68119860302681</v>
      </c>
      <c r="O45" s="132">
        <f t="shared" si="3"/>
        <v>2277.9330516419932</v>
      </c>
      <c r="P45" s="134">
        <f t="shared" si="4"/>
        <v>1776.0700204876564</v>
      </c>
      <c r="Q45" s="261">
        <v>1</v>
      </c>
      <c r="R45" s="94"/>
    </row>
    <row r="46" spans="1:18" x14ac:dyDescent="0.25">
      <c r="A46" s="367">
        <v>2002</v>
      </c>
      <c r="B46" s="367" t="s">
        <v>279</v>
      </c>
      <c r="C46" s="279" t="s">
        <v>403</v>
      </c>
      <c r="D46" s="159" t="s">
        <v>797</v>
      </c>
      <c r="E46" s="45">
        <f t="shared" si="0"/>
        <v>37437</v>
      </c>
      <c r="F46" s="148" t="str">
        <f t="shared" si="1"/>
        <v>2001-02</v>
      </c>
      <c r="G46" s="1"/>
      <c r="H46" s="163"/>
      <c r="I46" s="37"/>
      <c r="J46" s="138">
        <f t="shared" si="2"/>
        <v>0.77968490742404351</v>
      </c>
      <c r="K46" s="114"/>
      <c r="L46" s="37">
        <v>18.365100000000002</v>
      </c>
      <c r="M46" s="37" t="s">
        <v>142</v>
      </c>
      <c r="N46" s="37">
        <v>526.68119860302681</v>
      </c>
      <c r="O46" s="132">
        <f t="shared" si="3"/>
        <v>9672.5528804644491</v>
      </c>
      <c r="P46" s="134">
        <f t="shared" si="4"/>
        <v>904.98521965909072</v>
      </c>
      <c r="Q46" s="261">
        <v>0.12</v>
      </c>
      <c r="R46" s="94"/>
    </row>
    <row r="47" spans="1:18" x14ac:dyDescent="0.25">
      <c r="A47" s="367">
        <v>2002</v>
      </c>
      <c r="B47" s="367" t="s">
        <v>279</v>
      </c>
      <c r="C47" s="279" t="s">
        <v>404</v>
      </c>
      <c r="D47" s="159" t="s">
        <v>798</v>
      </c>
      <c r="E47" s="45">
        <f t="shared" si="0"/>
        <v>37437</v>
      </c>
      <c r="F47" s="148" t="str">
        <f t="shared" si="1"/>
        <v>2001-02</v>
      </c>
      <c r="G47" s="1"/>
      <c r="H47" s="163"/>
      <c r="I47" s="37"/>
      <c r="J47" s="138">
        <f t="shared" si="2"/>
        <v>0.77968490742404351</v>
      </c>
      <c r="K47" s="114"/>
      <c r="L47" s="37">
        <v>6.1327999999999996</v>
      </c>
      <c r="M47" s="37" t="s">
        <v>142</v>
      </c>
      <c r="N47" s="37">
        <v>615.26672130384168</v>
      </c>
      <c r="O47" s="132">
        <f t="shared" si="3"/>
        <v>3773.3077484122</v>
      </c>
      <c r="P47" s="134">
        <f t="shared" si="4"/>
        <v>382.45884332541499</v>
      </c>
      <c r="Q47" s="261">
        <v>0.13</v>
      </c>
      <c r="R47" s="94"/>
    </row>
    <row r="48" spans="1:18" x14ac:dyDescent="0.25">
      <c r="A48" s="367">
        <v>2002</v>
      </c>
      <c r="B48" s="367" t="s">
        <v>279</v>
      </c>
      <c r="C48" s="279" t="s">
        <v>404</v>
      </c>
      <c r="D48" s="159" t="s">
        <v>799</v>
      </c>
      <c r="E48" s="45">
        <f t="shared" si="0"/>
        <v>37437</v>
      </c>
      <c r="F48" s="148" t="str">
        <f t="shared" si="1"/>
        <v>2001-02</v>
      </c>
      <c r="G48" s="1"/>
      <c r="H48" s="163"/>
      <c r="I48" s="37"/>
      <c r="J48" s="138">
        <f t="shared" si="2"/>
        <v>0.77968490742404351</v>
      </c>
      <c r="K48" s="114"/>
      <c r="L48" s="37">
        <v>63.631990000000002</v>
      </c>
      <c r="M48" s="37" t="s">
        <v>142</v>
      </c>
      <c r="N48" s="37">
        <v>526.68119860302681</v>
      </c>
      <c r="O48" s="132">
        <f t="shared" si="3"/>
        <v>33513.772762695815</v>
      </c>
      <c r="P48" s="134">
        <f t="shared" si="4"/>
        <v>3135.6219376695499</v>
      </c>
      <c r="Q48" s="261">
        <v>0.12</v>
      </c>
      <c r="R48" s="94"/>
    </row>
    <row r="49" spans="1:18" x14ac:dyDescent="0.25">
      <c r="A49" s="367">
        <v>2002</v>
      </c>
      <c r="B49" s="367" t="s">
        <v>279</v>
      </c>
      <c r="C49" s="279" t="s">
        <v>404</v>
      </c>
      <c r="D49" s="159" t="s">
        <v>799</v>
      </c>
      <c r="E49" s="45">
        <f t="shared" si="0"/>
        <v>37437</v>
      </c>
      <c r="F49" s="148" t="str">
        <f t="shared" si="1"/>
        <v>2001-02</v>
      </c>
      <c r="G49" s="1"/>
      <c r="H49" s="163"/>
      <c r="I49" s="37"/>
      <c r="J49" s="138">
        <f t="shared" si="2"/>
        <v>0.77968490742404351</v>
      </c>
      <c r="K49" s="114"/>
      <c r="L49" s="37">
        <v>6.7</v>
      </c>
      <c r="M49" s="37" t="s">
        <v>142</v>
      </c>
      <c r="N49" s="37">
        <v>713.51611920838184</v>
      </c>
      <c r="O49" s="132">
        <f t="shared" si="3"/>
        <v>4780.5579986961584</v>
      </c>
      <c r="P49" s="134">
        <f t="shared" si="4"/>
        <v>484.55275968432903</v>
      </c>
      <c r="Q49" s="261">
        <v>0.13</v>
      </c>
      <c r="R49" s="94"/>
    </row>
    <row r="50" spans="1:18" x14ac:dyDescent="0.25">
      <c r="A50" s="367">
        <v>2002</v>
      </c>
      <c r="B50" s="367" t="s">
        <v>279</v>
      </c>
      <c r="C50" s="279" t="s">
        <v>404</v>
      </c>
      <c r="D50" s="159" t="s">
        <v>800</v>
      </c>
      <c r="E50" s="45">
        <f t="shared" si="0"/>
        <v>37437</v>
      </c>
      <c r="F50" s="148" t="str">
        <f t="shared" si="1"/>
        <v>2001-02</v>
      </c>
      <c r="G50" s="1"/>
      <c r="H50" s="163"/>
      <c r="I50" s="37"/>
      <c r="J50" s="138">
        <f t="shared" si="2"/>
        <v>0.77968490742404351</v>
      </c>
      <c r="K50" s="114"/>
      <c r="L50" s="37">
        <v>9.2795199999999998</v>
      </c>
      <c r="M50" s="37" t="s">
        <v>142</v>
      </c>
      <c r="N50" s="37">
        <v>615.26672130384168</v>
      </c>
      <c r="O50" s="132">
        <f t="shared" si="3"/>
        <v>5709.3798456734248</v>
      </c>
      <c r="P50" s="134">
        <f t="shared" si="4"/>
        <v>578.69724853493597</v>
      </c>
      <c r="Q50" s="261">
        <v>0.13</v>
      </c>
      <c r="R50" s="94"/>
    </row>
    <row r="51" spans="1:18" x14ac:dyDescent="0.25">
      <c r="A51" s="367">
        <v>2003</v>
      </c>
      <c r="B51" s="367" t="s">
        <v>279</v>
      </c>
      <c r="C51" s="279" t="s">
        <v>405</v>
      </c>
      <c r="D51" s="159" t="s">
        <v>801</v>
      </c>
      <c r="E51" s="45">
        <f t="shared" si="0"/>
        <v>37802</v>
      </c>
      <c r="F51" s="148" t="str">
        <f t="shared" si="1"/>
        <v>2002-03</v>
      </c>
      <c r="G51" s="1"/>
      <c r="H51" s="163"/>
      <c r="I51" s="37"/>
      <c r="J51" s="138">
        <f t="shared" si="2"/>
        <v>0.77968490742404351</v>
      </c>
      <c r="K51" s="114"/>
      <c r="L51" s="37">
        <v>136</v>
      </c>
      <c r="M51" s="37" t="s">
        <v>142</v>
      </c>
      <c r="N51" s="37">
        <v>2148.6015869615835</v>
      </c>
      <c r="O51" s="132">
        <f t="shared" si="3"/>
        <v>292209.81582677533</v>
      </c>
      <c r="P51" s="134">
        <f t="shared" si="4"/>
        <v>227831.58320129613</v>
      </c>
      <c r="Q51" s="261">
        <v>1</v>
      </c>
      <c r="R51" s="94"/>
    </row>
    <row r="52" spans="1:18" x14ac:dyDescent="0.25">
      <c r="A52" s="367">
        <v>2003</v>
      </c>
      <c r="B52" s="367" t="s">
        <v>279</v>
      </c>
      <c r="C52" s="279" t="s">
        <v>405</v>
      </c>
      <c r="D52" s="159" t="s">
        <v>802</v>
      </c>
      <c r="E52" s="45">
        <f t="shared" si="0"/>
        <v>37802</v>
      </c>
      <c r="F52" s="148" t="str">
        <f t="shared" si="1"/>
        <v>2002-03</v>
      </c>
      <c r="G52" s="1"/>
      <c r="H52" s="163"/>
      <c r="I52" s="37"/>
      <c r="J52" s="138">
        <f t="shared" si="2"/>
        <v>0.77968490742404351</v>
      </c>
      <c r="K52" s="114"/>
      <c r="L52" s="37">
        <v>25.62313</v>
      </c>
      <c r="M52" s="37" t="s">
        <v>142</v>
      </c>
      <c r="N52" s="37">
        <v>1264.3570058207217</v>
      </c>
      <c r="O52" s="132">
        <f t="shared" si="3"/>
        <v>32396.783926555108</v>
      </c>
      <c r="P52" s="134">
        <f t="shared" si="4"/>
        <v>25259.283476612862</v>
      </c>
      <c r="Q52" s="261">
        <v>1</v>
      </c>
      <c r="R52" s="94"/>
    </row>
    <row r="53" spans="1:18" x14ac:dyDescent="0.25">
      <c r="A53" s="367">
        <v>2003</v>
      </c>
      <c r="B53" s="367" t="s">
        <v>279</v>
      </c>
      <c r="C53" s="279" t="s">
        <v>405</v>
      </c>
      <c r="D53" s="159" t="s">
        <v>802</v>
      </c>
      <c r="E53" s="45">
        <f t="shared" si="0"/>
        <v>37802</v>
      </c>
      <c r="F53" s="148" t="str">
        <f t="shared" si="1"/>
        <v>2002-03</v>
      </c>
      <c r="G53" s="1"/>
      <c r="H53" s="163"/>
      <c r="I53" s="37"/>
      <c r="J53" s="138">
        <f t="shared" si="2"/>
        <v>0.77968490742404351</v>
      </c>
      <c r="K53" s="114"/>
      <c r="L53" s="37">
        <v>8.1312999999999995</v>
      </c>
      <c r="M53" s="37" t="s">
        <v>142</v>
      </c>
      <c r="N53" s="37">
        <v>713.51611920838184</v>
      </c>
      <c r="O53" s="132">
        <f t="shared" si="3"/>
        <v>5801.8136201191146</v>
      </c>
      <c r="P53" s="134">
        <f t="shared" si="4"/>
        <v>4523.5865152941269</v>
      </c>
      <c r="Q53" s="261">
        <v>1</v>
      </c>
      <c r="R53" s="94"/>
    </row>
    <row r="54" spans="1:18" x14ac:dyDescent="0.25">
      <c r="A54" s="367">
        <v>2003</v>
      </c>
      <c r="B54" s="367" t="s">
        <v>279</v>
      </c>
      <c r="C54" s="279" t="s">
        <v>405</v>
      </c>
      <c r="D54" s="159" t="s">
        <v>789</v>
      </c>
      <c r="E54" s="45">
        <f t="shared" si="0"/>
        <v>37802</v>
      </c>
      <c r="F54" s="148" t="str">
        <f t="shared" si="1"/>
        <v>2002-03</v>
      </c>
      <c r="G54" s="1"/>
      <c r="H54" s="163"/>
      <c r="I54" s="37"/>
      <c r="J54" s="138">
        <f t="shared" si="2"/>
        <v>0.77968490742404351</v>
      </c>
      <c r="K54" s="114"/>
      <c r="L54" s="37">
        <v>65.368629999999996</v>
      </c>
      <c r="M54" s="37" t="s">
        <v>142</v>
      </c>
      <c r="N54" s="37">
        <v>2148.6015869615835</v>
      </c>
      <c r="O54" s="132">
        <f t="shared" si="3"/>
        <v>140451.14215550458</v>
      </c>
      <c r="P54" s="134">
        <f t="shared" si="4"/>
        <v>109507.63576911576</v>
      </c>
      <c r="Q54" s="261">
        <v>1</v>
      </c>
      <c r="R54" s="94"/>
    </row>
    <row r="55" spans="1:18" x14ac:dyDescent="0.25">
      <c r="A55" s="367">
        <v>2003</v>
      </c>
      <c r="B55" s="367" t="s">
        <v>279</v>
      </c>
      <c r="C55" s="279" t="s">
        <v>405</v>
      </c>
      <c r="D55" s="159" t="s">
        <v>789</v>
      </c>
      <c r="E55" s="45">
        <f t="shared" si="0"/>
        <v>37802</v>
      </c>
      <c r="F55" s="148" t="str">
        <f t="shared" si="1"/>
        <v>2002-03</v>
      </c>
      <c r="G55" s="1"/>
      <c r="H55" s="163"/>
      <c r="I55" s="37"/>
      <c r="J55" s="138">
        <f t="shared" si="2"/>
        <v>0.77968490742404351</v>
      </c>
      <c r="K55" s="114"/>
      <c r="L55" s="37">
        <v>4.99979</v>
      </c>
      <c r="M55" s="37" t="s">
        <v>142</v>
      </c>
      <c r="N55" s="37">
        <v>1473.7409685681025</v>
      </c>
      <c r="O55" s="132">
        <f t="shared" si="3"/>
        <v>7368.3953572371129</v>
      </c>
      <c r="P55" s="134">
        <f t="shared" si="4"/>
        <v>5745.0266519711704</v>
      </c>
      <c r="Q55" s="261">
        <v>1</v>
      </c>
      <c r="R55" s="94"/>
    </row>
    <row r="56" spans="1:18" x14ac:dyDescent="0.25">
      <c r="A56" s="367">
        <v>2003</v>
      </c>
      <c r="B56" s="367" t="s">
        <v>279</v>
      </c>
      <c r="C56" s="279" t="s">
        <v>405</v>
      </c>
      <c r="D56" s="159" t="s">
        <v>789</v>
      </c>
      <c r="E56" s="45">
        <f t="shared" si="0"/>
        <v>37802</v>
      </c>
      <c r="F56" s="148" t="str">
        <f t="shared" si="1"/>
        <v>2002-03</v>
      </c>
      <c r="G56" s="1"/>
      <c r="H56" s="163"/>
      <c r="I56" s="37"/>
      <c r="J56" s="138">
        <f t="shared" si="2"/>
        <v>0.77968490742404351</v>
      </c>
      <c r="K56" s="114"/>
      <c r="L56" s="37">
        <v>2.00474</v>
      </c>
      <c r="M56" s="37" t="s">
        <v>142</v>
      </c>
      <c r="N56" s="37">
        <v>713.51611920838184</v>
      </c>
      <c r="O56" s="132">
        <f t="shared" si="3"/>
        <v>1430.4143048218114</v>
      </c>
      <c r="P56" s="134">
        <f t="shared" si="4"/>
        <v>1115.2724448330216</v>
      </c>
      <c r="Q56" s="261">
        <v>1</v>
      </c>
      <c r="R56" s="94"/>
    </row>
    <row r="57" spans="1:18" x14ac:dyDescent="0.25">
      <c r="A57" s="367">
        <v>2003</v>
      </c>
      <c r="B57" s="367" t="s">
        <v>279</v>
      </c>
      <c r="C57" s="279" t="s">
        <v>405</v>
      </c>
      <c r="D57" s="159" t="s">
        <v>801</v>
      </c>
      <c r="E57" s="45">
        <f t="shared" si="0"/>
        <v>37802</v>
      </c>
      <c r="F57" s="148" t="str">
        <f t="shared" si="1"/>
        <v>2002-03</v>
      </c>
      <c r="G57" s="1"/>
      <c r="H57" s="163"/>
      <c r="I57" s="37"/>
      <c r="J57" s="138">
        <f t="shared" si="2"/>
        <v>0.77968490742404351</v>
      </c>
      <c r="K57" s="114"/>
      <c r="L57" s="37">
        <v>862</v>
      </c>
      <c r="M57" s="37" t="s">
        <v>142</v>
      </c>
      <c r="N57" s="37">
        <v>2148.6015869615835</v>
      </c>
      <c r="O57" s="132">
        <f t="shared" si="3"/>
        <v>1852094.5679608849</v>
      </c>
      <c r="P57" s="134">
        <f t="shared" si="4"/>
        <v>823108.60360385897</v>
      </c>
      <c r="Q57" s="261">
        <v>0.56999999999999995</v>
      </c>
      <c r="R57" s="94"/>
    </row>
    <row r="58" spans="1:18" x14ac:dyDescent="0.25">
      <c r="A58" s="367">
        <v>2003</v>
      </c>
      <c r="B58" s="367" t="s">
        <v>279</v>
      </c>
      <c r="C58" s="279" t="s">
        <v>405</v>
      </c>
      <c r="D58" s="159" t="s">
        <v>803</v>
      </c>
      <c r="E58" s="45">
        <f t="shared" si="0"/>
        <v>37802</v>
      </c>
      <c r="F58" s="148" t="str">
        <f t="shared" si="1"/>
        <v>2002-03</v>
      </c>
      <c r="G58" s="1"/>
      <c r="H58" s="163"/>
      <c r="I58" s="37"/>
      <c r="J58" s="138">
        <f t="shared" si="2"/>
        <v>0.77968490742404351</v>
      </c>
      <c r="K58" s="114"/>
      <c r="L58" s="37">
        <v>1.5</v>
      </c>
      <c r="M58" s="37" t="s">
        <v>142</v>
      </c>
      <c r="N58" s="37">
        <v>615.26672130384168</v>
      </c>
      <c r="O58" s="132">
        <f t="shared" si="3"/>
        <v>922.90008195576252</v>
      </c>
      <c r="P58" s="134">
        <f t="shared" si="4"/>
        <v>719.57126496132082</v>
      </c>
      <c r="Q58" s="261">
        <v>1</v>
      </c>
      <c r="R58" s="94"/>
    </row>
    <row r="59" spans="1:18" x14ac:dyDescent="0.25">
      <c r="A59" s="367">
        <v>2003</v>
      </c>
      <c r="B59" s="367" t="s">
        <v>279</v>
      </c>
      <c r="C59" s="279" t="s">
        <v>405</v>
      </c>
      <c r="D59" s="159" t="s">
        <v>803</v>
      </c>
      <c r="E59" s="45">
        <f t="shared" si="0"/>
        <v>37802</v>
      </c>
      <c r="F59" s="148" t="str">
        <f t="shared" si="1"/>
        <v>2002-03</v>
      </c>
      <c r="G59" s="1"/>
      <c r="H59" s="163"/>
      <c r="I59" s="37"/>
      <c r="J59" s="138">
        <f t="shared" si="2"/>
        <v>0.77968490742404351</v>
      </c>
      <c r="K59" s="114"/>
      <c r="L59" s="37">
        <v>1.81352</v>
      </c>
      <c r="M59" s="37" t="s">
        <v>142</v>
      </c>
      <c r="N59" s="37">
        <v>713.51611920838184</v>
      </c>
      <c r="O59" s="132">
        <f t="shared" si="3"/>
        <v>1293.9757525067846</v>
      </c>
      <c r="P59" s="134">
        <f t="shared" si="4"/>
        <v>353.11267768077323</v>
      </c>
      <c r="Q59" s="261">
        <v>0.35</v>
      </c>
      <c r="R59" s="94"/>
    </row>
    <row r="60" spans="1:18" x14ac:dyDescent="0.25">
      <c r="A60" s="367">
        <v>2003</v>
      </c>
      <c r="B60" s="367" t="s">
        <v>279</v>
      </c>
      <c r="C60" s="279" t="s">
        <v>405</v>
      </c>
      <c r="D60" s="159" t="s">
        <v>803</v>
      </c>
      <c r="E60" s="45">
        <f t="shared" si="0"/>
        <v>37802</v>
      </c>
      <c r="F60" s="148" t="str">
        <f t="shared" si="1"/>
        <v>2002-03</v>
      </c>
      <c r="G60" s="1"/>
      <c r="H60" s="163"/>
      <c r="I60" s="37"/>
      <c r="J60" s="138">
        <f t="shared" si="2"/>
        <v>0.77968490742404351</v>
      </c>
      <c r="K60" s="114"/>
      <c r="L60" s="37">
        <v>7.20059</v>
      </c>
      <c r="M60" s="37" t="s">
        <v>142</v>
      </c>
      <c r="N60" s="37">
        <v>713.51611920838184</v>
      </c>
      <c r="O60" s="132">
        <f t="shared" si="3"/>
        <v>5137.7370328106826</v>
      </c>
      <c r="P60" s="134">
        <f t="shared" si="4"/>
        <v>4005.816022796077</v>
      </c>
      <c r="Q60" s="261">
        <v>1</v>
      </c>
      <c r="R60" s="94"/>
    </row>
    <row r="61" spans="1:18" x14ac:dyDescent="0.25">
      <c r="A61" s="367">
        <v>2003</v>
      </c>
      <c r="B61" s="367" t="s">
        <v>279</v>
      </c>
      <c r="C61" s="279" t="s">
        <v>406</v>
      </c>
      <c r="D61" s="159" t="s">
        <v>804</v>
      </c>
      <c r="E61" s="45">
        <f t="shared" si="0"/>
        <v>37802</v>
      </c>
      <c r="F61" s="148" t="str">
        <f t="shared" si="1"/>
        <v>2002-03</v>
      </c>
      <c r="G61" s="1"/>
      <c r="H61" s="163"/>
      <c r="I61" s="37"/>
      <c r="J61" s="138">
        <f t="shared" si="2"/>
        <v>0.77968490742404351</v>
      </c>
      <c r="K61" s="114"/>
      <c r="L61" s="37">
        <v>85.001440000000002</v>
      </c>
      <c r="M61" s="37" t="s">
        <v>142</v>
      </c>
      <c r="N61" s="37">
        <v>459.03407217694991</v>
      </c>
      <c r="O61" s="132">
        <f t="shared" si="3"/>
        <v>39018.557144104678</v>
      </c>
      <c r="P61" s="134">
        <f t="shared" si="4"/>
        <v>5780.2142217969913</v>
      </c>
      <c r="Q61" s="261">
        <v>0.19</v>
      </c>
      <c r="R61" s="94"/>
    </row>
    <row r="62" spans="1:18" x14ac:dyDescent="0.25">
      <c r="A62" s="367">
        <v>2003</v>
      </c>
      <c r="B62" s="367" t="s">
        <v>279</v>
      </c>
      <c r="C62" s="279" t="s">
        <v>407</v>
      </c>
      <c r="D62" s="159" t="s">
        <v>805</v>
      </c>
      <c r="E62" s="45">
        <f t="shared" si="0"/>
        <v>37802</v>
      </c>
      <c r="F62" s="148" t="str">
        <f t="shared" si="1"/>
        <v>2002-03</v>
      </c>
      <c r="G62" s="1"/>
      <c r="H62" s="163"/>
      <c r="I62" s="37"/>
      <c r="J62" s="138">
        <f t="shared" si="2"/>
        <v>0.77968490742404351</v>
      </c>
      <c r="K62" s="114"/>
      <c r="L62" s="37">
        <v>67.372960000000006</v>
      </c>
      <c r="M62" s="37" t="s">
        <v>142</v>
      </c>
      <c r="N62" s="37">
        <v>526.68119860302681</v>
      </c>
      <c r="O62" s="132">
        <f t="shared" si="3"/>
        <v>35484.071326233781</v>
      </c>
      <c r="P62" s="134">
        <f t="shared" si="4"/>
        <v>3319.967384042729</v>
      </c>
      <c r="Q62" s="261">
        <v>0.12</v>
      </c>
      <c r="R62" s="94"/>
    </row>
    <row r="63" spans="1:18" ht="23" x14ac:dyDescent="0.25">
      <c r="A63" s="367">
        <v>2004</v>
      </c>
      <c r="B63" s="367" t="s">
        <v>279</v>
      </c>
      <c r="C63" s="279">
        <v>10012051</v>
      </c>
      <c r="D63" s="159" t="s">
        <v>806</v>
      </c>
      <c r="E63" s="45">
        <f t="shared" si="0"/>
        <v>38168</v>
      </c>
      <c r="F63" s="148" t="str">
        <f t="shared" si="1"/>
        <v>2003-04</v>
      </c>
      <c r="G63" s="1"/>
      <c r="H63" s="163"/>
      <c r="I63" s="37"/>
      <c r="J63" s="138">
        <f t="shared" si="2"/>
        <v>0.77968490742404351</v>
      </c>
      <c r="K63" s="114"/>
      <c r="L63" s="37">
        <v>206</v>
      </c>
      <c r="M63" s="37" t="s">
        <v>142</v>
      </c>
      <c r="N63" s="37">
        <v>615.26672130384168</v>
      </c>
      <c r="O63" s="132">
        <f t="shared" si="3"/>
        <v>126744.94458859139</v>
      </c>
      <c r="P63" s="134">
        <f t="shared" si="4"/>
        <v>24705.28009700535</v>
      </c>
      <c r="Q63" s="261">
        <v>0.25</v>
      </c>
      <c r="R63" s="94"/>
    </row>
    <row r="64" spans="1:18" ht="23" x14ac:dyDescent="0.25">
      <c r="A64" s="367">
        <v>2004</v>
      </c>
      <c r="B64" s="367" t="s">
        <v>279</v>
      </c>
      <c r="C64" s="279" t="s">
        <v>408</v>
      </c>
      <c r="D64" s="159" t="s">
        <v>807</v>
      </c>
      <c r="E64" s="45">
        <f t="shared" si="0"/>
        <v>38168</v>
      </c>
      <c r="F64" s="148" t="str">
        <f t="shared" si="1"/>
        <v>2003-04</v>
      </c>
      <c r="G64" s="1"/>
      <c r="H64" s="163"/>
      <c r="I64" s="37"/>
      <c r="J64" s="138">
        <f t="shared" si="2"/>
        <v>0.77968490742404351</v>
      </c>
      <c r="K64" s="114"/>
      <c r="L64" s="37">
        <v>34</v>
      </c>
      <c r="M64" s="37" t="s">
        <v>142</v>
      </c>
      <c r="N64" s="37">
        <v>526.68119860302681</v>
      </c>
      <c r="O64" s="132">
        <f t="shared" si="3"/>
        <v>17907.16075250291</v>
      </c>
      <c r="P64" s="134">
        <f t="shared" si="4"/>
        <v>1675.4331568251234</v>
      </c>
      <c r="Q64" s="261">
        <v>0.12</v>
      </c>
      <c r="R64" s="94"/>
    </row>
    <row r="65" spans="1:18" x14ac:dyDescent="0.25">
      <c r="A65" s="367">
        <v>2004</v>
      </c>
      <c r="B65" s="367" t="s">
        <v>279</v>
      </c>
      <c r="C65" s="279" t="s">
        <v>409</v>
      </c>
      <c r="D65" s="159" t="s">
        <v>808</v>
      </c>
      <c r="E65" s="45">
        <f t="shared" si="0"/>
        <v>38168</v>
      </c>
      <c r="F65" s="148" t="str">
        <f t="shared" si="1"/>
        <v>2003-04</v>
      </c>
      <c r="G65" s="1"/>
      <c r="H65" s="163"/>
      <c r="I65" s="37"/>
      <c r="J65" s="138">
        <f t="shared" si="2"/>
        <v>0.77968490742404351</v>
      </c>
      <c r="K65" s="114"/>
      <c r="L65" s="37">
        <v>40.108970000000006</v>
      </c>
      <c r="M65" s="37" t="s">
        <v>142</v>
      </c>
      <c r="N65" s="37">
        <v>459.03407217694991</v>
      </c>
      <c r="O65" s="132">
        <f t="shared" si="3"/>
        <v>18411.383829923121</v>
      </c>
      <c r="P65" s="134">
        <f t="shared" si="4"/>
        <v>2727.464838426607</v>
      </c>
      <c r="Q65" s="261">
        <v>0.19</v>
      </c>
      <c r="R65" s="94"/>
    </row>
    <row r="66" spans="1:18" ht="23" x14ac:dyDescent="0.25">
      <c r="A66" s="367">
        <v>2005</v>
      </c>
      <c r="B66" s="367" t="s">
        <v>279</v>
      </c>
      <c r="C66" s="279">
        <v>10012051</v>
      </c>
      <c r="D66" s="159" t="s">
        <v>809</v>
      </c>
      <c r="E66" s="45">
        <f t="shared" si="0"/>
        <v>38533</v>
      </c>
      <c r="F66" s="148" t="str">
        <f t="shared" si="1"/>
        <v>2004-05</v>
      </c>
      <c r="G66" s="1"/>
      <c r="H66" s="163"/>
      <c r="I66" s="37"/>
      <c r="J66" s="138">
        <f t="shared" si="2"/>
        <v>0.77968490742404351</v>
      </c>
      <c r="K66" s="114"/>
      <c r="L66" s="37">
        <v>153</v>
      </c>
      <c r="M66" s="37" t="s">
        <v>142</v>
      </c>
      <c r="N66" s="37">
        <v>615.26672130384168</v>
      </c>
      <c r="O66" s="132">
        <f t="shared" si="3"/>
        <v>94135.808359487783</v>
      </c>
      <c r="P66" s="134">
        <f t="shared" si="4"/>
        <v>18349.067256513685</v>
      </c>
      <c r="Q66" s="261">
        <v>0.25</v>
      </c>
      <c r="R66" s="94"/>
    </row>
    <row r="67" spans="1:18" x14ac:dyDescent="0.25">
      <c r="A67" s="367">
        <v>2000</v>
      </c>
      <c r="B67" s="367" t="s">
        <v>279</v>
      </c>
      <c r="C67" s="279">
        <v>180126</v>
      </c>
      <c r="D67" s="159" t="s">
        <v>810</v>
      </c>
      <c r="E67" s="45">
        <f t="shared" si="0"/>
        <v>36707</v>
      </c>
      <c r="F67" s="148" t="str">
        <f t="shared" si="1"/>
        <v>1999-00</v>
      </c>
      <c r="G67" s="1"/>
      <c r="H67" s="163"/>
      <c r="I67" s="37"/>
      <c r="J67" s="138">
        <f t="shared" si="2"/>
        <v>0.77968490742404351</v>
      </c>
      <c r="K67" s="114"/>
      <c r="L67" s="37">
        <v>126.44716</v>
      </c>
      <c r="M67" s="37" t="s">
        <v>142</v>
      </c>
      <c r="N67" s="37">
        <v>459.03407217694991</v>
      </c>
      <c r="O67" s="132">
        <f t="shared" si="3"/>
        <v>58043.554770010334</v>
      </c>
      <c r="P67" s="134">
        <f t="shared" si="4"/>
        <v>8598.5798892094026</v>
      </c>
      <c r="Q67" s="261">
        <v>0.19</v>
      </c>
      <c r="R67" s="94"/>
    </row>
    <row r="68" spans="1:18" x14ac:dyDescent="0.25">
      <c r="A68" s="367">
        <v>2001</v>
      </c>
      <c r="B68" s="367" t="s">
        <v>279</v>
      </c>
      <c r="C68" s="279">
        <v>180099</v>
      </c>
      <c r="D68" s="159" t="s">
        <v>811</v>
      </c>
      <c r="E68" s="45">
        <f t="shared" si="0"/>
        <v>37072</v>
      </c>
      <c r="F68" s="148" t="str">
        <f t="shared" si="1"/>
        <v>2000-01</v>
      </c>
      <c r="G68" s="1"/>
      <c r="H68" s="163"/>
      <c r="I68" s="37"/>
      <c r="J68" s="138">
        <f t="shared" si="2"/>
        <v>0.77968490742404351</v>
      </c>
      <c r="K68" s="114"/>
      <c r="L68" s="37">
        <v>22.6555</v>
      </c>
      <c r="M68" s="37" t="s">
        <v>142</v>
      </c>
      <c r="N68" s="37">
        <v>615.26672130384168</v>
      </c>
      <c r="O68" s="132">
        <f t="shared" si="3"/>
        <v>13939.175204499184</v>
      </c>
      <c r="P68" s="134">
        <f t="shared" si="4"/>
        <v>10868.16452888747</v>
      </c>
      <c r="Q68" s="261">
        <v>1</v>
      </c>
      <c r="R68" s="94"/>
    </row>
    <row r="69" spans="1:18" x14ac:dyDescent="0.25">
      <c r="A69" s="367">
        <v>2001</v>
      </c>
      <c r="B69" s="367" t="s">
        <v>279</v>
      </c>
      <c r="C69" s="279">
        <v>180117</v>
      </c>
      <c r="D69" s="159" t="s">
        <v>812</v>
      </c>
      <c r="E69" s="45">
        <f t="shared" si="0"/>
        <v>37072</v>
      </c>
      <c r="F69" s="148" t="str">
        <f t="shared" si="1"/>
        <v>2000-01</v>
      </c>
      <c r="G69" s="1"/>
      <c r="H69" s="163"/>
      <c r="I69" s="37"/>
      <c r="J69" s="138">
        <f t="shared" si="2"/>
        <v>0.77968490742404351</v>
      </c>
      <c r="K69" s="114"/>
      <c r="L69" s="37">
        <v>74.555570000000003</v>
      </c>
      <c r="M69" s="37" t="s">
        <v>142</v>
      </c>
      <c r="N69" s="37">
        <v>459.03407217694991</v>
      </c>
      <c r="O69" s="132">
        <f t="shared" si="3"/>
        <v>34223.546900573645</v>
      </c>
      <c r="P69" s="134">
        <f t="shared" si="4"/>
        <v>26683.582996896173</v>
      </c>
      <c r="Q69" s="261">
        <v>1</v>
      </c>
      <c r="R69" s="94"/>
    </row>
    <row r="70" spans="1:18" x14ac:dyDescent="0.25">
      <c r="A70" s="367">
        <v>2001</v>
      </c>
      <c r="B70" s="367" t="s">
        <v>279</v>
      </c>
      <c r="C70" s="279" t="s">
        <v>410</v>
      </c>
      <c r="D70" s="159" t="s">
        <v>813</v>
      </c>
      <c r="E70" s="45">
        <f t="shared" si="0"/>
        <v>37072</v>
      </c>
      <c r="F70" s="148" t="str">
        <f t="shared" si="1"/>
        <v>2000-01</v>
      </c>
      <c r="G70" s="1"/>
      <c r="H70" s="163"/>
      <c r="I70" s="37"/>
      <c r="J70" s="138">
        <f t="shared" si="2"/>
        <v>0.77968490742404351</v>
      </c>
      <c r="K70" s="114"/>
      <c r="L70" s="37">
        <v>364.47125999999997</v>
      </c>
      <c r="M70" s="37" t="s">
        <v>142</v>
      </c>
      <c r="N70" s="37">
        <v>459.03407217694991</v>
      </c>
      <c r="O70" s="132">
        <f t="shared" si="3"/>
        <v>167304.72666926385</v>
      </c>
      <c r="P70" s="134">
        <f t="shared" si="4"/>
        <v>24784.544361698678</v>
      </c>
      <c r="Q70" s="261">
        <v>0.19</v>
      </c>
      <c r="R70" s="94"/>
    </row>
    <row r="71" spans="1:18" x14ac:dyDescent="0.25">
      <c r="A71" s="367">
        <v>2001</v>
      </c>
      <c r="B71" s="367" t="s">
        <v>279</v>
      </c>
      <c r="C71" s="279" t="s">
        <v>411</v>
      </c>
      <c r="D71" s="159" t="s">
        <v>814</v>
      </c>
      <c r="E71" s="45">
        <f t="shared" si="0"/>
        <v>37072</v>
      </c>
      <c r="F71" s="148" t="str">
        <f t="shared" si="1"/>
        <v>2000-01</v>
      </c>
      <c r="G71" s="1"/>
      <c r="H71" s="163"/>
      <c r="I71" s="37"/>
      <c r="J71" s="138">
        <f t="shared" si="2"/>
        <v>0.77968490742404351</v>
      </c>
      <c r="K71" s="114"/>
      <c r="L71" s="37">
        <v>402.20727000000005</v>
      </c>
      <c r="M71" s="37" t="s">
        <v>142</v>
      </c>
      <c r="N71" s="37">
        <v>459.03407217694991</v>
      </c>
      <c r="O71" s="132">
        <f t="shared" si="3"/>
        <v>184626.84100727399</v>
      </c>
      <c r="P71" s="134">
        <f t="shared" si="4"/>
        <v>27350.644673362505</v>
      </c>
      <c r="Q71" s="261">
        <v>0.19</v>
      </c>
      <c r="R71" s="94"/>
    </row>
    <row r="72" spans="1:18" x14ac:dyDescent="0.25">
      <c r="A72" s="367">
        <v>2001</v>
      </c>
      <c r="B72" s="367" t="s">
        <v>279</v>
      </c>
      <c r="C72" s="279" t="s">
        <v>412</v>
      </c>
      <c r="D72" s="159" t="s">
        <v>815</v>
      </c>
      <c r="E72" s="45">
        <f t="shared" si="0"/>
        <v>37072</v>
      </c>
      <c r="F72" s="148" t="str">
        <f t="shared" si="1"/>
        <v>2000-01</v>
      </c>
      <c r="G72" s="1"/>
      <c r="H72" s="163"/>
      <c r="I72" s="37"/>
      <c r="J72" s="138">
        <f t="shared" si="2"/>
        <v>0.77968490742404351</v>
      </c>
      <c r="K72" s="114"/>
      <c r="L72" s="37">
        <v>155.48103</v>
      </c>
      <c r="M72" s="37" t="s">
        <v>142</v>
      </c>
      <c r="N72" s="37">
        <v>459.03407217694991</v>
      </c>
      <c r="O72" s="132">
        <f t="shared" si="3"/>
        <v>71371.090347166522</v>
      </c>
      <c r="P72" s="134">
        <f t="shared" si="4"/>
        <v>10572.922774315879</v>
      </c>
      <c r="Q72" s="261">
        <v>0.19</v>
      </c>
      <c r="R72" s="94"/>
    </row>
    <row r="73" spans="1:18" x14ac:dyDescent="0.25">
      <c r="A73" s="367">
        <v>2002</v>
      </c>
      <c r="B73" s="367" t="s">
        <v>279</v>
      </c>
      <c r="C73" s="279">
        <v>1000877</v>
      </c>
      <c r="D73" s="159" t="s">
        <v>816</v>
      </c>
      <c r="E73" s="45">
        <f t="shared" si="0"/>
        <v>37437</v>
      </c>
      <c r="F73" s="148" t="str">
        <f t="shared" si="1"/>
        <v>2001-02</v>
      </c>
      <c r="G73" s="1"/>
      <c r="H73" s="163"/>
      <c r="I73" s="37"/>
      <c r="J73" s="138">
        <f t="shared" si="2"/>
        <v>0.77968490742404351</v>
      </c>
      <c r="K73" s="114"/>
      <c r="L73" s="37">
        <v>129.35544999999999</v>
      </c>
      <c r="M73" s="37" t="s">
        <v>142</v>
      </c>
      <c r="N73" s="37">
        <v>615.26672130384168</v>
      </c>
      <c r="O73" s="132">
        <f t="shared" si="3"/>
        <v>79588.103604283024</v>
      </c>
      <c r="P73" s="134">
        <f t="shared" si="4"/>
        <v>8687.510046706484</v>
      </c>
      <c r="Q73" s="261">
        <v>0.14000000000000001</v>
      </c>
      <c r="R73" s="94"/>
    </row>
    <row r="74" spans="1:18" x14ac:dyDescent="0.25">
      <c r="A74" s="367">
        <v>2002</v>
      </c>
      <c r="B74" s="367" t="s">
        <v>279</v>
      </c>
      <c r="C74" s="279">
        <v>1001341</v>
      </c>
      <c r="D74" s="159" t="s">
        <v>817</v>
      </c>
      <c r="E74" s="45">
        <f t="shared" si="0"/>
        <v>37437</v>
      </c>
      <c r="F74" s="148" t="str">
        <f t="shared" si="1"/>
        <v>2001-02</v>
      </c>
      <c r="G74" s="1"/>
      <c r="H74" s="163"/>
      <c r="I74" s="37"/>
      <c r="J74" s="138">
        <f t="shared" si="2"/>
        <v>0.77968490742404351</v>
      </c>
      <c r="K74" s="114"/>
      <c r="L74" s="37">
        <v>46.412479999999995</v>
      </c>
      <c r="M74" s="37" t="s">
        <v>142</v>
      </c>
      <c r="N74" s="37">
        <v>526.68119860302681</v>
      </c>
      <c r="O74" s="132">
        <f t="shared" si="3"/>
        <v>24444.580596539006</v>
      </c>
      <c r="P74" s="134">
        <f t="shared" si="4"/>
        <v>5527.1304622353045</v>
      </c>
      <c r="Q74" s="261">
        <v>0.28999999999999998</v>
      </c>
      <c r="R74" s="94"/>
    </row>
    <row r="75" spans="1:18" x14ac:dyDescent="0.25">
      <c r="A75" s="367">
        <v>2002</v>
      </c>
      <c r="B75" s="367" t="s">
        <v>279</v>
      </c>
      <c r="C75" s="279">
        <v>1001341</v>
      </c>
      <c r="D75" s="159" t="s">
        <v>817</v>
      </c>
      <c r="E75" s="45">
        <f t="shared" si="0"/>
        <v>37437</v>
      </c>
      <c r="F75" s="148" t="str">
        <f t="shared" si="1"/>
        <v>2001-02</v>
      </c>
      <c r="G75" s="1"/>
      <c r="H75" s="163"/>
      <c r="I75" s="37"/>
      <c r="J75" s="138">
        <f t="shared" si="2"/>
        <v>0.77968490742404351</v>
      </c>
      <c r="K75" s="114"/>
      <c r="L75" s="37">
        <v>20.139500000000002</v>
      </c>
      <c r="M75" s="37" t="s">
        <v>142</v>
      </c>
      <c r="N75" s="37">
        <v>526.68119860302681</v>
      </c>
      <c r="O75" s="132">
        <f t="shared" si="3"/>
        <v>10607.095999265659</v>
      </c>
      <c r="P75" s="134">
        <f t="shared" si="4"/>
        <v>8270.1926622253868</v>
      </c>
      <c r="Q75" s="261">
        <v>1</v>
      </c>
      <c r="R75" s="94"/>
    </row>
    <row r="76" spans="1:18" x14ac:dyDescent="0.25">
      <c r="A76" s="367">
        <v>2002</v>
      </c>
      <c r="B76" s="367" t="s">
        <v>279</v>
      </c>
      <c r="C76" s="279" t="s">
        <v>413</v>
      </c>
      <c r="D76" s="159" t="s">
        <v>818</v>
      </c>
      <c r="E76" s="45">
        <f t="shared" si="0"/>
        <v>37437</v>
      </c>
      <c r="F76" s="148" t="str">
        <f t="shared" si="1"/>
        <v>2001-02</v>
      </c>
      <c r="G76" s="1"/>
      <c r="H76" s="163"/>
      <c r="I76" s="37"/>
      <c r="J76" s="138">
        <f t="shared" si="2"/>
        <v>0.77968490742404351</v>
      </c>
      <c r="K76" s="114"/>
      <c r="L76" s="37">
        <v>46.444499999999998</v>
      </c>
      <c r="M76" s="37" t="s">
        <v>142</v>
      </c>
      <c r="N76" s="37">
        <v>526.68119860302681</v>
      </c>
      <c r="O76" s="132">
        <f t="shared" si="3"/>
        <v>24461.444928518278</v>
      </c>
      <c r="P76" s="134">
        <f t="shared" si="4"/>
        <v>19072.219424550112</v>
      </c>
      <c r="Q76" s="261">
        <v>1</v>
      </c>
      <c r="R76" s="94"/>
    </row>
    <row r="77" spans="1:18" x14ac:dyDescent="0.25">
      <c r="A77" s="367">
        <v>2002</v>
      </c>
      <c r="B77" s="367" t="s">
        <v>279</v>
      </c>
      <c r="C77" s="279" t="s">
        <v>414</v>
      </c>
      <c r="D77" s="159" t="s">
        <v>819</v>
      </c>
      <c r="E77" s="45">
        <f t="shared" si="0"/>
        <v>37437</v>
      </c>
      <c r="F77" s="148" t="str">
        <f t="shared" si="1"/>
        <v>2001-02</v>
      </c>
      <c r="G77" s="1"/>
      <c r="H77" s="163"/>
      <c r="I77" s="37"/>
      <c r="J77" s="138">
        <f t="shared" si="2"/>
        <v>0.77968490742404351</v>
      </c>
      <c r="K77" s="114"/>
      <c r="L77" s="37">
        <v>9.2985100000000003</v>
      </c>
      <c r="M77" s="37" t="s">
        <v>142</v>
      </c>
      <c r="N77" s="37">
        <v>459.03407217694991</v>
      </c>
      <c r="O77" s="132">
        <f t="shared" si="3"/>
        <v>4268.3329104780905</v>
      </c>
      <c r="P77" s="134">
        <f t="shared" si="4"/>
        <v>632.31140253061062</v>
      </c>
      <c r="Q77" s="261">
        <v>0.19</v>
      </c>
      <c r="R77" s="94"/>
    </row>
    <row r="78" spans="1:18" x14ac:dyDescent="0.25">
      <c r="A78" s="367">
        <v>2002</v>
      </c>
      <c r="B78" s="367" t="s">
        <v>279</v>
      </c>
      <c r="C78" s="279" t="s">
        <v>415</v>
      </c>
      <c r="D78" s="159" t="s">
        <v>820</v>
      </c>
      <c r="E78" s="45">
        <f t="shared" si="0"/>
        <v>37437</v>
      </c>
      <c r="F78" s="148" t="str">
        <f t="shared" si="1"/>
        <v>2001-02</v>
      </c>
      <c r="G78" s="1"/>
      <c r="H78" s="163"/>
      <c r="I78" s="37"/>
      <c r="J78" s="138">
        <f t="shared" si="2"/>
        <v>0.77968490742404351</v>
      </c>
      <c r="K78" s="114"/>
      <c r="L78" s="37">
        <v>315.78899999999999</v>
      </c>
      <c r="M78" s="37" t="s">
        <v>142</v>
      </c>
      <c r="N78" s="37">
        <v>526.68119860302681</v>
      </c>
      <c r="O78" s="132">
        <f t="shared" si="3"/>
        <v>166320.12902565123</v>
      </c>
      <c r="P78" s="134">
        <f t="shared" si="4"/>
        <v>15561.275328254382</v>
      </c>
      <c r="Q78" s="261">
        <v>0.12</v>
      </c>
      <c r="R78" s="94"/>
    </row>
    <row r="79" spans="1:18" x14ac:dyDescent="0.25">
      <c r="A79" s="367">
        <v>2002</v>
      </c>
      <c r="B79" s="367" t="s">
        <v>279</v>
      </c>
      <c r="C79" s="279" t="s">
        <v>416</v>
      </c>
      <c r="D79" s="159" t="s">
        <v>821</v>
      </c>
      <c r="E79" s="45">
        <f t="shared" si="0"/>
        <v>37437</v>
      </c>
      <c r="F79" s="148" t="str">
        <f t="shared" si="1"/>
        <v>2001-02</v>
      </c>
      <c r="G79" s="1"/>
      <c r="H79" s="163"/>
      <c r="I79" s="37"/>
      <c r="J79" s="138">
        <f t="shared" si="2"/>
        <v>0.77968490742404351</v>
      </c>
      <c r="K79" s="114"/>
      <c r="L79" s="37">
        <v>10.6982</v>
      </c>
      <c r="M79" s="37" t="s">
        <v>142</v>
      </c>
      <c r="N79" s="37">
        <v>615.26672130384168</v>
      </c>
      <c r="O79" s="132">
        <f t="shared" si="3"/>
        <v>6582.2464378527593</v>
      </c>
      <c r="P79" s="134">
        <f t="shared" si="4"/>
        <v>1283.0195511348672</v>
      </c>
      <c r="Q79" s="261">
        <v>0.25</v>
      </c>
      <c r="R79" s="94"/>
    </row>
    <row r="80" spans="1:18" x14ac:dyDescent="0.25">
      <c r="A80" s="367">
        <v>2002</v>
      </c>
      <c r="B80" s="367" t="s">
        <v>279</v>
      </c>
      <c r="C80" s="279" t="s">
        <v>416</v>
      </c>
      <c r="D80" s="159" t="s">
        <v>822</v>
      </c>
      <c r="E80" s="45">
        <f t="shared" si="0"/>
        <v>37437</v>
      </c>
      <c r="F80" s="148" t="str">
        <f t="shared" si="1"/>
        <v>2001-02</v>
      </c>
      <c r="G80" s="1"/>
      <c r="H80" s="163"/>
      <c r="I80" s="37"/>
      <c r="J80" s="138">
        <f t="shared" si="2"/>
        <v>0.77968490742404351</v>
      </c>
      <c r="K80" s="114"/>
      <c r="L80" s="37">
        <v>22.89743</v>
      </c>
      <c r="M80" s="37" t="s">
        <v>142</v>
      </c>
      <c r="N80" s="37">
        <v>459.03407217694991</v>
      </c>
      <c r="O80" s="132">
        <f t="shared" si="3"/>
        <v>10510.700535286658</v>
      </c>
      <c r="P80" s="134">
        <f t="shared" si="4"/>
        <v>1557.056569025196</v>
      </c>
      <c r="Q80" s="261">
        <v>0.19</v>
      </c>
      <c r="R80" s="94"/>
    </row>
    <row r="81" spans="1:18" x14ac:dyDescent="0.25">
      <c r="A81" s="367">
        <v>2002</v>
      </c>
      <c r="B81" s="367" t="s">
        <v>279</v>
      </c>
      <c r="C81" s="279" t="s">
        <v>416</v>
      </c>
      <c r="D81" s="159" t="s">
        <v>823</v>
      </c>
      <c r="E81" s="45">
        <f t="shared" si="0"/>
        <v>37437</v>
      </c>
      <c r="F81" s="148" t="str">
        <f t="shared" si="1"/>
        <v>2001-02</v>
      </c>
      <c r="G81" s="1"/>
      <c r="H81" s="163"/>
      <c r="I81" s="37"/>
      <c r="J81" s="138">
        <f t="shared" si="2"/>
        <v>0.77968490742404351</v>
      </c>
      <c r="K81" s="114"/>
      <c r="L81" s="37">
        <v>24.7514</v>
      </c>
      <c r="M81" s="37" t="s">
        <v>142</v>
      </c>
      <c r="N81" s="37">
        <v>459.03407217694991</v>
      </c>
      <c r="O81" s="132">
        <f t="shared" si="3"/>
        <v>11361.735934080558</v>
      </c>
      <c r="P81" s="134">
        <f t="shared" si="4"/>
        <v>1683.1290656886054</v>
      </c>
      <c r="Q81" s="261">
        <v>0.19</v>
      </c>
      <c r="R81" s="94"/>
    </row>
    <row r="82" spans="1:18" x14ac:dyDescent="0.25">
      <c r="A82" s="367">
        <v>2003</v>
      </c>
      <c r="B82" s="367" t="s">
        <v>279</v>
      </c>
      <c r="C82" s="279">
        <v>1001376</v>
      </c>
      <c r="D82" s="159" t="s">
        <v>824</v>
      </c>
      <c r="E82" s="45">
        <f t="shared" si="0"/>
        <v>37802</v>
      </c>
      <c r="F82" s="148" t="str">
        <f t="shared" si="1"/>
        <v>2002-03</v>
      </c>
      <c r="G82" s="1"/>
      <c r="H82" s="163"/>
      <c r="I82" s="37"/>
      <c r="J82" s="138">
        <f t="shared" si="2"/>
        <v>0.77968490742404351</v>
      </c>
      <c r="K82" s="114"/>
      <c r="L82" s="37">
        <v>201.33205000000001</v>
      </c>
      <c r="M82" s="37" t="s">
        <v>142</v>
      </c>
      <c r="N82" s="37">
        <v>459.03407217694991</v>
      </c>
      <c r="O82" s="132">
        <f t="shared" si="3"/>
        <v>92418.270771233292</v>
      </c>
      <c r="P82" s="134">
        <f t="shared" si="4"/>
        <v>13690.85486920625</v>
      </c>
      <c r="Q82" s="261">
        <v>0.19</v>
      </c>
      <c r="R82" s="94"/>
    </row>
    <row r="83" spans="1:18" x14ac:dyDescent="0.25">
      <c r="A83" s="367">
        <v>2003</v>
      </c>
      <c r="B83" s="367" t="s">
        <v>279</v>
      </c>
      <c r="C83" s="279" t="s">
        <v>417</v>
      </c>
      <c r="D83" s="159" t="s">
        <v>825</v>
      </c>
      <c r="E83" s="45">
        <f t="shared" si="0"/>
        <v>37802</v>
      </c>
      <c r="F83" s="148" t="str">
        <f t="shared" si="1"/>
        <v>2002-03</v>
      </c>
      <c r="G83" s="1"/>
      <c r="H83" s="163"/>
      <c r="I83" s="37"/>
      <c r="J83" s="138">
        <f t="shared" si="2"/>
        <v>0.77968490742404351</v>
      </c>
      <c r="K83" s="114"/>
      <c r="L83" s="37">
        <v>6.1758600000000001</v>
      </c>
      <c r="M83" s="37" t="s">
        <v>142</v>
      </c>
      <c r="N83" s="37">
        <v>526.68119860302681</v>
      </c>
      <c r="O83" s="132">
        <f t="shared" si="3"/>
        <v>3252.7093472044894</v>
      </c>
      <c r="P83" s="134">
        <f t="shared" si="4"/>
        <v>304.33060635029437</v>
      </c>
      <c r="Q83" s="261">
        <v>0.12</v>
      </c>
      <c r="R83" s="94"/>
    </row>
    <row r="84" spans="1:18" x14ac:dyDescent="0.25">
      <c r="A84" s="367">
        <v>2004</v>
      </c>
      <c r="B84" s="367" t="s">
        <v>279</v>
      </c>
      <c r="C84" s="279">
        <v>10009788</v>
      </c>
      <c r="D84" s="159" t="s">
        <v>826</v>
      </c>
      <c r="E84" s="45">
        <f t="shared" si="0"/>
        <v>38168</v>
      </c>
      <c r="F84" s="148" t="str">
        <f t="shared" si="1"/>
        <v>2003-04</v>
      </c>
      <c r="G84" s="1"/>
      <c r="H84" s="163"/>
      <c r="I84" s="37"/>
      <c r="J84" s="138">
        <f t="shared" si="2"/>
        <v>0.77968490742404351</v>
      </c>
      <c r="K84" s="114"/>
      <c r="L84" s="37">
        <v>129</v>
      </c>
      <c r="M84" s="37" t="s">
        <v>142</v>
      </c>
      <c r="N84" s="37">
        <v>713.51611920838184</v>
      </c>
      <c r="O84" s="132">
        <f t="shared" si="3"/>
        <v>92043.579377881251</v>
      </c>
      <c r="P84" s="134">
        <f t="shared" si="4"/>
        <v>34447.195039786056</v>
      </c>
      <c r="Q84" s="261">
        <v>0.48</v>
      </c>
      <c r="R84" s="94"/>
    </row>
    <row r="85" spans="1:18" x14ac:dyDescent="0.25">
      <c r="A85" s="367">
        <v>1998</v>
      </c>
      <c r="B85" s="367" t="s">
        <v>279</v>
      </c>
      <c r="C85" s="279">
        <v>110113</v>
      </c>
      <c r="D85" s="159" t="s">
        <v>827</v>
      </c>
      <c r="E85" s="45">
        <f t="shared" si="0"/>
        <v>35976</v>
      </c>
      <c r="F85" s="148" t="str">
        <f t="shared" si="1"/>
        <v>1997-98</v>
      </c>
      <c r="G85" s="1"/>
      <c r="H85" s="163"/>
      <c r="I85" s="37"/>
      <c r="J85" s="138">
        <f t="shared" si="2"/>
        <v>0.77968490742404351</v>
      </c>
      <c r="K85" s="114"/>
      <c r="L85" s="37">
        <v>634</v>
      </c>
      <c r="M85" s="37" t="s">
        <v>142</v>
      </c>
      <c r="N85" s="37">
        <v>713.51611920838184</v>
      </c>
      <c r="O85" s="132">
        <f t="shared" si="3"/>
        <v>452369.21957811411</v>
      </c>
      <c r="P85" s="134">
        <f t="shared" si="4"/>
        <v>352705.45308824873</v>
      </c>
      <c r="Q85" s="261">
        <v>1</v>
      </c>
      <c r="R85" s="94"/>
    </row>
    <row r="86" spans="1:18" x14ac:dyDescent="0.25">
      <c r="A86" s="367">
        <v>1999</v>
      </c>
      <c r="B86" s="367" t="s">
        <v>279</v>
      </c>
      <c r="C86" s="279">
        <v>180003</v>
      </c>
      <c r="D86" s="159" t="s">
        <v>828</v>
      </c>
      <c r="E86" s="45">
        <f t="shared" si="0"/>
        <v>36341</v>
      </c>
      <c r="F86" s="148" t="str">
        <f t="shared" si="1"/>
        <v>1998-99</v>
      </c>
      <c r="G86" s="1"/>
      <c r="H86" s="163"/>
      <c r="I86" s="37"/>
      <c r="J86" s="138">
        <f t="shared" si="2"/>
        <v>0.77968490742404351</v>
      </c>
      <c r="K86" s="114"/>
      <c r="L86" s="37">
        <v>58</v>
      </c>
      <c r="M86" s="37" t="s">
        <v>142</v>
      </c>
      <c r="N86" s="37">
        <v>370.44854947613504</v>
      </c>
      <c r="O86" s="132">
        <f t="shared" si="3"/>
        <v>21486.015869615832</v>
      </c>
      <c r="P86" s="134">
        <f t="shared" si="4"/>
        <v>16752.322294212951</v>
      </c>
      <c r="Q86" s="261">
        <v>1</v>
      </c>
      <c r="R86" s="94"/>
    </row>
    <row r="87" spans="1:18" x14ac:dyDescent="0.25">
      <c r="A87" s="367">
        <v>1999</v>
      </c>
      <c r="B87" s="367" t="s">
        <v>279</v>
      </c>
      <c r="C87" s="279">
        <v>180076</v>
      </c>
      <c r="D87" s="159" t="s">
        <v>829</v>
      </c>
      <c r="E87" s="45">
        <f t="shared" ref="E87:E150" si="5">IF(A87&lt;2022,DATEVALUE("30 Jun "&amp;A87),A87)</f>
        <v>36341</v>
      </c>
      <c r="F87" s="148" t="str">
        <f t="shared" si="1"/>
        <v>1998-99</v>
      </c>
      <c r="G87" s="1"/>
      <c r="H87" s="163"/>
      <c r="I87" s="37"/>
      <c r="J87" s="138">
        <f t="shared" si="2"/>
        <v>0.77968490742404351</v>
      </c>
      <c r="K87" s="114"/>
      <c r="L87" s="37">
        <v>90</v>
      </c>
      <c r="M87" s="37" t="s">
        <v>142</v>
      </c>
      <c r="N87" s="37">
        <v>459.03407217694991</v>
      </c>
      <c r="O87" s="132">
        <f t="shared" si="3"/>
        <v>41313.066495925494</v>
      </c>
      <c r="P87" s="134">
        <f t="shared" si="4"/>
        <v>32211.174426279023</v>
      </c>
      <c r="Q87" s="261">
        <v>1</v>
      </c>
      <c r="R87" s="94"/>
    </row>
    <row r="88" spans="1:18" x14ac:dyDescent="0.25">
      <c r="A88" s="367">
        <v>2004</v>
      </c>
      <c r="B88" s="367" t="s">
        <v>279</v>
      </c>
      <c r="C88" s="279">
        <v>10007938</v>
      </c>
      <c r="D88" s="159" t="s">
        <v>830</v>
      </c>
      <c r="E88" s="45">
        <f t="shared" si="5"/>
        <v>38168</v>
      </c>
      <c r="F88" s="148" t="str">
        <f t="shared" ref="F88:F151" si="6">IF(E88="","-",IF(OR(E88&lt;$E$15,E88&gt;$E$16),"ERROR - date outside of range",IF(MONTH(E88)&gt;=7,YEAR(E88)&amp;"-"&amp;IF(YEAR(E88)=1999,"00",IF(AND(YEAR(E88)&gt;=2000,YEAR(E88)&lt;2009),"0","")&amp;RIGHT(YEAR(E88),2)+1),RIGHT(YEAR(E88),4)-1&amp;"-"&amp;RIGHT(YEAR(E88),2))))</f>
        <v>2003-04</v>
      </c>
      <c r="G88" s="1"/>
      <c r="H88" s="163"/>
      <c r="I88" s="37"/>
      <c r="J88" s="138">
        <f t="shared" ref="J88:J151" si="7">J87</f>
        <v>0.77968490742404351</v>
      </c>
      <c r="K88" s="114"/>
      <c r="L88" s="37">
        <v>1978</v>
      </c>
      <c r="M88" s="37" t="s">
        <v>142</v>
      </c>
      <c r="N88" s="37">
        <v>1264.3570058207217</v>
      </c>
      <c r="O88" s="132">
        <f t="shared" ref="O88:O151" si="8">IF(N88="","-",L88*N88)</f>
        <v>2500898.1575133875</v>
      </c>
      <c r="P88" s="134">
        <f t="shared" ref="P88:P151" si="9">IF(O88="-","-",IF(OR(E88&lt;$E$15,E88&gt;$E$16),0,O88*J88))*Q88</f>
        <v>1949912.5484177866</v>
      </c>
      <c r="Q88" s="261">
        <v>1</v>
      </c>
      <c r="R88" s="94"/>
    </row>
    <row r="89" spans="1:18" x14ac:dyDescent="0.25">
      <c r="A89" s="367">
        <v>2004</v>
      </c>
      <c r="B89" s="367" t="s">
        <v>279</v>
      </c>
      <c r="C89" s="279" t="s">
        <v>418</v>
      </c>
      <c r="D89" s="159" t="s">
        <v>831</v>
      </c>
      <c r="E89" s="45">
        <f t="shared" si="5"/>
        <v>38168</v>
      </c>
      <c r="F89" s="148" t="str">
        <f t="shared" si="6"/>
        <v>2003-04</v>
      </c>
      <c r="G89" s="1"/>
      <c r="H89" s="163"/>
      <c r="I89" s="37"/>
      <c r="J89" s="138">
        <f t="shared" si="7"/>
        <v>0.77968490742404351</v>
      </c>
      <c r="K89" s="114"/>
      <c r="L89" s="37">
        <v>80</v>
      </c>
      <c r="M89" s="37" t="s">
        <v>142</v>
      </c>
      <c r="N89" s="37">
        <v>526.68119860302681</v>
      </c>
      <c r="O89" s="132">
        <f t="shared" si="8"/>
        <v>42134.495888242149</v>
      </c>
      <c r="P89" s="134">
        <f t="shared" si="9"/>
        <v>9526.9728525350183</v>
      </c>
      <c r="Q89" s="261">
        <v>0.28999999999999998</v>
      </c>
      <c r="R89" s="94"/>
    </row>
    <row r="90" spans="1:18" x14ac:dyDescent="0.25">
      <c r="A90" s="367">
        <v>2000</v>
      </c>
      <c r="B90" s="367" t="s">
        <v>279</v>
      </c>
      <c r="C90" s="279" t="s">
        <v>419</v>
      </c>
      <c r="D90" s="159" t="s">
        <v>832</v>
      </c>
      <c r="E90" s="45">
        <f t="shared" si="5"/>
        <v>36707</v>
      </c>
      <c r="F90" s="148" t="str">
        <f t="shared" si="6"/>
        <v>1999-00</v>
      </c>
      <c r="G90" s="1"/>
      <c r="H90" s="163"/>
      <c r="I90" s="37"/>
      <c r="J90" s="138">
        <f t="shared" si="7"/>
        <v>0.77968490742404351</v>
      </c>
      <c r="K90" s="114"/>
      <c r="L90" s="37">
        <v>55.24532</v>
      </c>
      <c r="M90" s="37" t="s">
        <v>142</v>
      </c>
      <c r="N90" s="37">
        <v>526.68119860302681</v>
      </c>
      <c r="O90" s="132">
        <f t="shared" si="8"/>
        <v>29096.671354807768</v>
      </c>
      <c r="P90" s="134">
        <f t="shared" si="9"/>
        <v>6579.0082983701232</v>
      </c>
      <c r="Q90" s="261">
        <v>0.28999999999999998</v>
      </c>
      <c r="R90" s="94"/>
    </row>
    <row r="91" spans="1:18" x14ac:dyDescent="0.25">
      <c r="A91" s="367">
        <v>2000</v>
      </c>
      <c r="B91" s="367" t="s">
        <v>279</v>
      </c>
      <c r="C91" s="279" t="s">
        <v>419</v>
      </c>
      <c r="D91" s="159" t="s">
        <v>832</v>
      </c>
      <c r="E91" s="45">
        <f t="shared" si="5"/>
        <v>36707</v>
      </c>
      <c r="F91" s="148" t="str">
        <f t="shared" si="6"/>
        <v>1999-00</v>
      </c>
      <c r="G91" s="1"/>
      <c r="H91" s="163"/>
      <c r="I91" s="37"/>
      <c r="J91" s="138">
        <f t="shared" si="7"/>
        <v>0.77968490742404351</v>
      </c>
      <c r="K91" s="114"/>
      <c r="L91" s="37">
        <v>5.153179999999999</v>
      </c>
      <c r="M91" s="37" t="s">
        <v>142</v>
      </c>
      <c r="N91" s="37">
        <v>526.68119860302681</v>
      </c>
      <c r="O91" s="132">
        <f t="shared" si="8"/>
        <v>2714.083019017145</v>
      </c>
      <c r="P91" s="134">
        <f t="shared" si="9"/>
        <v>2116.1295674235512</v>
      </c>
      <c r="Q91" s="261">
        <v>1</v>
      </c>
      <c r="R91" s="94"/>
    </row>
    <row r="92" spans="1:18" x14ac:dyDescent="0.25">
      <c r="A92" s="367">
        <v>2001</v>
      </c>
      <c r="B92" s="367" t="s">
        <v>279</v>
      </c>
      <c r="C92" s="279" t="s">
        <v>420</v>
      </c>
      <c r="D92" s="159" t="s">
        <v>833</v>
      </c>
      <c r="E92" s="45">
        <f t="shared" si="5"/>
        <v>37072</v>
      </c>
      <c r="F92" s="148" t="str">
        <f t="shared" si="6"/>
        <v>2000-01</v>
      </c>
      <c r="G92" s="1"/>
      <c r="H92" s="163"/>
      <c r="I92" s="37"/>
      <c r="J92" s="138">
        <f t="shared" si="7"/>
        <v>0.77968490742404351</v>
      </c>
      <c r="K92" s="114"/>
      <c r="L92" s="37">
        <v>7.3738700000000001</v>
      </c>
      <c r="M92" s="37" t="s">
        <v>142</v>
      </c>
      <c r="N92" s="37">
        <v>459.03407217694991</v>
      </c>
      <c r="O92" s="132">
        <f t="shared" si="8"/>
        <v>3384.8575738034456</v>
      </c>
      <c r="P92" s="134">
        <f t="shared" si="9"/>
        <v>501.43324917415731</v>
      </c>
      <c r="Q92" s="261">
        <v>0.19</v>
      </c>
      <c r="R92" s="94"/>
    </row>
    <row r="93" spans="1:18" x14ac:dyDescent="0.25">
      <c r="A93" s="367">
        <v>2001</v>
      </c>
      <c r="B93" s="367" t="s">
        <v>279</v>
      </c>
      <c r="C93" s="279" t="s">
        <v>421</v>
      </c>
      <c r="D93" s="159" t="s">
        <v>834</v>
      </c>
      <c r="E93" s="45">
        <f t="shared" si="5"/>
        <v>37072</v>
      </c>
      <c r="F93" s="148" t="str">
        <f t="shared" si="6"/>
        <v>2000-01</v>
      </c>
      <c r="G93" s="1"/>
      <c r="H93" s="163"/>
      <c r="I93" s="37"/>
      <c r="J93" s="138">
        <f t="shared" si="7"/>
        <v>0.77968490742404351</v>
      </c>
      <c r="K93" s="114"/>
      <c r="L93" s="37">
        <v>281.86779999999999</v>
      </c>
      <c r="M93" s="37" t="s">
        <v>142</v>
      </c>
      <c r="N93" s="37">
        <v>459.03407217694991</v>
      </c>
      <c r="O93" s="132">
        <f t="shared" si="8"/>
        <v>129386.92404955807</v>
      </c>
      <c r="P93" s="134">
        <f t="shared" si="9"/>
        <v>19167.396060897674</v>
      </c>
      <c r="Q93" s="261">
        <v>0.19</v>
      </c>
      <c r="R93" s="94"/>
    </row>
    <row r="94" spans="1:18" x14ac:dyDescent="0.25">
      <c r="A94" s="367">
        <v>2001</v>
      </c>
      <c r="B94" s="367" t="s">
        <v>279</v>
      </c>
      <c r="C94" s="279" t="s">
        <v>421</v>
      </c>
      <c r="D94" s="159" t="s">
        <v>834</v>
      </c>
      <c r="E94" s="45">
        <f t="shared" si="5"/>
        <v>37072</v>
      </c>
      <c r="F94" s="148" t="str">
        <f t="shared" si="6"/>
        <v>2000-01</v>
      </c>
      <c r="G94" s="1"/>
      <c r="H94" s="163"/>
      <c r="I94" s="37"/>
      <c r="J94" s="138">
        <f t="shared" si="7"/>
        <v>0.77968490742404351</v>
      </c>
      <c r="K94" s="114"/>
      <c r="L94" s="37">
        <v>99.5</v>
      </c>
      <c r="M94" s="37" t="s">
        <v>142</v>
      </c>
      <c r="N94" s="37">
        <v>459.03407217694991</v>
      </c>
      <c r="O94" s="132">
        <f t="shared" si="8"/>
        <v>45673.890181606519</v>
      </c>
      <c r="P94" s="134">
        <f t="shared" si="9"/>
        <v>35611.242837941805</v>
      </c>
      <c r="Q94" s="261">
        <v>1</v>
      </c>
      <c r="R94" s="94"/>
    </row>
    <row r="95" spans="1:18" x14ac:dyDescent="0.25">
      <c r="A95" s="367">
        <v>2001</v>
      </c>
      <c r="B95" s="367" t="s">
        <v>279</v>
      </c>
      <c r="C95" s="279" t="s">
        <v>421</v>
      </c>
      <c r="D95" s="159" t="s">
        <v>835</v>
      </c>
      <c r="E95" s="45">
        <f t="shared" si="5"/>
        <v>37072</v>
      </c>
      <c r="F95" s="148" t="str">
        <f t="shared" si="6"/>
        <v>2000-01</v>
      </c>
      <c r="G95" s="1"/>
      <c r="H95" s="163"/>
      <c r="I95" s="37"/>
      <c r="J95" s="138">
        <f t="shared" si="7"/>
        <v>0.77968490742404351</v>
      </c>
      <c r="K95" s="114"/>
      <c r="L95" s="37">
        <v>504.25860999999992</v>
      </c>
      <c r="M95" s="37" t="s">
        <v>142</v>
      </c>
      <c r="N95" s="37">
        <v>459.03407217694991</v>
      </c>
      <c r="O95" s="132">
        <f t="shared" si="8"/>
        <v>231471.88317858841</v>
      </c>
      <c r="P95" s="134">
        <f t="shared" si="9"/>
        <v>34290.275423399675</v>
      </c>
      <c r="Q95" s="261">
        <v>0.19</v>
      </c>
      <c r="R95" s="94"/>
    </row>
    <row r="96" spans="1:18" x14ac:dyDescent="0.25">
      <c r="A96" s="367">
        <v>2001</v>
      </c>
      <c r="B96" s="367" t="s">
        <v>279</v>
      </c>
      <c r="C96" s="279" t="s">
        <v>421</v>
      </c>
      <c r="D96" s="159" t="s">
        <v>835</v>
      </c>
      <c r="E96" s="45">
        <f t="shared" si="5"/>
        <v>37072</v>
      </c>
      <c r="F96" s="148" t="str">
        <f t="shared" si="6"/>
        <v>2000-01</v>
      </c>
      <c r="G96" s="1"/>
      <c r="H96" s="163"/>
      <c r="I96" s="37"/>
      <c r="J96" s="138">
        <f t="shared" si="7"/>
        <v>0.77968490742404351</v>
      </c>
      <c r="K96" s="114"/>
      <c r="L96" s="37">
        <v>2.1070700000001352</v>
      </c>
      <c r="M96" s="37" t="s">
        <v>142</v>
      </c>
      <c r="N96" s="37">
        <v>459.03407217694991</v>
      </c>
      <c r="O96" s="132">
        <f t="shared" si="8"/>
        <v>967.21692246194789</v>
      </c>
      <c r="P96" s="134">
        <f t="shared" si="9"/>
        <v>754.12443664871205</v>
      </c>
      <c r="Q96" s="261">
        <v>1</v>
      </c>
      <c r="R96" s="94"/>
    </row>
    <row r="97" spans="1:18" x14ac:dyDescent="0.25">
      <c r="A97" s="367">
        <v>2001</v>
      </c>
      <c r="B97" s="367" t="s">
        <v>279</v>
      </c>
      <c r="C97" s="279" t="s">
        <v>421</v>
      </c>
      <c r="D97" s="159" t="s">
        <v>836</v>
      </c>
      <c r="E97" s="45">
        <f t="shared" si="5"/>
        <v>37072</v>
      </c>
      <c r="F97" s="148" t="str">
        <f t="shared" si="6"/>
        <v>2000-01</v>
      </c>
      <c r="G97" s="1"/>
      <c r="H97" s="163"/>
      <c r="I97" s="37"/>
      <c r="J97" s="138">
        <f t="shared" si="7"/>
        <v>0.77968490742404351</v>
      </c>
      <c r="K97" s="114"/>
      <c r="L97" s="37">
        <v>211.04598000000001</v>
      </c>
      <c r="M97" s="37" t="s">
        <v>142</v>
      </c>
      <c r="N97" s="37">
        <v>459.03407217694991</v>
      </c>
      <c r="O97" s="132">
        <f t="shared" si="8"/>
        <v>96877.295615975134</v>
      </c>
      <c r="P97" s="134">
        <f t="shared" si="9"/>
        <v>14351.41540012832</v>
      </c>
      <c r="Q97" s="261">
        <v>0.19</v>
      </c>
      <c r="R97" s="94"/>
    </row>
    <row r="98" spans="1:18" x14ac:dyDescent="0.25">
      <c r="A98" s="367">
        <v>2001</v>
      </c>
      <c r="B98" s="367" t="s">
        <v>279</v>
      </c>
      <c r="C98" s="279" t="s">
        <v>421</v>
      </c>
      <c r="D98" s="159" t="s">
        <v>836</v>
      </c>
      <c r="E98" s="45">
        <f t="shared" si="5"/>
        <v>37072</v>
      </c>
      <c r="F98" s="148" t="str">
        <f t="shared" si="6"/>
        <v>2000-01</v>
      </c>
      <c r="G98" s="1"/>
      <c r="H98" s="163"/>
      <c r="I98" s="37"/>
      <c r="J98" s="138">
        <f t="shared" si="7"/>
        <v>0.77968490742404351</v>
      </c>
      <c r="K98" s="114"/>
      <c r="L98" s="37">
        <v>9.4520499999999856</v>
      </c>
      <c r="M98" s="37" t="s">
        <v>142</v>
      </c>
      <c r="N98" s="37">
        <v>459.03407217694991</v>
      </c>
      <c r="O98" s="132">
        <f t="shared" si="8"/>
        <v>4338.8130019201326</v>
      </c>
      <c r="P98" s="134">
        <f t="shared" si="9"/>
        <v>3382.9070137323347</v>
      </c>
      <c r="Q98" s="261">
        <v>1</v>
      </c>
      <c r="R98" s="94"/>
    </row>
    <row r="99" spans="1:18" x14ac:dyDescent="0.25">
      <c r="A99" s="367">
        <v>2001</v>
      </c>
      <c r="B99" s="367" t="s">
        <v>279</v>
      </c>
      <c r="C99" s="279" t="s">
        <v>420</v>
      </c>
      <c r="D99" s="159" t="s">
        <v>837</v>
      </c>
      <c r="E99" s="45">
        <f t="shared" si="5"/>
        <v>37072</v>
      </c>
      <c r="F99" s="148" t="str">
        <f t="shared" si="6"/>
        <v>2000-01</v>
      </c>
      <c r="G99" s="1"/>
      <c r="H99" s="163"/>
      <c r="I99" s="37"/>
      <c r="J99" s="138">
        <f t="shared" si="7"/>
        <v>0.77968490742404351</v>
      </c>
      <c r="K99" s="114"/>
      <c r="L99" s="37">
        <v>44.2791</v>
      </c>
      <c r="M99" s="37" t="s">
        <v>142</v>
      </c>
      <c r="N99" s="37">
        <v>459.03407217694991</v>
      </c>
      <c r="O99" s="132">
        <f t="shared" si="8"/>
        <v>20325.615585330383</v>
      </c>
      <c r="P99" s="134">
        <f t="shared" si="9"/>
        <v>3011.0393841371529</v>
      </c>
      <c r="Q99" s="261">
        <v>0.19</v>
      </c>
      <c r="R99" s="94"/>
    </row>
    <row r="100" spans="1:18" x14ac:dyDescent="0.25">
      <c r="A100" s="367">
        <v>2001</v>
      </c>
      <c r="B100" s="367" t="s">
        <v>279</v>
      </c>
      <c r="C100" s="279" t="s">
        <v>420</v>
      </c>
      <c r="D100" s="159" t="s">
        <v>837</v>
      </c>
      <c r="E100" s="45">
        <f t="shared" si="5"/>
        <v>37072</v>
      </c>
      <c r="F100" s="148" t="str">
        <f t="shared" si="6"/>
        <v>2000-01</v>
      </c>
      <c r="G100" s="1"/>
      <c r="H100" s="163"/>
      <c r="I100" s="37"/>
      <c r="J100" s="138">
        <f t="shared" si="7"/>
        <v>0.77968490742404351</v>
      </c>
      <c r="K100" s="114"/>
      <c r="L100" s="37">
        <v>2.5715000000000003</v>
      </c>
      <c r="M100" s="37" t="s">
        <v>142</v>
      </c>
      <c r="N100" s="37">
        <v>459.03407217694991</v>
      </c>
      <c r="O100" s="132">
        <f t="shared" si="8"/>
        <v>1180.4061166030269</v>
      </c>
      <c r="P100" s="134">
        <f t="shared" si="9"/>
        <v>920.34483374640581</v>
      </c>
      <c r="Q100" s="261">
        <v>1</v>
      </c>
      <c r="R100" s="94"/>
    </row>
    <row r="101" spans="1:18" x14ac:dyDescent="0.25">
      <c r="A101" s="367">
        <v>2001</v>
      </c>
      <c r="B101" s="367" t="s">
        <v>279</v>
      </c>
      <c r="C101" s="279" t="s">
        <v>422</v>
      </c>
      <c r="D101" s="159" t="s">
        <v>838</v>
      </c>
      <c r="E101" s="45">
        <f t="shared" si="5"/>
        <v>37072</v>
      </c>
      <c r="F101" s="148" t="str">
        <f t="shared" si="6"/>
        <v>2000-01</v>
      </c>
      <c r="G101" s="1"/>
      <c r="H101" s="163"/>
      <c r="I101" s="37"/>
      <c r="J101" s="138">
        <f t="shared" si="7"/>
        <v>0.77968490742404351</v>
      </c>
      <c r="K101" s="114"/>
      <c r="L101" s="37">
        <v>135.72366</v>
      </c>
      <c r="M101" s="37" t="s">
        <v>142</v>
      </c>
      <c r="N101" s="37">
        <v>526.68119860302681</v>
      </c>
      <c r="O101" s="132">
        <f t="shared" si="8"/>
        <v>71483.09992758969</v>
      </c>
      <c r="P101" s="134">
        <f t="shared" si="9"/>
        <v>16162.945303333659</v>
      </c>
      <c r="Q101" s="261">
        <v>0.28999999999999998</v>
      </c>
      <c r="R101" s="94"/>
    </row>
    <row r="102" spans="1:18" x14ac:dyDescent="0.25">
      <c r="A102" s="367">
        <v>2001</v>
      </c>
      <c r="B102" s="367" t="s">
        <v>279</v>
      </c>
      <c r="C102" s="279" t="s">
        <v>423</v>
      </c>
      <c r="D102" s="159" t="s">
        <v>839</v>
      </c>
      <c r="E102" s="45">
        <f t="shared" si="5"/>
        <v>37072</v>
      </c>
      <c r="F102" s="148" t="str">
        <f t="shared" si="6"/>
        <v>2000-01</v>
      </c>
      <c r="G102" s="1"/>
      <c r="H102" s="163"/>
      <c r="I102" s="37"/>
      <c r="J102" s="138">
        <f t="shared" si="7"/>
        <v>0.77968490742404351</v>
      </c>
      <c r="K102" s="114"/>
      <c r="L102" s="37">
        <v>43.1297</v>
      </c>
      <c r="M102" s="37" t="s">
        <v>142</v>
      </c>
      <c r="N102" s="37">
        <v>526.68119860302681</v>
      </c>
      <c r="O102" s="132">
        <f t="shared" si="8"/>
        <v>22715.602091388966</v>
      </c>
      <c r="P102" s="134">
        <f t="shared" si="9"/>
        <v>3365.0923016041429</v>
      </c>
      <c r="Q102" s="261">
        <v>0.19</v>
      </c>
      <c r="R102" s="94"/>
    </row>
    <row r="103" spans="1:18" x14ac:dyDescent="0.25">
      <c r="A103" s="367">
        <v>2001</v>
      </c>
      <c r="B103" s="367" t="s">
        <v>279</v>
      </c>
      <c r="C103" s="279" t="s">
        <v>423</v>
      </c>
      <c r="D103" s="159" t="s">
        <v>839</v>
      </c>
      <c r="E103" s="45">
        <f t="shared" si="5"/>
        <v>37072</v>
      </c>
      <c r="F103" s="148" t="str">
        <f t="shared" si="6"/>
        <v>2000-01</v>
      </c>
      <c r="G103" s="1"/>
      <c r="H103" s="163"/>
      <c r="I103" s="37"/>
      <c r="J103" s="138">
        <f t="shared" si="7"/>
        <v>0.77968490742404351</v>
      </c>
      <c r="K103" s="114"/>
      <c r="L103" s="37">
        <v>1.7224000000000004</v>
      </c>
      <c r="M103" s="37" t="s">
        <v>142</v>
      </c>
      <c r="N103" s="37">
        <v>526.68119860302681</v>
      </c>
      <c r="O103" s="132">
        <f t="shared" si="8"/>
        <v>907.1556964738536</v>
      </c>
      <c r="P103" s="134">
        <f t="shared" si="9"/>
        <v>707.29560522441022</v>
      </c>
      <c r="Q103" s="261">
        <v>1</v>
      </c>
      <c r="R103" s="94"/>
    </row>
    <row r="104" spans="1:18" x14ac:dyDescent="0.25">
      <c r="A104" s="367">
        <v>2001</v>
      </c>
      <c r="B104" s="367" t="s">
        <v>279</v>
      </c>
      <c r="C104" s="279" t="s">
        <v>424</v>
      </c>
      <c r="D104" s="159" t="s">
        <v>840</v>
      </c>
      <c r="E104" s="45">
        <f t="shared" si="5"/>
        <v>37072</v>
      </c>
      <c r="F104" s="148" t="str">
        <f t="shared" si="6"/>
        <v>2000-01</v>
      </c>
      <c r="G104" s="1"/>
      <c r="H104" s="163"/>
      <c r="I104" s="37"/>
      <c r="J104" s="138">
        <f t="shared" si="7"/>
        <v>0.77968490742404351</v>
      </c>
      <c r="K104" s="114"/>
      <c r="L104" s="37">
        <v>1113</v>
      </c>
      <c r="M104" s="37" t="s">
        <v>142</v>
      </c>
      <c r="N104" s="37">
        <v>459.03407217694991</v>
      </c>
      <c r="O104" s="132">
        <f t="shared" si="8"/>
        <v>510904.92233294522</v>
      </c>
      <c r="P104" s="134">
        <f t="shared" si="9"/>
        <v>75685.522843613595</v>
      </c>
      <c r="Q104" s="261">
        <v>0.19</v>
      </c>
      <c r="R104" s="94"/>
    </row>
    <row r="105" spans="1:18" x14ac:dyDescent="0.25">
      <c r="A105" s="367">
        <v>2002</v>
      </c>
      <c r="B105" s="367" t="s">
        <v>279</v>
      </c>
      <c r="C105" s="279" t="s">
        <v>425</v>
      </c>
      <c r="D105" s="159" t="s">
        <v>841</v>
      </c>
      <c r="E105" s="45">
        <f t="shared" si="5"/>
        <v>37437</v>
      </c>
      <c r="F105" s="148" t="str">
        <f t="shared" si="6"/>
        <v>2001-02</v>
      </c>
      <c r="G105" s="1"/>
      <c r="H105" s="163"/>
      <c r="I105" s="37"/>
      <c r="J105" s="138">
        <f t="shared" si="7"/>
        <v>0.77968490742404351</v>
      </c>
      <c r="K105" s="114"/>
      <c r="L105" s="37">
        <v>224</v>
      </c>
      <c r="M105" s="37" t="s">
        <v>142</v>
      </c>
      <c r="N105" s="37">
        <v>459.03407217694991</v>
      </c>
      <c r="O105" s="132">
        <f t="shared" si="8"/>
        <v>102823.63216763678</v>
      </c>
      <c r="P105" s="134">
        <f t="shared" si="9"/>
        <v>15232.30648424928</v>
      </c>
      <c r="Q105" s="261">
        <v>0.19</v>
      </c>
      <c r="R105" s="94"/>
    </row>
    <row r="106" spans="1:18" x14ac:dyDescent="0.25">
      <c r="A106" s="367">
        <v>2002</v>
      </c>
      <c r="B106" s="367" t="s">
        <v>279</v>
      </c>
      <c r="C106" s="279" t="s">
        <v>426</v>
      </c>
      <c r="D106" s="159" t="s">
        <v>842</v>
      </c>
      <c r="E106" s="45">
        <f t="shared" si="5"/>
        <v>37437</v>
      </c>
      <c r="F106" s="148" t="str">
        <f t="shared" si="6"/>
        <v>2001-02</v>
      </c>
      <c r="G106" s="1"/>
      <c r="H106" s="163"/>
      <c r="I106" s="37"/>
      <c r="J106" s="138">
        <f t="shared" si="7"/>
        <v>0.77968490742404351</v>
      </c>
      <c r="K106" s="114"/>
      <c r="L106" s="37">
        <v>64.2898</v>
      </c>
      <c r="M106" s="37" t="s">
        <v>142</v>
      </c>
      <c r="N106" s="37">
        <v>459.03407217694991</v>
      </c>
      <c r="O106" s="132">
        <f t="shared" si="8"/>
        <v>29511.208693441673</v>
      </c>
      <c r="P106" s="134">
        <f t="shared" si="9"/>
        <v>4371.7943634423627</v>
      </c>
      <c r="Q106" s="261">
        <v>0.19</v>
      </c>
      <c r="R106" s="94"/>
    </row>
    <row r="107" spans="1:18" x14ac:dyDescent="0.25">
      <c r="A107" s="367">
        <v>2002</v>
      </c>
      <c r="B107" s="367" t="s">
        <v>279</v>
      </c>
      <c r="C107" s="279" t="s">
        <v>426</v>
      </c>
      <c r="D107" s="159" t="s">
        <v>843</v>
      </c>
      <c r="E107" s="45">
        <f t="shared" si="5"/>
        <v>37437</v>
      </c>
      <c r="F107" s="148" t="str">
        <f t="shared" si="6"/>
        <v>2001-02</v>
      </c>
      <c r="G107" s="1"/>
      <c r="H107" s="163"/>
      <c r="I107" s="37"/>
      <c r="J107" s="138">
        <f t="shared" si="7"/>
        <v>0.77968490742404351</v>
      </c>
      <c r="K107" s="114"/>
      <c r="L107" s="37">
        <v>92.402140000000003</v>
      </c>
      <c r="M107" s="37" t="s">
        <v>142</v>
      </c>
      <c r="N107" s="37">
        <v>459.03407217694991</v>
      </c>
      <c r="O107" s="132">
        <f t="shared" si="8"/>
        <v>42415.730602064628</v>
      </c>
      <c r="P107" s="134">
        <f t="shared" si="9"/>
        <v>6283.4719476808468</v>
      </c>
      <c r="Q107" s="261">
        <v>0.19</v>
      </c>
      <c r="R107" s="94"/>
    </row>
    <row r="108" spans="1:18" x14ac:dyDescent="0.25">
      <c r="A108" s="367">
        <v>2002</v>
      </c>
      <c r="B108" s="367" t="s">
        <v>279</v>
      </c>
      <c r="C108" s="279" t="s">
        <v>426</v>
      </c>
      <c r="D108" s="159" t="s">
        <v>843</v>
      </c>
      <c r="E108" s="45">
        <f t="shared" si="5"/>
        <v>37437</v>
      </c>
      <c r="F108" s="148" t="str">
        <f t="shared" si="6"/>
        <v>2001-02</v>
      </c>
      <c r="G108" s="1"/>
      <c r="H108" s="163"/>
      <c r="I108" s="37"/>
      <c r="J108" s="138">
        <f t="shared" si="7"/>
        <v>0.77968490742404351</v>
      </c>
      <c r="K108" s="114"/>
      <c r="L108" s="37">
        <v>4.9590599999999938</v>
      </c>
      <c r="M108" s="37" t="s">
        <v>142</v>
      </c>
      <c r="N108" s="37">
        <v>459.03407217694991</v>
      </c>
      <c r="O108" s="132">
        <f t="shared" si="8"/>
        <v>2276.3775059698223</v>
      </c>
      <c r="P108" s="134">
        <f t="shared" si="9"/>
        <v>1774.8571850042561</v>
      </c>
      <c r="Q108" s="261">
        <v>1</v>
      </c>
      <c r="R108" s="94"/>
    </row>
    <row r="109" spans="1:18" x14ac:dyDescent="0.25">
      <c r="A109" s="367">
        <v>2002</v>
      </c>
      <c r="B109" s="367" t="s">
        <v>279</v>
      </c>
      <c r="C109" s="279" t="s">
        <v>426</v>
      </c>
      <c r="D109" s="159" t="s">
        <v>844</v>
      </c>
      <c r="E109" s="45">
        <f t="shared" si="5"/>
        <v>37437</v>
      </c>
      <c r="F109" s="148" t="str">
        <f t="shared" si="6"/>
        <v>2001-02</v>
      </c>
      <c r="G109" s="1"/>
      <c r="H109" s="163"/>
      <c r="I109" s="37"/>
      <c r="J109" s="138">
        <f t="shared" si="7"/>
        <v>0.77968490742404351</v>
      </c>
      <c r="K109" s="114"/>
      <c r="L109" s="37">
        <v>409.08627000000001</v>
      </c>
      <c r="M109" s="37" t="s">
        <v>142</v>
      </c>
      <c r="N109" s="37">
        <v>459.03407217694991</v>
      </c>
      <c r="O109" s="132">
        <f t="shared" si="8"/>
        <v>187784.53638977921</v>
      </c>
      <c r="P109" s="134">
        <f t="shared" si="9"/>
        <v>27818.426085439067</v>
      </c>
      <c r="Q109" s="261">
        <v>0.19</v>
      </c>
      <c r="R109" s="94"/>
    </row>
    <row r="110" spans="1:18" x14ac:dyDescent="0.25">
      <c r="A110" s="367">
        <v>2002</v>
      </c>
      <c r="B110" s="367" t="s">
        <v>279</v>
      </c>
      <c r="C110" s="279" t="s">
        <v>427</v>
      </c>
      <c r="D110" s="159" t="s">
        <v>845</v>
      </c>
      <c r="E110" s="45">
        <f t="shared" si="5"/>
        <v>37437</v>
      </c>
      <c r="F110" s="148" t="str">
        <f t="shared" si="6"/>
        <v>2001-02</v>
      </c>
      <c r="G110" s="1"/>
      <c r="H110" s="163"/>
      <c r="I110" s="37"/>
      <c r="J110" s="138">
        <f t="shared" si="7"/>
        <v>0.77968490742404351</v>
      </c>
      <c r="K110" s="114"/>
      <c r="L110" s="37">
        <v>129.56319999999999</v>
      </c>
      <c r="M110" s="37" t="s">
        <v>142</v>
      </c>
      <c r="N110" s="37">
        <v>459.03407217694991</v>
      </c>
      <c r="O110" s="132">
        <f t="shared" si="8"/>
        <v>59473.92330027659</v>
      </c>
      <c r="P110" s="134">
        <f t="shared" si="9"/>
        <v>8810.4748726789549</v>
      </c>
      <c r="Q110" s="261">
        <v>0.19</v>
      </c>
      <c r="R110" s="94"/>
    </row>
    <row r="111" spans="1:18" x14ac:dyDescent="0.25">
      <c r="A111" s="367">
        <v>2002</v>
      </c>
      <c r="B111" s="367" t="s">
        <v>279</v>
      </c>
      <c r="C111" s="279" t="s">
        <v>427</v>
      </c>
      <c r="D111" s="159" t="s">
        <v>845</v>
      </c>
      <c r="E111" s="45">
        <f t="shared" si="5"/>
        <v>37437</v>
      </c>
      <c r="F111" s="148" t="str">
        <f t="shared" si="6"/>
        <v>2001-02</v>
      </c>
      <c r="G111" s="1"/>
      <c r="H111" s="163"/>
      <c r="I111" s="37"/>
      <c r="J111" s="138">
        <f t="shared" si="7"/>
        <v>0.77968490742404351</v>
      </c>
      <c r="K111" s="114"/>
      <c r="L111" s="37">
        <v>2.0355000000000132</v>
      </c>
      <c r="M111" s="37" t="s">
        <v>142</v>
      </c>
      <c r="N111" s="37">
        <v>459.03407217694991</v>
      </c>
      <c r="O111" s="132">
        <f t="shared" si="8"/>
        <v>934.36385391618762</v>
      </c>
      <c r="P111" s="134">
        <f t="shared" si="9"/>
        <v>728.50939494101522</v>
      </c>
      <c r="Q111" s="261">
        <v>1</v>
      </c>
      <c r="R111" s="94"/>
    </row>
    <row r="112" spans="1:18" x14ac:dyDescent="0.25">
      <c r="A112" s="367">
        <v>2003</v>
      </c>
      <c r="B112" s="367" t="s">
        <v>279</v>
      </c>
      <c r="C112" s="279" t="s">
        <v>428</v>
      </c>
      <c r="D112" s="159" t="s">
        <v>846</v>
      </c>
      <c r="E112" s="45">
        <f t="shared" si="5"/>
        <v>37802</v>
      </c>
      <c r="F112" s="148" t="str">
        <f t="shared" si="6"/>
        <v>2002-03</v>
      </c>
      <c r="G112" s="1"/>
      <c r="H112" s="163"/>
      <c r="I112" s="37"/>
      <c r="J112" s="138">
        <f t="shared" si="7"/>
        <v>0.77968490742404351</v>
      </c>
      <c r="K112" s="114"/>
      <c r="L112" s="37">
        <v>207</v>
      </c>
      <c r="M112" s="37" t="s">
        <v>142</v>
      </c>
      <c r="N112" s="37">
        <v>459.03407217694991</v>
      </c>
      <c r="O112" s="132">
        <f t="shared" si="8"/>
        <v>95020.052940628637</v>
      </c>
      <c r="P112" s="134">
        <f t="shared" si="9"/>
        <v>14076.283224283934</v>
      </c>
      <c r="Q112" s="261">
        <v>0.19</v>
      </c>
      <c r="R112" s="94"/>
    </row>
    <row r="113" spans="1:18" x14ac:dyDescent="0.25">
      <c r="A113" s="367">
        <v>2003</v>
      </c>
      <c r="B113" s="367" t="s">
        <v>279</v>
      </c>
      <c r="C113" s="279" t="s">
        <v>428</v>
      </c>
      <c r="D113" s="159" t="s">
        <v>847</v>
      </c>
      <c r="E113" s="45">
        <f t="shared" si="5"/>
        <v>37802</v>
      </c>
      <c r="F113" s="148" t="str">
        <f t="shared" si="6"/>
        <v>2002-03</v>
      </c>
      <c r="G113" s="1"/>
      <c r="H113" s="163"/>
      <c r="I113" s="37"/>
      <c r="J113" s="138">
        <f t="shared" si="7"/>
        <v>0.77968490742404351</v>
      </c>
      <c r="K113" s="114"/>
      <c r="L113" s="37">
        <v>15.887554</v>
      </c>
      <c r="M113" s="37" t="s">
        <v>142</v>
      </c>
      <c r="N113" s="37">
        <v>459.03407217694991</v>
      </c>
      <c r="O113" s="132">
        <f t="shared" si="8"/>
        <v>7292.9286095511889</v>
      </c>
      <c r="P113" s="134">
        <f t="shared" si="9"/>
        <v>1080.3754098797347</v>
      </c>
      <c r="Q113" s="261">
        <v>0.19</v>
      </c>
      <c r="R113" s="94"/>
    </row>
    <row r="114" spans="1:18" x14ac:dyDescent="0.25">
      <c r="A114" s="367">
        <v>2003</v>
      </c>
      <c r="B114" s="367" t="s">
        <v>279</v>
      </c>
      <c r="C114" s="279" t="s">
        <v>428</v>
      </c>
      <c r="D114" s="159" t="s">
        <v>847</v>
      </c>
      <c r="E114" s="45">
        <f t="shared" si="5"/>
        <v>37802</v>
      </c>
      <c r="F114" s="148" t="str">
        <f t="shared" si="6"/>
        <v>2002-03</v>
      </c>
      <c r="G114" s="1"/>
      <c r="H114" s="163"/>
      <c r="I114" s="37"/>
      <c r="J114" s="138">
        <f t="shared" si="7"/>
        <v>0.77968490742404351</v>
      </c>
      <c r="K114" s="114"/>
      <c r="L114" s="37">
        <v>3.4602459999999997</v>
      </c>
      <c r="M114" s="37" t="s">
        <v>142</v>
      </c>
      <c r="N114" s="37">
        <v>459.03407217694991</v>
      </c>
      <c r="O114" s="132">
        <f t="shared" si="8"/>
        <v>1588.3708121140021</v>
      </c>
      <c r="P114" s="134">
        <f t="shared" si="9"/>
        <v>1238.4287495981584</v>
      </c>
      <c r="Q114" s="261">
        <v>1</v>
      </c>
      <c r="R114" s="94"/>
    </row>
    <row r="115" spans="1:18" x14ac:dyDescent="0.25">
      <c r="A115" s="367">
        <v>2003</v>
      </c>
      <c r="B115" s="367" t="s">
        <v>279</v>
      </c>
      <c r="C115" s="279" t="s">
        <v>428</v>
      </c>
      <c r="D115" s="159" t="s">
        <v>848</v>
      </c>
      <c r="E115" s="45">
        <f t="shared" si="5"/>
        <v>37802</v>
      </c>
      <c r="F115" s="148" t="str">
        <f t="shared" si="6"/>
        <v>2002-03</v>
      </c>
      <c r="G115" s="1"/>
      <c r="H115" s="163"/>
      <c r="I115" s="37"/>
      <c r="J115" s="138">
        <f t="shared" si="7"/>
        <v>0.77968490742404351</v>
      </c>
      <c r="K115" s="114"/>
      <c r="L115" s="37">
        <v>433.43577899999997</v>
      </c>
      <c r="M115" s="37" t="s">
        <v>142</v>
      </c>
      <c r="N115" s="37">
        <v>459.03407217694991</v>
      </c>
      <c r="O115" s="132">
        <f t="shared" si="8"/>
        <v>198961.79066155848</v>
      </c>
      <c r="P115" s="134">
        <f t="shared" si="9"/>
        <v>29474.226013247036</v>
      </c>
      <c r="Q115" s="261">
        <v>0.19</v>
      </c>
      <c r="R115" s="94"/>
    </row>
    <row r="116" spans="1:18" x14ac:dyDescent="0.25">
      <c r="A116" s="367">
        <v>2003</v>
      </c>
      <c r="B116" s="367" t="s">
        <v>279</v>
      </c>
      <c r="C116" s="279" t="s">
        <v>428</v>
      </c>
      <c r="D116" s="159" t="s">
        <v>849</v>
      </c>
      <c r="E116" s="45">
        <f t="shared" si="5"/>
        <v>37802</v>
      </c>
      <c r="F116" s="148" t="str">
        <f t="shared" si="6"/>
        <v>2002-03</v>
      </c>
      <c r="G116" s="1"/>
      <c r="H116" s="163"/>
      <c r="I116" s="37"/>
      <c r="J116" s="138">
        <f t="shared" si="7"/>
        <v>0.77968490742404351</v>
      </c>
      <c r="K116" s="114"/>
      <c r="L116" s="37">
        <v>1148.3561900000002</v>
      </c>
      <c r="M116" s="37" t="s">
        <v>142</v>
      </c>
      <c r="N116" s="37">
        <v>459.03407217694991</v>
      </c>
      <c r="O116" s="132">
        <f t="shared" si="8"/>
        <v>527134.61820530728</v>
      </c>
      <c r="P116" s="134">
        <f t="shared" si="9"/>
        <v>78089.792139128578</v>
      </c>
      <c r="Q116" s="261">
        <v>0.19</v>
      </c>
      <c r="R116" s="94"/>
    </row>
    <row r="117" spans="1:18" x14ac:dyDescent="0.25">
      <c r="A117" s="367">
        <v>2003</v>
      </c>
      <c r="B117" s="367" t="s">
        <v>279</v>
      </c>
      <c r="C117" s="279" t="s">
        <v>428</v>
      </c>
      <c r="D117" s="159" t="s">
        <v>849</v>
      </c>
      <c r="E117" s="45">
        <f t="shared" si="5"/>
        <v>37802</v>
      </c>
      <c r="F117" s="148" t="str">
        <f t="shared" si="6"/>
        <v>2002-03</v>
      </c>
      <c r="G117" s="1"/>
      <c r="H117" s="163"/>
      <c r="I117" s="37"/>
      <c r="J117" s="138">
        <f t="shared" si="7"/>
        <v>0.77968490742404351</v>
      </c>
      <c r="K117" s="114"/>
      <c r="L117" s="37">
        <v>17.268739999999752</v>
      </c>
      <c r="M117" s="37" t="s">
        <v>142</v>
      </c>
      <c r="N117" s="37">
        <v>459.03407217694991</v>
      </c>
      <c r="O117" s="132">
        <f t="shared" si="8"/>
        <v>7926.9400435648686</v>
      </c>
      <c r="P117" s="134">
        <f t="shared" si="9"/>
        <v>6180.515514022818</v>
      </c>
      <c r="Q117" s="261">
        <v>1</v>
      </c>
      <c r="R117" s="94"/>
    </row>
    <row r="118" spans="1:18" x14ac:dyDescent="0.25">
      <c r="A118" s="367">
        <v>2003</v>
      </c>
      <c r="B118" s="367" t="s">
        <v>279</v>
      </c>
      <c r="C118" s="279" t="s">
        <v>428</v>
      </c>
      <c r="D118" s="159" t="s">
        <v>850</v>
      </c>
      <c r="E118" s="45">
        <f t="shared" si="5"/>
        <v>37802</v>
      </c>
      <c r="F118" s="148" t="str">
        <f t="shared" si="6"/>
        <v>2002-03</v>
      </c>
      <c r="G118" s="1"/>
      <c r="H118" s="163"/>
      <c r="I118" s="37"/>
      <c r="J118" s="138">
        <f t="shared" si="7"/>
        <v>0.77968490742404351</v>
      </c>
      <c r="K118" s="114"/>
      <c r="L118" s="37">
        <v>90.977599999999995</v>
      </c>
      <c r="M118" s="37" t="s">
        <v>142</v>
      </c>
      <c r="N118" s="37">
        <v>459.03407217694991</v>
      </c>
      <c r="O118" s="132">
        <f t="shared" si="8"/>
        <v>41761.818204885676</v>
      </c>
      <c r="P118" s="134">
        <f t="shared" si="9"/>
        <v>6186.6012785778439</v>
      </c>
      <c r="Q118" s="261">
        <v>0.19</v>
      </c>
      <c r="R118" s="94"/>
    </row>
    <row r="119" spans="1:18" x14ac:dyDescent="0.25">
      <c r="A119" s="367">
        <v>2003</v>
      </c>
      <c r="B119" s="367" t="s">
        <v>279</v>
      </c>
      <c r="C119" s="279" t="s">
        <v>428</v>
      </c>
      <c r="D119" s="159" t="s">
        <v>850</v>
      </c>
      <c r="E119" s="45">
        <f t="shared" si="5"/>
        <v>37802</v>
      </c>
      <c r="F119" s="148" t="str">
        <f t="shared" si="6"/>
        <v>2002-03</v>
      </c>
      <c r="G119" s="1"/>
      <c r="H119" s="163"/>
      <c r="I119" s="37"/>
      <c r="J119" s="138">
        <f t="shared" si="7"/>
        <v>0.77968490742404351</v>
      </c>
      <c r="K119" s="114"/>
      <c r="L119" s="37">
        <v>8.3942600000000027</v>
      </c>
      <c r="M119" s="37" t="s">
        <v>142</v>
      </c>
      <c r="N119" s="37">
        <v>459.03407217694991</v>
      </c>
      <c r="O119" s="132">
        <f t="shared" si="8"/>
        <v>3853.2513507120848</v>
      </c>
      <c r="P119" s="134">
        <f t="shared" si="9"/>
        <v>3004.3219226615224</v>
      </c>
      <c r="Q119" s="261">
        <v>1</v>
      </c>
      <c r="R119" s="94"/>
    </row>
    <row r="120" spans="1:18" x14ac:dyDescent="0.25">
      <c r="A120" s="367">
        <v>2003</v>
      </c>
      <c r="B120" s="367" t="s">
        <v>279</v>
      </c>
      <c r="C120" s="279" t="s">
        <v>428</v>
      </c>
      <c r="D120" s="159" t="s">
        <v>851</v>
      </c>
      <c r="E120" s="45">
        <f t="shared" si="5"/>
        <v>37802</v>
      </c>
      <c r="F120" s="148" t="str">
        <f t="shared" si="6"/>
        <v>2002-03</v>
      </c>
      <c r="G120" s="1"/>
      <c r="H120" s="163"/>
      <c r="I120" s="37"/>
      <c r="J120" s="138">
        <f t="shared" si="7"/>
        <v>0.77968490742404351</v>
      </c>
      <c r="K120" s="114"/>
      <c r="L120" s="37">
        <v>101.42249000000001</v>
      </c>
      <c r="M120" s="37" t="s">
        <v>142</v>
      </c>
      <c r="N120" s="37">
        <v>459.03407217694991</v>
      </c>
      <c r="O120" s="132">
        <f t="shared" si="8"/>
        <v>46556.378595025984</v>
      </c>
      <c r="P120" s="134">
        <f t="shared" si="9"/>
        <v>6896.8680896236956</v>
      </c>
      <c r="Q120" s="261">
        <v>0.19</v>
      </c>
      <c r="R120" s="94"/>
    </row>
    <row r="121" spans="1:18" x14ac:dyDescent="0.25">
      <c r="A121" s="367">
        <v>2003</v>
      </c>
      <c r="B121" s="367" t="s">
        <v>279</v>
      </c>
      <c r="C121" s="279" t="s">
        <v>428</v>
      </c>
      <c r="D121" s="159" t="s">
        <v>851</v>
      </c>
      <c r="E121" s="45">
        <f t="shared" si="5"/>
        <v>37802</v>
      </c>
      <c r="F121" s="148" t="str">
        <f t="shared" si="6"/>
        <v>2002-03</v>
      </c>
      <c r="G121" s="1"/>
      <c r="H121" s="163"/>
      <c r="I121" s="37"/>
      <c r="J121" s="138">
        <f t="shared" si="7"/>
        <v>0.77968490742404351</v>
      </c>
      <c r="K121" s="114"/>
      <c r="L121" s="37">
        <v>1.6752099999999928</v>
      </c>
      <c r="M121" s="37" t="s">
        <v>142</v>
      </c>
      <c r="N121" s="37">
        <v>459.03407217694991</v>
      </c>
      <c r="O121" s="132">
        <f t="shared" si="8"/>
        <v>768.97846805154495</v>
      </c>
      <c r="P121" s="134">
        <f t="shared" si="9"/>
        <v>599.56090567385161</v>
      </c>
      <c r="Q121" s="261">
        <v>1</v>
      </c>
      <c r="R121" s="94"/>
    </row>
    <row r="122" spans="1:18" x14ac:dyDescent="0.25">
      <c r="A122" s="367">
        <v>2003</v>
      </c>
      <c r="B122" s="367" t="s">
        <v>279</v>
      </c>
      <c r="C122" s="279" t="s">
        <v>428</v>
      </c>
      <c r="D122" s="159" t="s">
        <v>852</v>
      </c>
      <c r="E122" s="45">
        <f t="shared" si="5"/>
        <v>37802</v>
      </c>
      <c r="F122" s="148" t="str">
        <f t="shared" si="6"/>
        <v>2002-03</v>
      </c>
      <c r="G122" s="1"/>
      <c r="H122" s="163"/>
      <c r="I122" s="37"/>
      <c r="J122" s="138">
        <f t="shared" si="7"/>
        <v>0.77968490742404351</v>
      </c>
      <c r="K122" s="114"/>
      <c r="L122" s="37">
        <v>154.69506999999999</v>
      </c>
      <c r="M122" s="37" t="s">
        <v>142</v>
      </c>
      <c r="N122" s="37">
        <v>459.03407217694991</v>
      </c>
      <c r="O122" s="132">
        <f t="shared" si="8"/>
        <v>71010.307927798305</v>
      </c>
      <c r="P122" s="134">
        <f t="shared" si="9"/>
        <v>10519.476418939266</v>
      </c>
      <c r="Q122" s="261">
        <v>0.19</v>
      </c>
      <c r="R122" s="94"/>
    </row>
    <row r="123" spans="1:18" x14ac:dyDescent="0.25">
      <c r="A123" s="367">
        <v>2003</v>
      </c>
      <c r="B123" s="367" t="s">
        <v>279</v>
      </c>
      <c r="C123" s="279" t="s">
        <v>428</v>
      </c>
      <c r="D123" s="159" t="s">
        <v>853</v>
      </c>
      <c r="E123" s="45">
        <f t="shared" si="5"/>
        <v>37802</v>
      </c>
      <c r="F123" s="148" t="str">
        <f t="shared" si="6"/>
        <v>2002-03</v>
      </c>
      <c r="G123" s="1"/>
      <c r="H123" s="163"/>
      <c r="I123" s="37"/>
      <c r="J123" s="138">
        <f t="shared" si="7"/>
        <v>0.77968490742404351</v>
      </c>
      <c r="K123" s="114"/>
      <c r="L123" s="37">
        <v>8.1856899999999992</v>
      </c>
      <c r="M123" s="37" t="s">
        <v>142</v>
      </c>
      <c r="N123" s="37">
        <v>459.03407217694991</v>
      </c>
      <c r="O123" s="132">
        <f t="shared" si="8"/>
        <v>3757.5106142781369</v>
      </c>
      <c r="P123" s="134">
        <f t="shared" si="9"/>
        <v>556.63811993327897</v>
      </c>
      <c r="Q123" s="261">
        <v>0.19</v>
      </c>
      <c r="R123" s="94"/>
    </row>
    <row r="124" spans="1:18" x14ac:dyDescent="0.25">
      <c r="A124" s="367">
        <v>2003</v>
      </c>
      <c r="B124" s="367" t="s">
        <v>279</v>
      </c>
      <c r="C124" s="279" t="s">
        <v>428</v>
      </c>
      <c r="D124" s="159" t="s">
        <v>854</v>
      </c>
      <c r="E124" s="45">
        <f t="shared" si="5"/>
        <v>37802</v>
      </c>
      <c r="F124" s="148" t="str">
        <f t="shared" si="6"/>
        <v>2002-03</v>
      </c>
      <c r="G124" s="1"/>
      <c r="H124" s="163"/>
      <c r="I124" s="37"/>
      <c r="J124" s="138">
        <f t="shared" si="7"/>
        <v>0.77968490742404351</v>
      </c>
      <c r="K124" s="114"/>
      <c r="L124" s="37">
        <v>118.31245999999999</v>
      </c>
      <c r="M124" s="37" t="s">
        <v>142</v>
      </c>
      <c r="N124" s="37">
        <v>459.03407217694991</v>
      </c>
      <c r="O124" s="132">
        <f t="shared" si="8"/>
        <v>54309.450303072495</v>
      </c>
      <c r="P124" s="134">
        <f t="shared" si="9"/>
        <v>8045.4091590423359</v>
      </c>
      <c r="Q124" s="261">
        <v>0.19</v>
      </c>
      <c r="R124" s="94"/>
    </row>
    <row r="125" spans="1:18" x14ac:dyDescent="0.25">
      <c r="A125" s="367">
        <v>2003</v>
      </c>
      <c r="B125" s="367" t="s">
        <v>279</v>
      </c>
      <c r="C125" s="279" t="s">
        <v>428</v>
      </c>
      <c r="D125" s="159" t="s">
        <v>854</v>
      </c>
      <c r="E125" s="45">
        <f t="shared" si="5"/>
        <v>37802</v>
      </c>
      <c r="F125" s="148" t="str">
        <f t="shared" si="6"/>
        <v>2002-03</v>
      </c>
      <c r="G125" s="1"/>
      <c r="H125" s="163"/>
      <c r="I125" s="37"/>
      <c r="J125" s="138">
        <f t="shared" si="7"/>
        <v>0.77968490742404351</v>
      </c>
      <c r="K125" s="114"/>
      <c r="L125" s="37">
        <v>3.75454000000002</v>
      </c>
      <c r="M125" s="37" t="s">
        <v>142</v>
      </c>
      <c r="N125" s="37">
        <v>459.03407217694991</v>
      </c>
      <c r="O125" s="132">
        <f t="shared" si="8"/>
        <v>1723.4617853512548</v>
      </c>
      <c r="P125" s="134">
        <f t="shared" si="9"/>
        <v>1343.7571425604699</v>
      </c>
      <c r="Q125" s="261">
        <v>1</v>
      </c>
      <c r="R125" s="94"/>
    </row>
    <row r="126" spans="1:18" x14ac:dyDescent="0.25">
      <c r="A126" s="367">
        <v>2003</v>
      </c>
      <c r="B126" s="367" t="s">
        <v>279</v>
      </c>
      <c r="C126" s="279" t="s">
        <v>428</v>
      </c>
      <c r="D126" s="159" t="s">
        <v>848</v>
      </c>
      <c r="E126" s="45">
        <f t="shared" si="5"/>
        <v>37802</v>
      </c>
      <c r="F126" s="148" t="str">
        <f t="shared" si="6"/>
        <v>2002-03</v>
      </c>
      <c r="G126" s="1"/>
      <c r="H126" s="163"/>
      <c r="I126" s="37"/>
      <c r="J126" s="138">
        <f t="shared" si="7"/>
        <v>0.77968490742404351</v>
      </c>
      <c r="K126" s="114"/>
      <c r="L126" s="37">
        <v>490.91070000000008</v>
      </c>
      <c r="M126" s="37" t="s">
        <v>142</v>
      </c>
      <c r="N126" s="37">
        <v>459.03407217694991</v>
      </c>
      <c r="O126" s="132">
        <f t="shared" si="8"/>
        <v>225344.73769623705</v>
      </c>
      <c r="P126" s="134">
        <f t="shared" si="9"/>
        <v>33382.599280345326</v>
      </c>
      <c r="Q126" s="261">
        <v>0.19</v>
      </c>
      <c r="R126" s="94"/>
    </row>
    <row r="127" spans="1:18" x14ac:dyDescent="0.25">
      <c r="A127" s="367">
        <v>2003</v>
      </c>
      <c r="B127" s="367" t="s">
        <v>279</v>
      </c>
      <c r="C127" s="279" t="s">
        <v>428</v>
      </c>
      <c r="D127" s="159" t="s">
        <v>848</v>
      </c>
      <c r="E127" s="45">
        <f t="shared" si="5"/>
        <v>37802</v>
      </c>
      <c r="F127" s="148" t="str">
        <f t="shared" si="6"/>
        <v>2002-03</v>
      </c>
      <c r="G127" s="1"/>
      <c r="H127" s="163"/>
      <c r="I127" s="37"/>
      <c r="J127" s="138">
        <f t="shared" si="7"/>
        <v>0.77968490742404351</v>
      </c>
      <c r="K127" s="114"/>
      <c r="L127" s="37">
        <v>8.8105999999999653</v>
      </c>
      <c r="M127" s="37" t="s">
        <v>142</v>
      </c>
      <c r="N127" s="37">
        <v>459.03407217694991</v>
      </c>
      <c r="O127" s="132">
        <f t="shared" si="8"/>
        <v>4044.3655963222191</v>
      </c>
      <c r="P127" s="134">
        <f t="shared" si="9"/>
        <v>3153.3308155574759</v>
      </c>
      <c r="Q127" s="261">
        <v>1</v>
      </c>
      <c r="R127" s="94"/>
    </row>
    <row r="128" spans="1:18" x14ac:dyDescent="0.25">
      <c r="A128" s="367">
        <v>2003</v>
      </c>
      <c r="B128" s="367" t="s">
        <v>279</v>
      </c>
      <c r="C128" s="279" t="s">
        <v>428</v>
      </c>
      <c r="D128" s="159" t="s">
        <v>851</v>
      </c>
      <c r="E128" s="45">
        <f t="shared" si="5"/>
        <v>37802</v>
      </c>
      <c r="F128" s="148" t="str">
        <f t="shared" si="6"/>
        <v>2002-03</v>
      </c>
      <c r="G128" s="1"/>
      <c r="H128" s="163"/>
      <c r="I128" s="37"/>
      <c r="J128" s="138">
        <f t="shared" si="7"/>
        <v>0.77968490742404351</v>
      </c>
      <c r="K128" s="114"/>
      <c r="L128" s="37">
        <v>89.564790000000002</v>
      </c>
      <c r="M128" s="37" t="s">
        <v>142</v>
      </c>
      <c r="N128" s="37">
        <v>459.03407217694991</v>
      </c>
      <c r="O128" s="132">
        <f t="shared" si="8"/>
        <v>41113.290277373359</v>
      </c>
      <c r="P128" s="134">
        <f t="shared" si="9"/>
        <v>6090.528265524219</v>
      </c>
      <c r="Q128" s="261">
        <v>0.19</v>
      </c>
      <c r="R128" s="94"/>
    </row>
    <row r="129" spans="1:18" x14ac:dyDescent="0.25">
      <c r="A129" s="367">
        <v>2003</v>
      </c>
      <c r="B129" s="367" t="s">
        <v>279</v>
      </c>
      <c r="C129" s="279" t="s">
        <v>429</v>
      </c>
      <c r="D129" s="159" t="s">
        <v>855</v>
      </c>
      <c r="E129" s="45">
        <f t="shared" si="5"/>
        <v>37802</v>
      </c>
      <c r="F129" s="148" t="str">
        <f t="shared" si="6"/>
        <v>2002-03</v>
      </c>
      <c r="G129" s="1"/>
      <c r="H129" s="163"/>
      <c r="I129" s="37"/>
      <c r="J129" s="138">
        <f t="shared" si="7"/>
        <v>0.77968490742404351</v>
      </c>
      <c r="K129" s="114"/>
      <c r="L129" s="37">
        <v>165.62804</v>
      </c>
      <c r="M129" s="37" t="s">
        <v>142</v>
      </c>
      <c r="N129" s="37">
        <v>459.03407217694991</v>
      </c>
      <c r="O129" s="132">
        <f t="shared" si="8"/>
        <v>76028.913667886751</v>
      </c>
      <c r="P129" s="134">
        <f t="shared" si="9"/>
        <v>11262.933337792407</v>
      </c>
      <c r="Q129" s="261">
        <v>0.19</v>
      </c>
      <c r="R129" s="94"/>
    </row>
    <row r="130" spans="1:18" x14ac:dyDescent="0.25">
      <c r="A130" s="367">
        <v>2003</v>
      </c>
      <c r="B130" s="367" t="s">
        <v>279</v>
      </c>
      <c r="C130" s="279" t="s">
        <v>429</v>
      </c>
      <c r="D130" s="159" t="s">
        <v>856</v>
      </c>
      <c r="E130" s="45">
        <f t="shared" si="5"/>
        <v>37802</v>
      </c>
      <c r="F130" s="148" t="str">
        <f t="shared" si="6"/>
        <v>2002-03</v>
      </c>
      <c r="G130" s="1"/>
      <c r="H130" s="163"/>
      <c r="I130" s="37"/>
      <c r="J130" s="138">
        <f t="shared" si="7"/>
        <v>0.77968490742404351</v>
      </c>
      <c r="K130" s="114"/>
      <c r="L130" s="37">
        <v>132.6087</v>
      </c>
      <c r="M130" s="37" t="s">
        <v>142</v>
      </c>
      <c r="N130" s="37">
        <v>459.03407217694991</v>
      </c>
      <c r="O130" s="132">
        <f t="shared" si="8"/>
        <v>60871.911567091498</v>
      </c>
      <c r="P130" s="134">
        <f t="shared" si="9"/>
        <v>9017.5730396333365</v>
      </c>
      <c r="Q130" s="261">
        <v>0.19</v>
      </c>
      <c r="R130" s="94"/>
    </row>
    <row r="131" spans="1:18" x14ac:dyDescent="0.25">
      <c r="A131" s="367">
        <v>2003</v>
      </c>
      <c r="B131" s="367" t="s">
        <v>279</v>
      </c>
      <c r="C131" s="279" t="s">
        <v>429</v>
      </c>
      <c r="D131" s="159" t="s">
        <v>857</v>
      </c>
      <c r="E131" s="45">
        <f t="shared" si="5"/>
        <v>37802</v>
      </c>
      <c r="F131" s="148" t="str">
        <f t="shared" si="6"/>
        <v>2002-03</v>
      </c>
      <c r="G131" s="1"/>
      <c r="H131" s="163"/>
      <c r="I131" s="37"/>
      <c r="J131" s="138">
        <f t="shared" si="7"/>
        <v>0.77968490742404351</v>
      </c>
      <c r="K131" s="114"/>
      <c r="L131" s="37">
        <v>46.8</v>
      </c>
      <c r="M131" s="37" t="s">
        <v>142</v>
      </c>
      <c r="N131" s="37">
        <v>459.03407217694991</v>
      </c>
      <c r="O131" s="132">
        <f t="shared" si="8"/>
        <v>21482.794577881254</v>
      </c>
      <c r="P131" s="134">
        <f t="shared" si="9"/>
        <v>3182.464033316367</v>
      </c>
      <c r="Q131" s="261">
        <v>0.19</v>
      </c>
      <c r="R131" s="94"/>
    </row>
    <row r="132" spans="1:18" x14ac:dyDescent="0.25">
      <c r="A132" s="367">
        <v>2003</v>
      </c>
      <c r="B132" s="367" t="s">
        <v>279</v>
      </c>
      <c r="C132" s="279" t="s">
        <v>429</v>
      </c>
      <c r="D132" s="159" t="s">
        <v>857</v>
      </c>
      <c r="E132" s="45">
        <f t="shared" si="5"/>
        <v>37802</v>
      </c>
      <c r="F132" s="148" t="str">
        <f t="shared" si="6"/>
        <v>2002-03</v>
      </c>
      <c r="G132" s="1"/>
      <c r="H132" s="163"/>
      <c r="I132" s="37"/>
      <c r="J132" s="138">
        <f t="shared" si="7"/>
        <v>0.77968490742404351</v>
      </c>
      <c r="K132" s="114"/>
      <c r="L132" s="37">
        <v>37.15204</v>
      </c>
      <c r="M132" s="37" t="s">
        <v>142</v>
      </c>
      <c r="N132" s="37">
        <v>459.03407217694991</v>
      </c>
      <c r="O132" s="132">
        <f t="shared" si="8"/>
        <v>17054.052210880931</v>
      </c>
      <c r="P132" s="134">
        <f t="shared" si="9"/>
        <v>13296.787119245502</v>
      </c>
      <c r="Q132" s="261">
        <v>1</v>
      </c>
      <c r="R132" s="94"/>
    </row>
    <row r="133" spans="1:18" x14ac:dyDescent="0.25">
      <c r="A133" s="367">
        <v>2003</v>
      </c>
      <c r="B133" s="367" t="s">
        <v>279</v>
      </c>
      <c r="C133" s="279" t="s">
        <v>430</v>
      </c>
      <c r="D133" s="159" t="s">
        <v>858</v>
      </c>
      <c r="E133" s="45">
        <f t="shared" si="5"/>
        <v>37802</v>
      </c>
      <c r="F133" s="148" t="str">
        <f t="shared" si="6"/>
        <v>2002-03</v>
      </c>
      <c r="G133" s="1"/>
      <c r="H133" s="163"/>
      <c r="I133" s="37"/>
      <c r="J133" s="138">
        <f t="shared" si="7"/>
        <v>0.77968490742404351</v>
      </c>
      <c r="K133" s="114"/>
      <c r="L133" s="37">
        <v>79</v>
      </c>
      <c r="M133" s="37" t="s">
        <v>142</v>
      </c>
      <c r="N133" s="37">
        <v>459.03407217694991</v>
      </c>
      <c r="O133" s="132">
        <f t="shared" si="8"/>
        <v>36263.691701979042</v>
      </c>
      <c r="P133" s="134">
        <f t="shared" si="9"/>
        <v>5372.1080904272012</v>
      </c>
      <c r="Q133" s="261">
        <v>0.19</v>
      </c>
      <c r="R133" s="94"/>
    </row>
    <row r="134" spans="1:18" x14ac:dyDescent="0.25">
      <c r="A134" s="367">
        <v>2003</v>
      </c>
      <c r="B134" s="367" t="s">
        <v>279</v>
      </c>
      <c r="C134" s="279" t="s">
        <v>430</v>
      </c>
      <c r="D134" s="159" t="s">
        <v>858</v>
      </c>
      <c r="E134" s="45">
        <f t="shared" si="5"/>
        <v>37802</v>
      </c>
      <c r="F134" s="148" t="str">
        <f t="shared" si="6"/>
        <v>2002-03</v>
      </c>
      <c r="G134" s="1"/>
      <c r="H134" s="163"/>
      <c r="I134" s="37"/>
      <c r="J134" s="138">
        <f t="shared" si="7"/>
        <v>0.77968490742404351</v>
      </c>
      <c r="K134" s="114"/>
      <c r="L134" s="37">
        <v>272.62766000000005</v>
      </c>
      <c r="M134" s="37" t="s">
        <v>142</v>
      </c>
      <c r="N134" s="37">
        <v>526.68119860302681</v>
      </c>
      <c r="O134" s="132">
        <f t="shared" si="8"/>
        <v>143587.8627411385</v>
      </c>
      <c r="P134" s="134">
        <f t="shared" si="9"/>
        <v>111953.28946854084</v>
      </c>
      <c r="Q134" s="261">
        <v>1</v>
      </c>
      <c r="R134" s="94"/>
    </row>
    <row r="135" spans="1:18" x14ac:dyDescent="0.25">
      <c r="A135" s="367">
        <v>2003</v>
      </c>
      <c r="B135" s="367" t="s">
        <v>279</v>
      </c>
      <c r="C135" s="279" t="s">
        <v>417</v>
      </c>
      <c r="D135" s="159" t="s">
        <v>859</v>
      </c>
      <c r="E135" s="45">
        <f t="shared" si="5"/>
        <v>37802</v>
      </c>
      <c r="F135" s="148" t="str">
        <f t="shared" si="6"/>
        <v>2002-03</v>
      </c>
      <c r="G135" s="1"/>
      <c r="H135" s="163"/>
      <c r="I135" s="37"/>
      <c r="J135" s="138">
        <f t="shared" si="7"/>
        <v>0.77968490742404351</v>
      </c>
      <c r="K135" s="114"/>
      <c r="L135" s="37">
        <v>262</v>
      </c>
      <c r="M135" s="37" t="s">
        <v>142</v>
      </c>
      <c r="N135" s="37">
        <v>526.68119860302681</v>
      </c>
      <c r="O135" s="132">
        <f t="shared" si="8"/>
        <v>137990.47403399303</v>
      </c>
      <c r="P135" s="134">
        <f t="shared" si="9"/>
        <v>31200.836092052181</v>
      </c>
      <c r="Q135" s="261">
        <v>0.28999999999999998</v>
      </c>
      <c r="R135" s="94"/>
    </row>
    <row r="136" spans="1:18" x14ac:dyDescent="0.25">
      <c r="A136" s="367">
        <v>2004</v>
      </c>
      <c r="B136" s="367" t="s">
        <v>279</v>
      </c>
      <c r="C136" s="279" t="s">
        <v>431</v>
      </c>
      <c r="D136" s="159" t="s">
        <v>860</v>
      </c>
      <c r="E136" s="45">
        <f t="shared" si="5"/>
        <v>38168</v>
      </c>
      <c r="F136" s="148" t="str">
        <f t="shared" si="6"/>
        <v>2003-04</v>
      </c>
      <c r="G136" s="1"/>
      <c r="H136" s="163"/>
      <c r="I136" s="37"/>
      <c r="J136" s="138">
        <f t="shared" si="7"/>
        <v>0.77968490742404351</v>
      </c>
      <c r="K136" s="114"/>
      <c r="L136" s="37">
        <v>53.955549999999995</v>
      </c>
      <c r="M136" s="37" t="s">
        <v>142</v>
      </c>
      <c r="N136" s="37">
        <v>526.68119860302681</v>
      </c>
      <c r="O136" s="132">
        <f t="shared" si="8"/>
        <v>28417.373745285542</v>
      </c>
      <c r="P136" s="134">
        <f t="shared" si="9"/>
        <v>6425.4132511699454</v>
      </c>
      <c r="Q136" s="261">
        <v>0.28999999999999998</v>
      </c>
      <c r="R136" s="94"/>
    </row>
    <row r="137" spans="1:18" x14ac:dyDescent="0.25">
      <c r="A137" s="367">
        <v>2004</v>
      </c>
      <c r="B137" s="367" t="s">
        <v>279</v>
      </c>
      <c r="C137" s="279" t="s">
        <v>432</v>
      </c>
      <c r="D137" s="159" t="s">
        <v>861</v>
      </c>
      <c r="E137" s="45">
        <f t="shared" si="5"/>
        <v>38168</v>
      </c>
      <c r="F137" s="148" t="str">
        <f t="shared" si="6"/>
        <v>2003-04</v>
      </c>
      <c r="G137" s="1"/>
      <c r="H137" s="163"/>
      <c r="I137" s="37"/>
      <c r="J137" s="138">
        <f t="shared" si="7"/>
        <v>0.77968490742404351</v>
      </c>
      <c r="K137" s="114"/>
      <c r="L137" s="37">
        <v>291.255</v>
      </c>
      <c r="M137" s="37" t="s">
        <v>142</v>
      </c>
      <c r="N137" s="37">
        <v>459.03407217694991</v>
      </c>
      <c r="O137" s="132">
        <f t="shared" si="8"/>
        <v>133695.96869189755</v>
      </c>
      <c r="P137" s="134">
        <f t="shared" si="9"/>
        <v>19805.738504776891</v>
      </c>
      <c r="Q137" s="261">
        <v>0.19</v>
      </c>
      <c r="R137" s="94"/>
    </row>
    <row r="138" spans="1:18" x14ac:dyDescent="0.25">
      <c r="A138" s="367">
        <v>2004</v>
      </c>
      <c r="B138" s="367" t="s">
        <v>279</v>
      </c>
      <c r="C138" s="279" t="s">
        <v>433</v>
      </c>
      <c r="D138" s="159" t="s">
        <v>862</v>
      </c>
      <c r="E138" s="45">
        <f t="shared" si="5"/>
        <v>38168</v>
      </c>
      <c r="F138" s="148" t="str">
        <f t="shared" si="6"/>
        <v>2003-04</v>
      </c>
      <c r="G138" s="1"/>
      <c r="H138" s="163"/>
      <c r="I138" s="37"/>
      <c r="J138" s="138">
        <f t="shared" si="7"/>
        <v>0.77968490742404351</v>
      </c>
      <c r="K138" s="114"/>
      <c r="L138" s="37">
        <v>10.747400000000001</v>
      </c>
      <c r="M138" s="37" t="s">
        <v>142</v>
      </c>
      <c r="N138" s="37">
        <v>459.03407217694991</v>
      </c>
      <c r="O138" s="132">
        <f t="shared" si="8"/>
        <v>4933.4227873145519</v>
      </c>
      <c r="P138" s="134">
        <f t="shared" si="9"/>
        <v>730.83790495009248</v>
      </c>
      <c r="Q138" s="261">
        <v>0.19</v>
      </c>
      <c r="R138" s="94"/>
    </row>
    <row r="139" spans="1:18" x14ac:dyDescent="0.25">
      <c r="A139" s="367">
        <v>2004</v>
      </c>
      <c r="B139" s="367" t="s">
        <v>279</v>
      </c>
      <c r="C139" s="279" t="s">
        <v>434</v>
      </c>
      <c r="D139" s="159" t="s">
        <v>863</v>
      </c>
      <c r="E139" s="45">
        <f t="shared" si="5"/>
        <v>38168</v>
      </c>
      <c r="F139" s="148" t="str">
        <f t="shared" si="6"/>
        <v>2003-04</v>
      </c>
      <c r="G139" s="1"/>
      <c r="H139" s="163"/>
      <c r="I139" s="37"/>
      <c r="J139" s="138">
        <f t="shared" si="7"/>
        <v>0.77968490742404351</v>
      </c>
      <c r="K139" s="114"/>
      <c r="L139" s="37">
        <v>85.723410000000001</v>
      </c>
      <c r="M139" s="37" t="s">
        <v>142</v>
      </c>
      <c r="N139" s="37">
        <v>459.03407217694991</v>
      </c>
      <c r="O139" s="132">
        <f t="shared" si="8"/>
        <v>39349.965973194267</v>
      </c>
      <c r="P139" s="134">
        <f t="shared" si="9"/>
        <v>5829.3091696203546</v>
      </c>
      <c r="Q139" s="261">
        <v>0.19</v>
      </c>
      <c r="R139" s="94"/>
    </row>
    <row r="140" spans="1:18" x14ac:dyDescent="0.25">
      <c r="A140" s="367">
        <v>2004</v>
      </c>
      <c r="B140" s="367" t="s">
        <v>279</v>
      </c>
      <c r="C140" s="279" t="s">
        <v>435</v>
      </c>
      <c r="D140" s="159" t="s">
        <v>864</v>
      </c>
      <c r="E140" s="45">
        <f t="shared" si="5"/>
        <v>38168</v>
      </c>
      <c r="F140" s="148" t="str">
        <f t="shared" si="6"/>
        <v>2003-04</v>
      </c>
      <c r="G140" s="1"/>
      <c r="H140" s="163"/>
      <c r="I140" s="37"/>
      <c r="J140" s="138">
        <f t="shared" si="7"/>
        <v>0.77968490742404351</v>
      </c>
      <c r="K140" s="114"/>
      <c r="L140" s="37">
        <v>68.986609999999999</v>
      </c>
      <c r="M140" s="37" t="s">
        <v>142</v>
      </c>
      <c r="N140" s="37">
        <v>459.03407217694991</v>
      </c>
      <c r="O140" s="132">
        <f t="shared" si="8"/>
        <v>31667.204513983095</v>
      </c>
      <c r="P140" s="134">
        <f t="shared" si="9"/>
        <v>4691.1838697740013</v>
      </c>
      <c r="Q140" s="261">
        <v>0.19</v>
      </c>
      <c r="R140" s="94"/>
    </row>
    <row r="141" spans="1:18" x14ac:dyDescent="0.25">
      <c r="A141" s="367">
        <v>2004</v>
      </c>
      <c r="B141" s="367" t="s">
        <v>279</v>
      </c>
      <c r="C141" s="279" t="s">
        <v>435</v>
      </c>
      <c r="D141" s="159" t="s">
        <v>864</v>
      </c>
      <c r="E141" s="45">
        <f t="shared" si="5"/>
        <v>38168</v>
      </c>
      <c r="F141" s="148" t="str">
        <f t="shared" si="6"/>
        <v>2003-04</v>
      </c>
      <c r="G141" s="1"/>
      <c r="H141" s="163"/>
      <c r="I141" s="37"/>
      <c r="J141" s="138">
        <f t="shared" si="7"/>
        <v>0.77968490742404351</v>
      </c>
      <c r="K141" s="114"/>
      <c r="L141" s="37">
        <v>8.1617900000000105</v>
      </c>
      <c r="M141" s="37" t="s">
        <v>142</v>
      </c>
      <c r="N141" s="37">
        <v>459.03407217694991</v>
      </c>
      <c r="O141" s="132">
        <f t="shared" si="8"/>
        <v>3746.5396999531126</v>
      </c>
      <c r="P141" s="134">
        <f t="shared" si="9"/>
        <v>2921.1204591184464</v>
      </c>
      <c r="Q141" s="261">
        <v>1</v>
      </c>
      <c r="R141" s="94"/>
    </row>
    <row r="142" spans="1:18" x14ac:dyDescent="0.25">
      <c r="A142" s="367">
        <v>2002</v>
      </c>
      <c r="B142" s="367" t="s">
        <v>279</v>
      </c>
      <c r="C142" s="279">
        <v>110317</v>
      </c>
      <c r="D142" s="159" t="s">
        <v>865</v>
      </c>
      <c r="E142" s="45">
        <f t="shared" si="5"/>
        <v>37437</v>
      </c>
      <c r="F142" s="148" t="str">
        <f t="shared" si="6"/>
        <v>2001-02</v>
      </c>
      <c r="G142" s="1"/>
      <c r="H142" s="163"/>
      <c r="I142" s="37"/>
      <c r="J142" s="138">
        <f t="shared" si="7"/>
        <v>0.77968490742404351</v>
      </c>
      <c r="K142" s="114"/>
      <c r="L142" s="37">
        <v>52.7</v>
      </c>
      <c r="M142" s="37" t="s">
        <v>142</v>
      </c>
      <c r="N142" s="37">
        <v>911.6255608847498</v>
      </c>
      <c r="O142" s="132">
        <f t="shared" si="8"/>
        <v>48042.667058626321</v>
      </c>
      <c r="P142" s="134">
        <f t="shared" si="9"/>
        <v>37458.142418009207</v>
      </c>
      <c r="Q142" s="261">
        <v>1</v>
      </c>
      <c r="R142" s="94"/>
    </row>
    <row r="143" spans="1:18" x14ac:dyDescent="0.25">
      <c r="A143" s="367">
        <v>2001</v>
      </c>
      <c r="B143" s="367" t="s">
        <v>279</v>
      </c>
      <c r="C143" s="279">
        <v>10004012</v>
      </c>
      <c r="D143" s="159" t="s">
        <v>866</v>
      </c>
      <c r="E143" s="45">
        <f t="shared" si="5"/>
        <v>37072</v>
      </c>
      <c r="F143" s="148" t="str">
        <f t="shared" si="6"/>
        <v>2000-01</v>
      </c>
      <c r="G143" s="1"/>
      <c r="H143" s="163"/>
      <c r="I143" s="37"/>
      <c r="J143" s="138">
        <f t="shared" si="7"/>
        <v>0.77968490742404351</v>
      </c>
      <c r="K143" s="114"/>
      <c r="L143" s="37">
        <v>112.82046</v>
      </c>
      <c r="M143" s="37" t="s">
        <v>142</v>
      </c>
      <c r="N143" s="37">
        <v>615.26672130384168</v>
      </c>
      <c r="O143" s="132">
        <f t="shared" si="8"/>
        <v>69414.674520191213</v>
      </c>
      <c r="P143" s="134">
        <f t="shared" si="9"/>
        <v>13530.39351928635</v>
      </c>
      <c r="Q143" s="261">
        <v>0.25</v>
      </c>
      <c r="R143" s="94"/>
    </row>
    <row r="144" spans="1:18" x14ac:dyDescent="0.25">
      <c r="A144" s="367">
        <v>2001</v>
      </c>
      <c r="B144" s="367" t="s">
        <v>279</v>
      </c>
      <c r="C144" s="279">
        <v>10004012</v>
      </c>
      <c r="D144" s="159" t="s">
        <v>867</v>
      </c>
      <c r="E144" s="45">
        <f t="shared" si="5"/>
        <v>37072</v>
      </c>
      <c r="F144" s="148" t="str">
        <f t="shared" si="6"/>
        <v>2000-01</v>
      </c>
      <c r="G144" s="1"/>
      <c r="H144" s="163"/>
      <c r="I144" s="37"/>
      <c r="J144" s="138">
        <f t="shared" si="7"/>
        <v>0.77968490742404351</v>
      </c>
      <c r="K144" s="114"/>
      <c r="L144" s="37">
        <v>124.916</v>
      </c>
      <c r="M144" s="37" t="s">
        <v>142</v>
      </c>
      <c r="N144" s="37">
        <v>615.26672130384168</v>
      </c>
      <c r="O144" s="132">
        <f t="shared" si="8"/>
        <v>76856.657758390691</v>
      </c>
      <c r="P144" s="134">
        <f t="shared" si="9"/>
        <v>8389.3566524981143</v>
      </c>
      <c r="Q144" s="261">
        <v>0.14000000000000001</v>
      </c>
      <c r="R144" s="94"/>
    </row>
    <row r="145" spans="1:18" x14ac:dyDescent="0.25">
      <c r="A145" s="367">
        <v>2002</v>
      </c>
      <c r="B145" s="367" t="s">
        <v>279</v>
      </c>
      <c r="C145" s="279">
        <v>110317</v>
      </c>
      <c r="D145" s="159" t="s">
        <v>868</v>
      </c>
      <c r="E145" s="45">
        <f t="shared" si="5"/>
        <v>37437</v>
      </c>
      <c r="F145" s="148" t="str">
        <f t="shared" si="6"/>
        <v>2001-02</v>
      </c>
      <c r="G145" s="1"/>
      <c r="H145" s="163"/>
      <c r="I145" s="37"/>
      <c r="J145" s="138">
        <f t="shared" si="7"/>
        <v>0.77968490742404351</v>
      </c>
      <c r="K145" s="114"/>
      <c r="L145" s="37">
        <v>50</v>
      </c>
      <c r="M145" s="37" t="s">
        <v>142</v>
      </c>
      <c r="N145" s="37">
        <v>911.6255608847498</v>
      </c>
      <c r="O145" s="132">
        <f t="shared" si="8"/>
        <v>45581.278044237493</v>
      </c>
      <c r="P145" s="134">
        <f t="shared" si="9"/>
        <v>7463.1972559600881</v>
      </c>
      <c r="Q145" s="261">
        <v>0.21</v>
      </c>
      <c r="R145" s="94"/>
    </row>
    <row r="146" spans="1:18" x14ac:dyDescent="0.25">
      <c r="A146" s="367">
        <v>2002</v>
      </c>
      <c r="B146" s="367" t="s">
        <v>279</v>
      </c>
      <c r="C146" s="279">
        <v>110317</v>
      </c>
      <c r="D146" s="159" t="s">
        <v>869</v>
      </c>
      <c r="E146" s="45">
        <f t="shared" si="5"/>
        <v>37437</v>
      </c>
      <c r="F146" s="148" t="str">
        <f t="shared" si="6"/>
        <v>2001-02</v>
      </c>
      <c r="G146" s="1"/>
      <c r="H146" s="163"/>
      <c r="I146" s="37"/>
      <c r="J146" s="138">
        <f t="shared" si="7"/>
        <v>0.77968490742404351</v>
      </c>
      <c r="K146" s="114"/>
      <c r="L146" s="37">
        <v>55.1023</v>
      </c>
      <c r="M146" s="37" t="s">
        <v>142</v>
      </c>
      <c r="N146" s="37">
        <v>911.6255608847498</v>
      </c>
      <c r="O146" s="132">
        <f t="shared" si="8"/>
        <v>50232.665143539751</v>
      </c>
      <c r="P146" s="134">
        <f t="shared" si="9"/>
        <v>10574.725735468019</v>
      </c>
      <c r="Q146" s="261">
        <v>0.27</v>
      </c>
      <c r="R146" s="94"/>
    </row>
    <row r="147" spans="1:18" x14ac:dyDescent="0.25">
      <c r="A147" s="367">
        <v>2002</v>
      </c>
      <c r="B147" s="367" t="s">
        <v>279</v>
      </c>
      <c r="C147" s="279">
        <v>110317</v>
      </c>
      <c r="D147" s="159" t="s">
        <v>870</v>
      </c>
      <c r="E147" s="45">
        <f t="shared" si="5"/>
        <v>37437</v>
      </c>
      <c r="F147" s="148" t="str">
        <f t="shared" si="6"/>
        <v>2001-02</v>
      </c>
      <c r="G147" s="1"/>
      <c r="H147" s="163"/>
      <c r="I147" s="37"/>
      <c r="J147" s="138">
        <f t="shared" si="7"/>
        <v>0.77968490742404351</v>
      </c>
      <c r="K147" s="114"/>
      <c r="L147" s="37">
        <v>5.5023</v>
      </c>
      <c r="M147" s="37" t="s">
        <v>142</v>
      </c>
      <c r="N147" s="37">
        <v>459.03407217694991</v>
      </c>
      <c r="O147" s="132">
        <f t="shared" si="8"/>
        <v>2525.7431753392316</v>
      </c>
      <c r="P147" s="134">
        <f t="shared" si="9"/>
        <v>374.16392842984294</v>
      </c>
      <c r="Q147" s="261">
        <v>0.19</v>
      </c>
      <c r="R147" s="94"/>
    </row>
    <row r="148" spans="1:18" x14ac:dyDescent="0.25">
      <c r="A148" s="367">
        <v>2002</v>
      </c>
      <c r="B148" s="367" t="s">
        <v>279</v>
      </c>
      <c r="C148" s="279">
        <v>110317</v>
      </c>
      <c r="D148" s="159" t="s">
        <v>865</v>
      </c>
      <c r="E148" s="45">
        <f t="shared" si="5"/>
        <v>37437</v>
      </c>
      <c r="F148" s="148" t="str">
        <f t="shared" si="6"/>
        <v>2001-02</v>
      </c>
      <c r="G148" s="1"/>
      <c r="H148" s="163"/>
      <c r="I148" s="37"/>
      <c r="J148" s="138">
        <f t="shared" si="7"/>
        <v>0.77968490742404351</v>
      </c>
      <c r="K148" s="114"/>
      <c r="L148" s="37">
        <v>64.908070000000009</v>
      </c>
      <c r="M148" s="37" t="s">
        <v>142</v>
      </c>
      <c r="N148" s="37">
        <v>911.6255608847498</v>
      </c>
      <c r="O148" s="132">
        <f t="shared" si="8"/>
        <v>59171.855719696614</v>
      </c>
      <c r="P148" s="134">
        <f t="shared" si="9"/>
        <v>19838.223225035821</v>
      </c>
      <c r="Q148" s="261">
        <v>0.43</v>
      </c>
      <c r="R148" s="94"/>
    </row>
    <row r="149" spans="1:18" x14ac:dyDescent="0.25">
      <c r="A149" s="367">
        <v>2002</v>
      </c>
      <c r="B149" s="367" t="s">
        <v>279</v>
      </c>
      <c r="C149" s="279">
        <v>110317</v>
      </c>
      <c r="D149" s="159" t="s">
        <v>865</v>
      </c>
      <c r="E149" s="45">
        <f t="shared" si="5"/>
        <v>37437</v>
      </c>
      <c r="F149" s="148" t="str">
        <f t="shared" si="6"/>
        <v>2001-02</v>
      </c>
      <c r="G149" s="1"/>
      <c r="H149" s="163"/>
      <c r="I149" s="37"/>
      <c r="J149" s="138">
        <f t="shared" si="7"/>
        <v>0.77968490742404351</v>
      </c>
      <c r="K149" s="114"/>
      <c r="L149" s="37">
        <v>33.2622</v>
      </c>
      <c r="M149" s="37" t="s">
        <v>142</v>
      </c>
      <c r="N149" s="37">
        <v>911.6255608847498</v>
      </c>
      <c r="O149" s="132">
        <f t="shared" si="8"/>
        <v>30322.671731260725</v>
      </c>
      <c r="P149" s="134">
        <f t="shared" si="9"/>
        <v>6383.3749654421736</v>
      </c>
      <c r="Q149" s="261">
        <v>0.27</v>
      </c>
      <c r="R149" s="94"/>
    </row>
    <row r="150" spans="1:18" x14ac:dyDescent="0.25">
      <c r="A150" s="367">
        <v>2002</v>
      </c>
      <c r="B150" s="367" t="s">
        <v>279</v>
      </c>
      <c r="C150" s="279" t="s">
        <v>436</v>
      </c>
      <c r="D150" s="159" t="s">
        <v>871</v>
      </c>
      <c r="E150" s="45">
        <f t="shared" si="5"/>
        <v>37437</v>
      </c>
      <c r="F150" s="148" t="str">
        <f t="shared" si="6"/>
        <v>2001-02</v>
      </c>
      <c r="G150" s="1"/>
      <c r="H150" s="163"/>
      <c r="I150" s="37"/>
      <c r="J150" s="138">
        <f t="shared" si="7"/>
        <v>0.77968490742404351</v>
      </c>
      <c r="K150" s="114"/>
      <c r="L150" s="37">
        <v>293.53399999999999</v>
      </c>
      <c r="M150" s="37" t="s">
        <v>142</v>
      </c>
      <c r="N150" s="37">
        <v>911.6255608847498</v>
      </c>
      <c r="O150" s="132">
        <f t="shared" si="8"/>
        <v>267593.09738874412</v>
      </c>
      <c r="P150" s="134">
        <f t="shared" si="9"/>
        <v>56332.340828511129</v>
      </c>
      <c r="Q150" s="261">
        <v>0.27</v>
      </c>
      <c r="R150" s="94"/>
    </row>
    <row r="151" spans="1:18" x14ac:dyDescent="0.25">
      <c r="A151" s="367">
        <v>2002</v>
      </c>
      <c r="B151" s="367" t="s">
        <v>279</v>
      </c>
      <c r="C151" s="279">
        <v>10004012</v>
      </c>
      <c r="D151" s="159" t="s">
        <v>872</v>
      </c>
      <c r="E151" s="45">
        <f t="shared" ref="E151:E214" si="10">IF(A151&lt;2022,DATEVALUE("30 Jun "&amp;A151),A151)</f>
        <v>37437</v>
      </c>
      <c r="F151" s="148" t="str">
        <f t="shared" si="6"/>
        <v>2001-02</v>
      </c>
      <c r="G151" s="1"/>
      <c r="H151" s="163"/>
      <c r="I151" s="37"/>
      <c r="J151" s="138">
        <f t="shared" si="7"/>
        <v>0.77968490742404351</v>
      </c>
      <c r="K151" s="114"/>
      <c r="L151" s="37">
        <v>145.39159999999998</v>
      </c>
      <c r="M151" s="37" t="s">
        <v>142</v>
      </c>
      <c r="N151" s="37">
        <v>615.26672130384168</v>
      </c>
      <c r="O151" s="132">
        <f t="shared" si="8"/>
        <v>89454.61303711962</v>
      </c>
      <c r="P151" s="134">
        <f t="shared" si="9"/>
        <v>17436.602921125061</v>
      </c>
      <c r="Q151" s="261">
        <v>0.25</v>
      </c>
      <c r="R151" s="94"/>
    </row>
    <row r="152" spans="1:18" x14ac:dyDescent="0.25">
      <c r="A152" s="367">
        <v>2002</v>
      </c>
      <c r="B152" s="367" t="s">
        <v>279</v>
      </c>
      <c r="C152" s="279">
        <v>10004012</v>
      </c>
      <c r="D152" s="159" t="s">
        <v>873</v>
      </c>
      <c r="E152" s="45">
        <f t="shared" si="10"/>
        <v>37437</v>
      </c>
      <c r="F152" s="148" t="str">
        <f t="shared" ref="F152:F215" si="11">IF(E152="","-",IF(OR(E152&lt;$E$15,E152&gt;$E$16),"ERROR - date outside of range",IF(MONTH(E152)&gt;=7,YEAR(E152)&amp;"-"&amp;IF(YEAR(E152)=1999,"00",IF(AND(YEAR(E152)&gt;=2000,YEAR(E152)&lt;2009),"0","")&amp;RIGHT(YEAR(E152),2)+1),RIGHT(YEAR(E152),4)-1&amp;"-"&amp;RIGHT(YEAR(E152),2))))</f>
        <v>2001-02</v>
      </c>
      <c r="G152" s="1"/>
      <c r="H152" s="163"/>
      <c r="I152" s="37"/>
      <c r="J152" s="138">
        <f t="shared" ref="J152:J215" si="12">J151</f>
        <v>0.77968490742404351</v>
      </c>
      <c r="K152" s="114"/>
      <c r="L152" s="37">
        <v>42.88091</v>
      </c>
      <c r="M152" s="37" t="s">
        <v>142</v>
      </c>
      <c r="N152" s="37">
        <v>526.68119860302681</v>
      </c>
      <c r="O152" s="132">
        <f t="shared" ref="O152:O157" si="13">IF(N152="","-",L152*N152)</f>
        <v>22584.569075988518</v>
      </c>
      <c r="P152" s="134">
        <f t="shared" ref="P152:P157" si="14">IF(O152="-","-",IF(OR(E152&lt;$E$15,E152&gt;$E$16),0,O152*J152))*Q152</f>
        <v>2113.0617179068827</v>
      </c>
      <c r="Q152" s="261">
        <v>0.12</v>
      </c>
      <c r="R152" s="94"/>
    </row>
    <row r="153" spans="1:18" x14ac:dyDescent="0.25">
      <c r="A153" s="367">
        <v>2002</v>
      </c>
      <c r="B153" s="367" t="s">
        <v>279</v>
      </c>
      <c r="C153" s="279" t="s">
        <v>437</v>
      </c>
      <c r="D153" s="159" t="s">
        <v>874</v>
      </c>
      <c r="E153" s="45">
        <f t="shared" si="10"/>
        <v>37437</v>
      </c>
      <c r="F153" s="148" t="str">
        <f t="shared" si="11"/>
        <v>2001-02</v>
      </c>
      <c r="G153" s="1"/>
      <c r="H153" s="163"/>
      <c r="I153" s="37"/>
      <c r="J153" s="138">
        <f t="shared" si="12"/>
        <v>0.77968490742404351</v>
      </c>
      <c r="K153" s="114"/>
      <c r="L153" s="37">
        <v>207.27052</v>
      </c>
      <c r="M153" s="37" t="s">
        <v>142</v>
      </c>
      <c r="N153" s="37">
        <v>713.51611920838184</v>
      </c>
      <c r="O153" s="132">
        <f t="shared" si="13"/>
        <v>147890.8570567033</v>
      </c>
      <c r="P153" s="134">
        <f t="shared" si="14"/>
        <v>29980.149990210724</v>
      </c>
      <c r="Q153" s="261">
        <v>0.26</v>
      </c>
      <c r="R153" s="94"/>
    </row>
    <row r="154" spans="1:18" x14ac:dyDescent="0.25">
      <c r="A154" s="367">
        <v>2002</v>
      </c>
      <c r="B154" s="367" t="s">
        <v>279</v>
      </c>
      <c r="C154" s="279" t="s">
        <v>437</v>
      </c>
      <c r="D154" s="159" t="s">
        <v>874</v>
      </c>
      <c r="E154" s="45">
        <f t="shared" si="10"/>
        <v>37437</v>
      </c>
      <c r="F154" s="148" t="str">
        <f t="shared" si="11"/>
        <v>2001-02</v>
      </c>
      <c r="G154" s="1"/>
      <c r="H154" s="163"/>
      <c r="I154" s="37"/>
      <c r="J154" s="138">
        <f t="shared" si="12"/>
        <v>0.77968490742404351</v>
      </c>
      <c r="K154" s="114"/>
      <c r="L154" s="37">
        <v>126.6</v>
      </c>
      <c r="M154" s="37" t="s">
        <v>142</v>
      </c>
      <c r="N154" s="37">
        <v>713.51611920838184</v>
      </c>
      <c r="O154" s="132">
        <f t="shared" si="13"/>
        <v>90331.14069178114</v>
      </c>
      <c r="P154" s="134">
        <f t="shared" si="14"/>
        <v>24650.439473722869</v>
      </c>
      <c r="Q154" s="261">
        <v>0.35</v>
      </c>
      <c r="R154" s="94"/>
    </row>
    <row r="155" spans="1:18" x14ac:dyDescent="0.25">
      <c r="A155" s="367">
        <v>2004</v>
      </c>
      <c r="B155" s="367" t="s">
        <v>279</v>
      </c>
      <c r="C155" s="279" t="s">
        <v>438</v>
      </c>
      <c r="D155" s="159" t="s">
        <v>875</v>
      </c>
      <c r="E155" s="45">
        <f t="shared" si="10"/>
        <v>38168</v>
      </c>
      <c r="F155" s="148" t="str">
        <f t="shared" si="11"/>
        <v>2003-04</v>
      </c>
      <c r="G155" s="1"/>
      <c r="H155" s="163"/>
      <c r="I155" s="37"/>
      <c r="J155" s="138">
        <f t="shared" si="12"/>
        <v>0.77968490742404351</v>
      </c>
      <c r="K155" s="114"/>
      <c r="L155" s="37">
        <v>124.34102</v>
      </c>
      <c r="M155" s="37" t="s">
        <v>142</v>
      </c>
      <c r="N155" s="37">
        <v>459.03407217694991</v>
      </c>
      <c r="O155" s="132">
        <f t="shared" si="13"/>
        <v>57076.764749235575</v>
      </c>
      <c r="P155" s="134">
        <f t="shared" si="14"/>
        <v>8455.3594875186136</v>
      </c>
      <c r="Q155" s="261">
        <v>0.19</v>
      </c>
      <c r="R155" s="94"/>
    </row>
    <row r="156" spans="1:18" x14ac:dyDescent="0.25">
      <c r="A156" s="367">
        <v>2005</v>
      </c>
      <c r="B156" s="367" t="s">
        <v>279</v>
      </c>
      <c r="C156" s="279" t="s">
        <v>439</v>
      </c>
      <c r="D156" s="159" t="s">
        <v>876</v>
      </c>
      <c r="E156" s="45">
        <f t="shared" si="10"/>
        <v>38533</v>
      </c>
      <c r="F156" s="148" t="str">
        <f t="shared" si="11"/>
        <v>2004-05</v>
      </c>
      <c r="G156" s="1"/>
      <c r="H156" s="163"/>
      <c r="I156" s="37"/>
      <c r="J156" s="138">
        <f t="shared" si="12"/>
        <v>0.77968490742404351</v>
      </c>
      <c r="K156" s="114"/>
      <c r="L156" s="37">
        <v>61.5</v>
      </c>
      <c r="M156" s="37" t="s">
        <v>142</v>
      </c>
      <c r="N156" s="37">
        <v>459.03407217694991</v>
      </c>
      <c r="O156" s="132">
        <f t="shared" si="13"/>
        <v>28230.595438882418</v>
      </c>
      <c r="P156" s="134">
        <f t="shared" si="14"/>
        <v>4182.0841463452261</v>
      </c>
      <c r="Q156" s="261">
        <v>0.19</v>
      </c>
      <c r="R156" s="94"/>
    </row>
    <row r="157" spans="1:18" x14ac:dyDescent="0.25">
      <c r="A157" s="367">
        <v>2001</v>
      </c>
      <c r="B157" s="367" t="s">
        <v>279</v>
      </c>
      <c r="C157" s="279" t="s">
        <v>440</v>
      </c>
      <c r="D157" s="159" t="s">
        <v>877</v>
      </c>
      <c r="E157" s="45">
        <f t="shared" si="10"/>
        <v>37072</v>
      </c>
      <c r="F157" s="148" t="str">
        <f t="shared" si="11"/>
        <v>2000-01</v>
      </c>
      <c r="G157" s="1"/>
      <c r="H157" s="163"/>
      <c r="I157" s="37"/>
      <c r="J157" s="138">
        <f t="shared" si="12"/>
        <v>0.77968490742404351</v>
      </c>
      <c r="K157" s="114"/>
      <c r="L157" s="37">
        <v>202</v>
      </c>
      <c r="M157" s="37" t="s">
        <v>142</v>
      </c>
      <c r="N157" s="37">
        <v>459.03407217694991</v>
      </c>
      <c r="O157" s="132">
        <f t="shared" si="13"/>
        <v>92724.882579743877</v>
      </c>
      <c r="P157" s="134">
        <f t="shared" si="14"/>
        <v>13736.276383117653</v>
      </c>
      <c r="Q157" s="261">
        <v>0.19</v>
      </c>
      <c r="R157" s="94"/>
    </row>
    <row r="158" spans="1:18" x14ac:dyDescent="0.25">
      <c r="A158" s="367">
        <v>2002</v>
      </c>
      <c r="B158" s="367" t="s">
        <v>279</v>
      </c>
      <c r="C158" s="279" t="s">
        <v>441</v>
      </c>
      <c r="D158" s="159" t="s">
        <v>878</v>
      </c>
      <c r="E158" s="45">
        <f t="shared" si="10"/>
        <v>37437</v>
      </c>
      <c r="F158" s="148" t="str">
        <f t="shared" si="11"/>
        <v>2001-02</v>
      </c>
      <c r="G158" s="1"/>
      <c r="H158" s="163"/>
      <c r="I158" s="37"/>
      <c r="J158" s="138">
        <f t="shared" si="12"/>
        <v>0.77968490742404351</v>
      </c>
      <c r="K158" s="114"/>
      <c r="L158" s="37">
        <v>118</v>
      </c>
      <c r="M158" s="37" t="s">
        <v>142</v>
      </c>
      <c r="N158" s="37">
        <v>5725.8460582072175</v>
      </c>
      <c r="O158" s="132">
        <f t="shared" ref="O158:O221" si="15">IF(N158="","-",L158*N158)</f>
        <v>675649.8348684517</v>
      </c>
      <c r="P158" s="134">
        <f t="shared" ref="P158:P221" si="16">IF(O158="-","-",IF(OR(E158&lt;$E$15,E158&gt;$E$16),0,O158*J158))*Q158</f>
        <v>168574.0732641533</v>
      </c>
      <c r="Q158" s="261">
        <v>0.32</v>
      </c>
      <c r="R158" s="94"/>
    </row>
    <row r="159" spans="1:18" x14ac:dyDescent="0.25">
      <c r="A159" s="367">
        <v>2002</v>
      </c>
      <c r="B159" s="367" t="s">
        <v>279</v>
      </c>
      <c r="C159" s="279"/>
      <c r="D159" s="159" t="s">
        <v>878</v>
      </c>
      <c r="E159" s="45">
        <f t="shared" si="10"/>
        <v>37437</v>
      </c>
      <c r="F159" s="148" t="str">
        <f t="shared" si="11"/>
        <v>2001-02</v>
      </c>
      <c r="G159" s="1"/>
      <c r="H159" s="163"/>
      <c r="I159" s="37"/>
      <c r="J159" s="138">
        <f t="shared" si="12"/>
        <v>0.77968490742404351</v>
      </c>
      <c r="K159" s="114"/>
      <c r="L159" s="37">
        <v>41</v>
      </c>
      <c r="M159" s="37" t="s">
        <v>142</v>
      </c>
      <c r="N159" s="37">
        <v>5725.8460582072175</v>
      </c>
      <c r="O159" s="132">
        <f t="shared" si="15"/>
        <v>234759.68838649592</v>
      </c>
      <c r="P159" s="134">
        <f t="shared" si="16"/>
        <v>38438.1030403697</v>
      </c>
      <c r="Q159" s="261">
        <v>0.21</v>
      </c>
      <c r="R159" s="94"/>
    </row>
    <row r="160" spans="1:18" x14ac:dyDescent="0.25">
      <c r="A160" s="367">
        <v>2003</v>
      </c>
      <c r="B160" s="367" t="s">
        <v>279</v>
      </c>
      <c r="C160" s="279" t="s">
        <v>442</v>
      </c>
      <c r="D160" s="159" t="s">
        <v>879</v>
      </c>
      <c r="E160" s="45">
        <f t="shared" si="10"/>
        <v>37802</v>
      </c>
      <c r="F160" s="148" t="str">
        <f t="shared" si="11"/>
        <v>2002-03</v>
      </c>
      <c r="G160" s="1"/>
      <c r="H160" s="163"/>
      <c r="I160" s="37"/>
      <c r="J160" s="138">
        <f t="shared" si="12"/>
        <v>0.77968490742404351</v>
      </c>
      <c r="K160" s="114"/>
      <c r="L160" s="37">
        <v>42</v>
      </c>
      <c r="M160" s="37" t="s">
        <v>142</v>
      </c>
      <c r="N160" s="37">
        <v>370.44854947613504</v>
      </c>
      <c r="O160" s="132">
        <f t="shared" si="15"/>
        <v>15558.839077997673</v>
      </c>
      <c r="P160" s="134">
        <f t="shared" si="16"/>
        <v>3032.7480015385513</v>
      </c>
      <c r="Q160" s="261">
        <v>0.25</v>
      </c>
      <c r="R160" s="94"/>
    </row>
    <row r="161" spans="1:18" x14ac:dyDescent="0.25">
      <c r="A161" s="367">
        <v>2005</v>
      </c>
      <c r="B161" s="367" t="s">
        <v>279</v>
      </c>
      <c r="C161" s="279" t="s">
        <v>443</v>
      </c>
      <c r="D161" s="159" t="s">
        <v>880</v>
      </c>
      <c r="E161" s="45">
        <f t="shared" si="10"/>
        <v>38533</v>
      </c>
      <c r="F161" s="148" t="str">
        <f t="shared" si="11"/>
        <v>2004-05</v>
      </c>
      <c r="G161" s="1"/>
      <c r="H161" s="163"/>
      <c r="I161" s="37"/>
      <c r="J161" s="138">
        <f t="shared" si="12"/>
        <v>0.77968490742404351</v>
      </c>
      <c r="K161" s="114"/>
      <c r="L161" s="37">
        <v>25</v>
      </c>
      <c r="M161" s="37" t="s">
        <v>142</v>
      </c>
      <c r="N161" s="37">
        <v>459.03407217694991</v>
      </c>
      <c r="O161" s="132">
        <f t="shared" si="15"/>
        <v>11475.851804423748</v>
      </c>
      <c r="P161" s="134">
        <f t="shared" si="16"/>
        <v>2236.8871129360432</v>
      </c>
      <c r="Q161" s="261">
        <v>0.25</v>
      </c>
      <c r="R161" s="94"/>
    </row>
    <row r="162" spans="1:18" x14ac:dyDescent="0.25">
      <c r="A162" s="367">
        <v>2005</v>
      </c>
      <c r="B162" s="367" t="s">
        <v>279</v>
      </c>
      <c r="C162" s="279"/>
      <c r="D162" s="159" t="s">
        <v>880</v>
      </c>
      <c r="E162" s="45">
        <f t="shared" si="10"/>
        <v>38533</v>
      </c>
      <c r="F162" s="148" t="str">
        <f t="shared" si="11"/>
        <v>2004-05</v>
      </c>
      <c r="G162" s="1"/>
      <c r="H162" s="163"/>
      <c r="I162" s="37"/>
      <c r="J162" s="138">
        <f t="shared" si="12"/>
        <v>0.77968490742404351</v>
      </c>
      <c r="K162" s="114"/>
      <c r="L162" s="37">
        <v>17</v>
      </c>
      <c r="M162" s="37" t="s">
        <v>142</v>
      </c>
      <c r="N162" s="37">
        <v>526.68119860302681</v>
      </c>
      <c r="O162" s="132">
        <f t="shared" si="15"/>
        <v>8953.5803762514552</v>
      </c>
      <c r="P162" s="134">
        <f t="shared" si="16"/>
        <v>1745.2428716928371</v>
      </c>
      <c r="Q162" s="261">
        <v>0.25</v>
      </c>
      <c r="R162" s="94"/>
    </row>
    <row r="163" spans="1:18" ht="23" x14ac:dyDescent="0.25">
      <c r="A163" s="367">
        <v>2005</v>
      </c>
      <c r="B163" s="367" t="s">
        <v>279</v>
      </c>
      <c r="C163" s="279"/>
      <c r="D163" s="159" t="s">
        <v>881</v>
      </c>
      <c r="E163" s="45">
        <f t="shared" si="10"/>
        <v>38533</v>
      </c>
      <c r="F163" s="148" t="str">
        <f t="shared" si="11"/>
        <v>2004-05</v>
      </c>
      <c r="G163" s="1"/>
      <c r="H163" s="163"/>
      <c r="I163" s="37"/>
      <c r="J163" s="138">
        <f t="shared" si="12"/>
        <v>0.77968490742404351</v>
      </c>
      <c r="K163" s="114"/>
      <c r="L163" s="37">
        <v>347</v>
      </c>
      <c r="M163" s="37" t="s">
        <v>142</v>
      </c>
      <c r="N163" s="37">
        <v>370.44854947613504</v>
      </c>
      <c r="O163" s="132">
        <f t="shared" si="15"/>
        <v>128545.64666821886</v>
      </c>
      <c r="P163" s="134">
        <f t="shared" si="16"/>
        <v>100225.10062227403</v>
      </c>
      <c r="Q163" s="261">
        <v>1</v>
      </c>
      <c r="R163" s="94"/>
    </row>
    <row r="164" spans="1:18" ht="23" x14ac:dyDescent="0.25">
      <c r="A164" s="367">
        <v>2005</v>
      </c>
      <c r="B164" s="367" t="s">
        <v>279</v>
      </c>
      <c r="C164" s="279"/>
      <c r="D164" s="159" t="s">
        <v>881</v>
      </c>
      <c r="E164" s="45">
        <f t="shared" si="10"/>
        <v>38533</v>
      </c>
      <c r="F164" s="148" t="str">
        <f t="shared" si="11"/>
        <v>2004-05</v>
      </c>
      <c r="G164" s="1"/>
      <c r="H164" s="163"/>
      <c r="I164" s="37"/>
      <c r="J164" s="138">
        <f t="shared" si="12"/>
        <v>0.77968490742404351</v>
      </c>
      <c r="K164" s="114"/>
      <c r="L164" s="37">
        <v>24</v>
      </c>
      <c r="M164" s="37" t="s">
        <v>142</v>
      </c>
      <c r="N164" s="37">
        <v>459.03407217694991</v>
      </c>
      <c r="O164" s="132">
        <f t="shared" si="15"/>
        <v>11016.817732246798</v>
      </c>
      <c r="P164" s="134">
        <f t="shared" si="16"/>
        <v>8589.6465136744064</v>
      </c>
      <c r="Q164" s="261">
        <v>1</v>
      </c>
      <c r="R164" s="94"/>
    </row>
    <row r="165" spans="1:18" x14ac:dyDescent="0.25">
      <c r="A165" s="367">
        <v>2005</v>
      </c>
      <c r="B165" s="367" t="s">
        <v>279</v>
      </c>
      <c r="C165" s="279" t="s">
        <v>444</v>
      </c>
      <c r="D165" s="159" t="s">
        <v>882</v>
      </c>
      <c r="E165" s="45">
        <f t="shared" si="10"/>
        <v>38533</v>
      </c>
      <c r="F165" s="148" t="str">
        <f t="shared" si="11"/>
        <v>2004-05</v>
      </c>
      <c r="G165" s="1"/>
      <c r="H165" s="163"/>
      <c r="I165" s="37"/>
      <c r="J165" s="138">
        <f t="shared" si="12"/>
        <v>0.77968490742404351</v>
      </c>
      <c r="K165" s="114"/>
      <c r="L165" s="37">
        <v>47</v>
      </c>
      <c r="M165" s="37" t="s">
        <v>142</v>
      </c>
      <c r="N165" s="37">
        <v>370.44854947613504</v>
      </c>
      <c r="O165" s="132">
        <f t="shared" si="15"/>
        <v>17411.081825378347</v>
      </c>
      <c r="P165" s="134">
        <f t="shared" si="16"/>
        <v>12760.648257902209</v>
      </c>
      <c r="Q165" s="261">
        <v>0.94</v>
      </c>
      <c r="R165" s="94"/>
    </row>
    <row r="166" spans="1:18" x14ac:dyDescent="0.25">
      <c r="A166" s="367">
        <v>2005</v>
      </c>
      <c r="B166" s="367" t="s">
        <v>279</v>
      </c>
      <c r="C166" s="279"/>
      <c r="D166" s="159" t="s">
        <v>883</v>
      </c>
      <c r="E166" s="45">
        <f t="shared" si="10"/>
        <v>38533</v>
      </c>
      <c r="F166" s="148" t="str">
        <f t="shared" si="11"/>
        <v>2004-05</v>
      </c>
      <c r="G166" s="1"/>
      <c r="H166" s="163"/>
      <c r="I166" s="37"/>
      <c r="J166" s="138">
        <f t="shared" si="12"/>
        <v>0.77968490742404351</v>
      </c>
      <c r="K166" s="114"/>
      <c r="L166" s="37">
        <v>255</v>
      </c>
      <c r="M166" s="37" t="s">
        <v>142</v>
      </c>
      <c r="N166" s="37">
        <v>459.03407217694991</v>
      </c>
      <c r="O166" s="132">
        <f t="shared" si="15"/>
        <v>117053.68840512223</v>
      </c>
      <c r="P166" s="134">
        <f t="shared" si="16"/>
        <v>91264.994207790558</v>
      </c>
      <c r="Q166" s="261">
        <v>1</v>
      </c>
      <c r="R166" s="94"/>
    </row>
    <row r="167" spans="1:18" x14ac:dyDescent="0.25">
      <c r="A167" s="367">
        <v>2005</v>
      </c>
      <c r="B167" s="367" t="s">
        <v>279</v>
      </c>
      <c r="C167" s="279"/>
      <c r="D167" s="159" t="s">
        <v>884</v>
      </c>
      <c r="E167" s="45">
        <f t="shared" si="10"/>
        <v>38533</v>
      </c>
      <c r="F167" s="148" t="str">
        <f t="shared" si="11"/>
        <v>2004-05</v>
      </c>
      <c r="G167" s="1"/>
      <c r="H167" s="163"/>
      <c r="I167" s="37"/>
      <c r="J167" s="138">
        <f t="shared" si="12"/>
        <v>0.77968490742404351</v>
      </c>
      <c r="K167" s="114"/>
      <c r="L167" s="37">
        <v>1330</v>
      </c>
      <c r="M167" s="37" t="s">
        <v>142</v>
      </c>
      <c r="N167" s="37">
        <v>459.03407217694991</v>
      </c>
      <c r="O167" s="132">
        <f t="shared" si="15"/>
        <v>610515.31599534338</v>
      </c>
      <c r="P167" s="134">
        <f t="shared" si="16"/>
        <v>90441.81975023009</v>
      </c>
      <c r="Q167" s="261">
        <v>0.19</v>
      </c>
      <c r="R167" s="94"/>
    </row>
    <row r="168" spans="1:18" x14ac:dyDescent="0.25">
      <c r="A168" s="367">
        <v>2005</v>
      </c>
      <c r="B168" s="367" t="s">
        <v>279</v>
      </c>
      <c r="C168" s="279"/>
      <c r="D168" s="159" t="s">
        <v>885</v>
      </c>
      <c r="E168" s="45">
        <f t="shared" si="10"/>
        <v>38533</v>
      </c>
      <c r="F168" s="148" t="str">
        <f t="shared" si="11"/>
        <v>2004-05</v>
      </c>
      <c r="G168" s="1"/>
      <c r="H168" s="163"/>
      <c r="I168" s="37"/>
      <c r="J168" s="138">
        <f t="shared" si="12"/>
        <v>0.77968490742404351</v>
      </c>
      <c r="K168" s="114"/>
      <c r="L168" s="37">
        <v>3400</v>
      </c>
      <c r="M168" s="37" t="s">
        <v>142</v>
      </c>
      <c r="N168" s="37">
        <v>459.03407217694991</v>
      </c>
      <c r="O168" s="132">
        <f t="shared" si="15"/>
        <v>1560715.8454016296</v>
      </c>
      <c r="P168" s="134">
        <f t="shared" si="16"/>
        <v>231204.65199306942</v>
      </c>
      <c r="Q168" s="261">
        <v>0.19</v>
      </c>
      <c r="R168" s="94"/>
    </row>
    <row r="169" spans="1:18" ht="23" x14ac:dyDescent="0.25">
      <c r="A169" s="367">
        <v>2004</v>
      </c>
      <c r="B169" s="367" t="s">
        <v>279</v>
      </c>
      <c r="C169" s="279" t="s">
        <v>445</v>
      </c>
      <c r="D169" s="159" t="s">
        <v>886</v>
      </c>
      <c r="E169" s="45">
        <f t="shared" si="10"/>
        <v>38168</v>
      </c>
      <c r="F169" s="148" t="str">
        <f t="shared" si="11"/>
        <v>2003-04</v>
      </c>
      <c r="G169" s="1"/>
      <c r="H169" s="163"/>
      <c r="I169" s="37"/>
      <c r="J169" s="138">
        <f t="shared" si="12"/>
        <v>0.77968490742404351</v>
      </c>
      <c r="K169" s="114"/>
      <c r="L169" s="37">
        <v>53</v>
      </c>
      <c r="M169" s="37" t="s">
        <v>142</v>
      </c>
      <c r="N169" s="37">
        <v>370.44854947613504</v>
      </c>
      <c r="O169" s="132">
        <f t="shared" si="15"/>
        <v>19633.773122235158</v>
      </c>
      <c r="P169" s="134">
        <f t="shared" si="16"/>
        <v>15308.156579194592</v>
      </c>
      <c r="Q169" s="261">
        <v>1</v>
      </c>
      <c r="R169" s="94"/>
    </row>
    <row r="170" spans="1:18" ht="23" x14ac:dyDescent="0.25">
      <c r="A170" s="367">
        <v>2004</v>
      </c>
      <c r="B170" s="367" t="s">
        <v>279</v>
      </c>
      <c r="C170" s="279"/>
      <c r="D170" s="159" t="s">
        <v>886</v>
      </c>
      <c r="E170" s="45">
        <f t="shared" si="10"/>
        <v>38168</v>
      </c>
      <c r="F170" s="148" t="str">
        <f t="shared" si="11"/>
        <v>2003-04</v>
      </c>
      <c r="G170" s="1"/>
      <c r="H170" s="163"/>
      <c r="I170" s="37"/>
      <c r="J170" s="138">
        <f t="shared" si="12"/>
        <v>0.77968490742404351</v>
      </c>
      <c r="K170" s="114"/>
      <c r="L170" s="37">
        <v>62</v>
      </c>
      <c r="M170" s="37" t="s">
        <v>142</v>
      </c>
      <c r="N170" s="37">
        <v>459.03407217694991</v>
      </c>
      <c r="O170" s="132">
        <f t="shared" si="15"/>
        <v>28460.112474970894</v>
      </c>
      <c r="P170" s="134">
        <f t="shared" si="16"/>
        <v>22189.920160325546</v>
      </c>
      <c r="Q170" s="261">
        <v>1</v>
      </c>
      <c r="R170" s="94"/>
    </row>
    <row r="171" spans="1:18" ht="23" x14ac:dyDescent="0.25">
      <c r="A171" s="367">
        <v>2004</v>
      </c>
      <c r="B171" s="367" t="s">
        <v>279</v>
      </c>
      <c r="C171" s="279"/>
      <c r="D171" s="159" t="s">
        <v>886</v>
      </c>
      <c r="E171" s="45">
        <f t="shared" si="10"/>
        <v>38168</v>
      </c>
      <c r="F171" s="148" t="str">
        <f t="shared" si="11"/>
        <v>2003-04</v>
      </c>
      <c r="G171" s="1"/>
      <c r="H171" s="163"/>
      <c r="I171" s="37"/>
      <c r="J171" s="138">
        <f t="shared" si="12"/>
        <v>0.77968490742404351</v>
      </c>
      <c r="K171" s="114"/>
      <c r="L171" s="37">
        <v>310</v>
      </c>
      <c r="M171" s="37" t="s">
        <v>142</v>
      </c>
      <c r="N171" s="37">
        <v>526.68119860302681</v>
      </c>
      <c r="O171" s="132">
        <f t="shared" si="15"/>
        <v>163271.17156693831</v>
      </c>
      <c r="P171" s="134">
        <f t="shared" si="16"/>
        <v>127300.06828818342</v>
      </c>
      <c r="Q171" s="261">
        <v>1</v>
      </c>
      <c r="R171" s="94"/>
    </row>
    <row r="172" spans="1:18" x14ac:dyDescent="0.25">
      <c r="A172" s="367">
        <v>2005</v>
      </c>
      <c r="B172" s="367" t="s">
        <v>279</v>
      </c>
      <c r="C172" s="279"/>
      <c r="D172" s="159" t="s">
        <v>887</v>
      </c>
      <c r="E172" s="45">
        <f t="shared" si="10"/>
        <v>38533</v>
      </c>
      <c r="F172" s="148" t="str">
        <f t="shared" si="11"/>
        <v>2004-05</v>
      </c>
      <c r="G172" s="1"/>
      <c r="H172" s="163"/>
      <c r="I172" s="37"/>
      <c r="J172" s="138">
        <f t="shared" si="12"/>
        <v>0.77968490742404351</v>
      </c>
      <c r="K172" s="114"/>
      <c r="L172" s="37">
        <v>436</v>
      </c>
      <c r="M172" s="37" t="s">
        <v>142</v>
      </c>
      <c r="N172" s="37">
        <v>459.03407217694991</v>
      </c>
      <c r="O172" s="132">
        <f t="shared" si="15"/>
        <v>200138.85546915015</v>
      </c>
      <c r="P172" s="134">
        <f t="shared" si="16"/>
        <v>29648.596549699487</v>
      </c>
      <c r="Q172" s="261">
        <v>0.19</v>
      </c>
      <c r="R172" s="94"/>
    </row>
    <row r="173" spans="1:18" x14ac:dyDescent="0.25">
      <c r="A173" s="367">
        <v>2005</v>
      </c>
      <c r="B173" s="367" t="s">
        <v>279</v>
      </c>
      <c r="C173" s="279"/>
      <c r="D173" s="159" t="s">
        <v>887</v>
      </c>
      <c r="E173" s="45">
        <f t="shared" si="10"/>
        <v>38533</v>
      </c>
      <c r="F173" s="148" t="str">
        <f t="shared" si="11"/>
        <v>2004-05</v>
      </c>
      <c r="G173" s="1"/>
      <c r="H173" s="163"/>
      <c r="I173" s="37"/>
      <c r="J173" s="138">
        <f t="shared" si="12"/>
        <v>0.77968490742404351</v>
      </c>
      <c r="K173" s="114"/>
      <c r="L173" s="37">
        <v>421</v>
      </c>
      <c r="M173" s="37" t="s">
        <v>142</v>
      </c>
      <c r="N173" s="37">
        <v>526.68119860302681</v>
      </c>
      <c r="O173" s="132">
        <f t="shared" si="15"/>
        <v>221732.78461187429</v>
      </c>
      <c r="P173" s="134">
        <f t="shared" si="16"/>
        <v>20745.80467715815</v>
      </c>
      <c r="Q173" s="261">
        <v>0.12</v>
      </c>
      <c r="R173" s="94"/>
    </row>
    <row r="174" spans="1:18" x14ac:dyDescent="0.25">
      <c r="A174" s="367">
        <v>2005</v>
      </c>
      <c r="B174" s="367" t="s">
        <v>279</v>
      </c>
      <c r="C174" s="279"/>
      <c r="D174" s="159" t="s">
        <v>888</v>
      </c>
      <c r="E174" s="45">
        <f t="shared" si="10"/>
        <v>38533</v>
      </c>
      <c r="F174" s="148" t="str">
        <f t="shared" si="11"/>
        <v>2004-05</v>
      </c>
      <c r="G174" s="1"/>
      <c r="H174" s="163"/>
      <c r="I174" s="37"/>
      <c r="J174" s="138">
        <f t="shared" si="12"/>
        <v>0.77968490742404351</v>
      </c>
      <c r="K174" s="114"/>
      <c r="L174" s="37">
        <v>316</v>
      </c>
      <c r="M174" s="37" t="s">
        <v>142</v>
      </c>
      <c r="N174" s="37">
        <v>526.68119860302681</v>
      </c>
      <c r="O174" s="132">
        <f t="shared" si="15"/>
        <v>166431.25875855648</v>
      </c>
      <c r="P174" s="134">
        <f t="shared" si="16"/>
        <v>15571.672869315857</v>
      </c>
      <c r="Q174" s="261">
        <v>0.12</v>
      </c>
      <c r="R174" s="94"/>
    </row>
    <row r="175" spans="1:18" x14ac:dyDescent="0.25">
      <c r="A175" s="367">
        <v>2001</v>
      </c>
      <c r="B175" s="367" t="s">
        <v>279</v>
      </c>
      <c r="C175" s="279" t="s">
        <v>446</v>
      </c>
      <c r="D175" s="159" t="s">
        <v>889</v>
      </c>
      <c r="E175" s="45">
        <f t="shared" si="10"/>
        <v>37072</v>
      </c>
      <c r="F175" s="148" t="str">
        <f t="shared" si="11"/>
        <v>2000-01</v>
      </c>
      <c r="G175" s="1"/>
      <c r="H175" s="163"/>
      <c r="I175" s="37"/>
      <c r="J175" s="138">
        <f t="shared" si="12"/>
        <v>0.77968490742404351</v>
      </c>
      <c r="K175" s="114"/>
      <c r="L175" s="37">
        <v>1330</v>
      </c>
      <c r="M175" s="37" t="s">
        <v>142</v>
      </c>
      <c r="N175" s="37">
        <v>370.44854947613504</v>
      </c>
      <c r="O175" s="132">
        <f t="shared" si="15"/>
        <v>492696.57080325962</v>
      </c>
      <c r="P175" s="134">
        <f t="shared" si="16"/>
        <v>384148.08019488316</v>
      </c>
      <c r="Q175" s="261">
        <v>1</v>
      </c>
      <c r="R175" s="94"/>
    </row>
    <row r="176" spans="1:18" x14ac:dyDescent="0.25">
      <c r="A176" s="367">
        <v>2001</v>
      </c>
      <c r="B176" s="367" t="s">
        <v>279</v>
      </c>
      <c r="C176" s="279" t="s">
        <v>446</v>
      </c>
      <c r="D176" s="159" t="s">
        <v>889</v>
      </c>
      <c r="E176" s="45">
        <f t="shared" si="10"/>
        <v>37072</v>
      </c>
      <c r="F176" s="148" t="str">
        <f t="shared" si="11"/>
        <v>2000-01</v>
      </c>
      <c r="G176" s="1"/>
      <c r="H176" s="163"/>
      <c r="I176" s="37"/>
      <c r="J176" s="138">
        <f t="shared" si="12"/>
        <v>0.77968490742404351</v>
      </c>
      <c r="K176" s="114"/>
      <c r="L176" s="37">
        <v>871</v>
      </c>
      <c r="M176" s="37" t="s">
        <v>142</v>
      </c>
      <c r="N176" s="37">
        <v>459.03407217694991</v>
      </c>
      <c r="O176" s="132">
        <f t="shared" si="15"/>
        <v>399818.67686612339</v>
      </c>
      <c r="P176" s="134">
        <f t="shared" si="16"/>
        <v>311732.58805876697</v>
      </c>
      <c r="Q176" s="261">
        <v>1</v>
      </c>
      <c r="R176" s="94"/>
    </row>
    <row r="177" spans="1:18" x14ac:dyDescent="0.25">
      <c r="A177" s="367">
        <v>2004</v>
      </c>
      <c r="B177" s="367" t="s">
        <v>279</v>
      </c>
      <c r="C177" s="279" t="s">
        <v>447</v>
      </c>
      <c r="D177" s="159" t="s">
        <v>890</v>
      </c>
      <c r="E177" s="45">
        <f t="shared" si="10"/>
        <v>38168</v>
      </c>
      <c r="F177" s="148" t="str">
        <f t="shared" si="11"/>
        <v>2003-04</v>
      </c>
      <c r="G177" s="1"/>
      <c r="H177" s="163"/>
      <c r="I177" s="37"/>
      <c r="J177" s="138">
        <f t="shared" si="12"/>
        <v>0.77968490742404351</v>
      </c>
      <c r="K177" s="114"/>
      <c r="L177" s="37">
        <v>22</v>
      </c>
      <c r="M177" s="37" t="s">
        <v>142</v>
      </c>
      <c r="N177" s="37">
        <v>459.03407217694991</v>
      </c>
      <c r="O177" s="132">
        <f t="shared" si="15"/>
        <v>10098.749587892898</v>
      </c>
      <c r="P177" s="134">
        <f t="shared" si="16"/>
        <v>1496.0301011316255</v>
      </c>
      <c r="Q177" s="261">
        <v>0.19</v>
      </c>
      <c r="R177" s="94"/>
    </row>
    <row r="178" spans="1:18" x14ac:dyDescent="0.25">
      <c r="A178" s="367">
        <v>2004</v>
      </c>
      <c r="B178" s="367" t="s">
        <v>279</v>
      </c>
      <c r="C178" s="279" t="s">
        <v>448</v>
      </c>
      <c r="D178" s="159" t="s">
        <v>891</v>
      </c>
      <c r="E178" s="45">
        <f t="shared" si="10"/>
        <v>38168</v>
      </c>
      <c r="F178" s="148" t="str">
        <f t="shared" si="11"/>
        <v>2003-04</v>
      </c>
      <c r="G178" s="1"/>
      <c r="H178" s="163"/>
      <c r="I178" s="37"/>
      <c r="J178" s="138">
        <f t="shared" si="12"/>
        <v>0.77968490742404351</v>
      </c>
      <c r="K178" s="114"/>
      <c r="L178" s="37">
        <v>53</v>
      </c>
      <c r="M178" s="37" t="s">
        <v>142</v>
      </c>
      <c r="N178" s="37">
        <v>370.44854947613504</v>
      </c>
      <c r="O178" s="132">
        <f t="shared" si="15"/>
        <v>19633.773122235158</v>
      </c>
      <c r="P178" s="134">
        <f t="shared" si="16"/>
        <v>14236.585618650972</v>
      </c>
      <c r="Q178" s="261">
        <v>0.93</v>
      </c>
      <c r="R178" s="94"/>
    </row>
    <row r="179" spans="1:18" x14ac:dyDescent="0.25">
      <c r="A179" s="367">
        <v>2005</v>
      </c>
      <c r="B179" s="367" t="s">
        <v>279</v>
      </c>
      <c r="C179" s="279" t="s">
        <v>449</v>
      </c>
      <c r="D179" s="159" t="s">
        <v>892</v>
      </c>
      <c r="E179" s="45">
        <f t="shared" si="10"/>
        <v>38533</v>
      </c>
      <c r="F179" s="148" t="str">
        <f t="shared" si="11"/>
        <v>2004-05</v>
      </c>
      <c r="G179" s="1"/>
      <c r="H179" s="163"/>
      <c r="I179" s="37"/>
      <c r="J179" s="138">
        <f t="shared" si="12"/>
        <v>0.77968490742404351</v>
      </c>
      <c r="K179" s="114"/>
      <c r="L179" s="37">
        <v>157</v>
      </c>
      <c r="M179" s="37" t="s">
        <v>142</v>
      </c>
      <c r="N179" s="37">
        <v>370.44854947613504</v>
      </c>
      <c r="O179" s="132">
        <f t="shared" si="15"/>
        <v>58160.422267753202</v>
      </c>
      <c r="P179" s="134">
        <f t="shared" si="16"/>
        <v>22219.93369127245</v>
      </c>
      <c r="Q179" s="261">
        <v>0.49</v>
      </c>
      <c r="R179" s="94"/>
    </row>
    <row r="180" spans="1:18" x14ac:dyDescent="0.25">
      <c r="A180" s="367">
        <v>2001</v>
      </c>
      <c r="B180" s="367" t="s">
        <v>279</v>
      </c>
      <c r="C180" s="279">
        <v>110243</v>
      </c>
      <c r="D180" s="159" t="s">
        <v>893</v>
      </c>
      <c r="E180" s="45">
        <f t="shared" si="10"/>
        <v>37072</v>
      </c>
      <c r="F180" s="148" t="str">
        <f t="shared" si="11"/>
        <v>2000-01</v>
      </c>
      <c r="G180" s="1"/>
      <c r="H180" s="163"/>
      <c r="I180" s="37"/>
      <c r="J180" s="138">
        <f t="shared" si="12"/>
        <v>0.77968490742404351</v>
      </c>
      <c r="K180" s="114"/>
      <c r="L180" s="37">
        <v>289.17</v>
      </c>
      <c r="M180" s="37" t="s">
        <v>142</v>
      </c>
      <c r="N180" s="37">
        <v>459.03407217694991</v>
      </c>
      <c r="O180" s="132">
        <f t="shared" si="15"/>
        <v>132738.88265140861</v>
      </c>
      <c r="P180" s="134">
        <f t="shared" si="16"/>
        <v>103494.5034316345</v>
      </c>
      <c r="Q180" s="261">
        <v>1</v>
      </c>
      <c r="R180" s="94"/>
    </row>
    <row r="181" spans="1:18" x14ac:dyDescent="0.25">
      <c r="A181" s="367">
        <v>2001</v>
      </c>
      <c r="B181" s="367" t="s">
        <v>279</v>
      </c>
      <c r="C181" s="279">
        <v>180092</v>
      </c>
      <c r="D181" s="159" t="s">
        <v>894</v>
      </c>
      <c r="E181" s="45">
        <f t="shared" si="10"/>
        <v>37072</v>
      </c>
      <c r="F181" s="148" t="str">
        <f t="shared" si="11"/>
        <v>2000-01</v>
      </c>
      <c r="G181" s="1"/>
      <c r="H181" s="163"/>
      <c r="I181" s="37"/>
      <c r="J181" s="138">
        <f t="shared" si="12"/>
        <v>0.77968490742404351</v>
      </c>
      <c r="K181" s="114"/>
      <c r="L181" s="37">
        <v>60.063400000000001</v>
      </c>
      <c r="M181" s="37" t="s">
        <v>142</v>
      </c>
      <c r="N181" s="37">
        <v>459.03407217694991</v>
      </c>
      <c r="O181" s="132">
        <f t="shared" si="15"/>
        <v>27571.147090793012</v>
      </c>
      <c r="P181" s="134">
        <f t="shared" si="16"/>
        <v>21496.807267059638</v>
      </c>
      <c r="Q181" s="261">
        <v>1</v>
      </c>
      <c r="R181" s="94"/>
    </row>
    <row r="182" spans="1:18" x14ac:dyDescent="0.25">
      <c r="A182" s="367">
        <v>2001</v>
      </c>
      <c r="B182" s="367" t="s">
        <v>279</v>
      </c>
      <c r="C182" s="279">
        <v>180058</v>
      </c>
      <c r="D182" s="159" t="s">
        <v>895</v>
      </c>
      <c r="E182" s="45">
        <f t="shared" si="10"/>
        <v>37072</v>
      </c>
      <c r="F182" s="148" t="str">
        <f t="shared" si="11"/>
        <v>2000-01</v>
      </c>
      <c r="G182" s="1"/>
      <c r="H182" s="163"/>
      <c r="I182" s="37"/>
      <c r="J182" s="138">
        <f t="shared" si="12"/>
        <v>0.77968490742404351</v>
      </c>
      <c r="K182" s="114"/>
      <c r="L182" s="37">
        <v>124.8488</v>
      </c>
      <c r="M182" s="37" t="s">
        <v>142</v>
      </c>
      <c r="N182" s="37">
        <v>459.03407217694991</v>
      </c>
      <c r="O182" s="132">
        <f t="shared" si="15"/>
        <v>57309.853070405581</v>
      </c>
      <c r="P182" s="134">
        <f t="shared" si="16"/>
        <v>44683.627485684709</v>
      </c>
      <c r="Q182" s="261">
        <v>1</v>
      </c>
      <c r="R182" s="94"/>
    </row>
    <row r="183" spans="1:18" x14ac:dyDescent="0.25">
      <c r="A183" s="367">
        <v>2001</v>
      </c>
      <c r="B183" s="367" t="s">
        <v>279</v>
      </c>
      <c r="C183" s="279">
        <v>180089</v>
      </c>
      <c r="D183" s="159" t="s">
        <v>896</v>
      </c>
      <c r="E183" s="45">
        <f t="shared" si="10"/>
        <v>37072</v>
      </c>
      <c r="F183" s="148" t="str">
        <f t="shared" si="11"/>
        <v>2000-01</v>
      </c>
      <c r="G183" s="1"/>
      <c r="H183" s="163"/>
      <c r="I183" s="37"/>
      <c r="J183" s="138">
        <f t="shared" si="12"/>
        <v>0.77968490742404351</v>
      </c>
      <c r="K183" s="114"/>
      <c r="L183" s="37">
        <v>135.22095999999999</v>
      </c>
      <c r="M183" s="37" t="s">
        <v>142</v>
      </c>
      <c r="N183" s="37">
        <v>459.03407217694991</v>
      </c>
      <c r="O183" s="132">
        <f t="shared" si="15"/>
        <v>62071.027912476449</v>
      </c>
      <c r="P183" s="134">
        <f t="shared" si="16"/>
        <v>9195.2102938143398</v>
      </c>
      <c r="Q183" s="261">
        <v>0.19</v>
      </c>
      <c r="R183" s="94"/>
    </row>
    <row r="184" spans="1:18" x14ac:dyDescent="0.25">
      <c r="A184" s="367">
        <v>2001</v>
      </c>
      <c r="B184" s="367" t="s">
        <v>279</v>
      </c>
      <c r="C184" s="279">
        <v>1000765</v>
      </c>
      <c r="D184" s="159" t="s">
        <v>897</v>
      </c>
      <c r="E184" s="45">
        <f t="shared" si="10"/>
        <v>37072</v>
      </c>
      <c r="F184" s="148" t="str">
        <f t="shared" si="11"/>
        <v>2000-01</v>
      </c>
      <c r="G184" s="1"/>
      <c r="H184" s="163"/>
      <c r="I184" s="37"/>
      <c r="J184" s="138">
        <f t="shared" si="12"/>
        <v>0.77968490742404351</v>
      </c>
      <c r="K184" s="114"/>
      <c r="L184" s="37">
        <v>29.628299999999999</v>
      </c>
      <c r="M184" s="37" t="s">
        <v>142</v>
      </c>
      <c r="N184" s="37">
        <v>713.51611920838184</v>
      </c>
      <c r="O184" s="132">
        <f t="shared" si="15"/>
        <v>21140.2696347417</v>
      </c>
      <c r="P184" s="134">
        <f t="shared" si="16"/>
        <v>4285.5147850015546</v>
      </c>
      <c r="Q184" s="261">
        <v>0.26</v>
      </c>
      <c r="R184" s="94"/>
    </row>
    <row r="185" spans="1:18" x14ac:dyDescent="0.25">
      <c r="A185" s="367">
        <v>2002</v>
      </c>
      <c r="B185" s="367" t="s">
        <v>279</v>
      </c>
      <c r="C185" s="279" t="s">
        <v>450</v>
      </c>
      <c r="D185" s="159" t="s">
        <v>898</v>
      </c>
      <c r="E185" s="45">
        <f t="shared" si="10"/>
        <v>37437</v>
      </c>
      <c r="F185" s="148" t="str">
        <f t="shared" si="11"/>
        <v>2001-02</v>
      </c>
      <c r="G185" s="1"/>
      <c r="H185" s="163"/>
      <c r="I185" s="37"/>
      <c r="J185" s="138">
        <f t="shared" si="12"/>
        <v>0.77968490742404351</v>
      </c>
      <c r="K185" s="114"/>
      <c r="L185" s="37">
        <v>2.50013</v>
      </c>
      <c r="M185" s="37" t="s">
        <v>142</v>
      </c>
      <c r="N185" s="37">
        <v>459.03407217694991</v>
      </c>
      <c r="O185" s="132">
        <f t="shared" si="15"/>
        <v>1147.6448548717578</v>
      </c>
      <c r="P185" s="134">
        <f t="shared" si="16"/>
        <v>894.80137242636636</v>
      </c>
      <c r="Q185" s="261">
        <v>1</v>
      </c>
      <c r="R185" s="94"/>
    </row>
    <row r="186" spans="1:18" x14ac:dyDescent="0.25">
      <c r="A186" s="367">
        <v>2002</v>
      </c>
      <c r="B186" s="367" t="s">
        <v>279</v>
      </c>
      <c r="C186" s="279" t="s">
        <v>450</v>
      </c>
      <c r="D186" s="159" t="s">
        <v>899</v>
      </c>
      <c r="E186" s="45">
        <f t="shared" si="10"/>
        <v>37437</v>
      </c>
      <c r="F186" s="148" t="str">
        <f t="shared" si="11"/>
        <v>2001-02</v>
      </c>
      <c r="G186" s="1"/>
      <c r="H186" s="163"/>
      <c r="I186" s="37"/>
      <c r="J186" s="138">
        <f t="shared" si="12"/>
        <v>0.77968490742404351</v>
      </c>
      <c r="K186" s="114"/>
      <c r="L186" s="37">
        <v>130.35509999999999</v>
      </c>
      <c r="M186" s="37" t="s">
        <v>142</v>
      </c>
      <c r="N186" s="37">
        <v>459.03407217694991</v>
      </c>
      <c r="O186" s="132">
        <f t="shared" si="15"/>
        <v>59837.432382033519</v>
      </c>
      <c r="P186" s="134">
        <f t="shared" si="16"/>
        <v>8864.3251561828711</v>
      </c>
      <c r="Q186" s="261">
        <v>0.19</v>
      </c>
      <c r="R186" s="94"/>
    </row>
    <row r="187" spans="1:18" x14ac:dyDescent="0.25">
      <c r="A187" s="367">
        <v>2002</v>
      </c>
      <c r="B187" s="367" t="s">
        <v>279</v>
      </c>
      <c r="C187" s="279" t="s">
        <v>450</v>
      </c>
      <c r="D187" s="159" t="s">
        <v>900</v>
      </c>
      <c r="E187" s="45">
        <f t="shared" si="10"/>
        <v>37437</v>
      </c>
      <c r="F187" s="148" t="str">
        <f t="shared" si="11"/>
        <v>2001-02</v>
      </c>
      <c r="G187" s="1"/>
      <c r="H187" s="163"/>
      <c r="I187" s="37"/>
      <c r="J187" s="138">
        <f t="shared" si="12"/>
        <v>0.77968490742404351</v>
      </c>
      <c r="K187" s="114"/>
      <c r="L187" s="37">
        <v>7.0163200000000003</v>
      </c>
      <c r="M187" s="37" t="s">
        <v>142</v>
      </c>
      <c r="N187" s="37">
        <v>459.03407217694991</v>
      </c>
      <c r="O187" s="132">
        <f t="shared" si="15"/>
        <v>3220.7299412965772</v>
      </c>
      <c r="P187" s="134">
        <f t="shared" si="16"/>
        <v>2511.154526117667</v>
      </c>
      <c r="Q187" s="261">
        <v>1</v>
      </c>
      <c r="R187" s="94"/>
    </row>
    <row r="188" spans="1:18" x14ac:dyDescent="0.25">
      <c r="A188" s="367">
        <v>2002</v>
      </c>
      <c r="B188" s="367" t="s">
        <v>279</v>
      </c>
      <c r="C188" s="279" t="s">
        <v>450</v>
      </c>
      <c r="D188" s="159" t="s">
        <v>898</v>
      </c>
      <c r="E188" s="45">
        <f t="shared" si="10"/>
        <v>37437</v>
      </c>
      <c r="F188" s="148" t="str">
        <f t="shared" si="11"/>
        <v>2001-02</v>
      </c>
      <c r="G188" s="1"/>
      <c r="H188" s="163"/>
      <c r="I188" s="37"/>
      <c r="J188" s="138">
        <f t="shared" si="12"/>
        <v>0.77968490742404351</v>
      </c>
      <c r="K188" s="114"/>
      <c r="L188" s="37">
        <v>360.5</v>
      </c>
      <c r="M188" s="37" t="s">
        <v>142</v>
      </c>
      <c r="N188" s="37">
        <v>459.03407217694991</v>
      </c>
      <c r="O188" s="132">
        <f t="shared" si="15"/>
        <v>165481.78301979046</v>
      </c>
      <c r="P188" s="134">
        <f t="shared" si="16"/>
        <v>24514.493248088686</v>
      </c>
      <c r="Q188" s="261">
        <v>0.19</v>
      </c>
      <c r="R188" s="94"/>
    </row>
    <row r="189" spans="1:18" x14ac:dyDescent="0.25">
      <c r="A189" s="367">
        <v>2002</v>
      </c>
      <c r="B189" s="367" t="s">
        <v>279</v>
      </c>
      <c r="C189" s="279" t="s">
        <v>451</v>
      </c>
      <c r="D189" s="159" t="s">
        <v>901</v>
      </c>
      <c r="E189" s="45">
        <f t="shared" si="10"/>
        <v>37437</v>
      </c>
      <c r="F189" s="148" t="str">
        <f t="shared" si="11"/>
        <v>2001-02</v>
      </c>
      <c r="G189" s="1"/>
      <c r="H189" s="163"/>
      <c r="I189" s="37"/>
      <c r="J189" s="138">
        <f t="shared" si="12"/>
        <v>0.77968490742404351</v>
      </c>
      <c r="K189" s="114"/>
      <c r="L189" s="37">
        <v>201.06604999999999</v>
      </c>
      <c r="M189" s="37" t="s">
        <v>142</v>
      </c>
      <c r="N189" s="37">
        <v>459.03407217694991</v>
      </c>
      <c r="O189" s="132">
        <f t="shared" si="15"/>
        <v>92296.16770803422</v>
      </c>
      <c r="P189" s="134">
        <f t="shared" si="16"/>
        <v>13672.766505256204</v>
      </c>
      <c r="Q189" s="261">
        <v>0.19</v>
      </c>
      <c r="R189" s="94"/>
    </row>
    <row r="190" spans="1:18" x14ac:dyDescent="0.25">
      <c r="A190" s="367">
        <v>2002</v>
      </c>
      <c r="B190" s="367" t="s">
        <v>279</v>
      </c>
      <c r="C190" s="279" t="s">
        <v>452</v>
      </c>
      <c r="D190" s="159" t="s">
        <v>902</v>
      </c>
      <c r="E190" s="45">
        <f t="shared" si="10"/>
        <v>37437</v>
      </c>
      <c r="F190" s="148" t="str">
        <f t="shared" si="11"/>
        <v>2001-02</v>
      </c>
      <c r="G190" s="1"/>
      <c r="H190" s="163"/>
      <c r="I190" s="37"/>
      <c r="J190" s="138">
        <f t="shared" si="12"/>
        <v>0.77968490742404351</v>
      </c>
      <c r="K190" s="114"/>
      <c r="L190" s="37">
        <v>452.8</v>
      </c>
      <c r="M190" s="37" t="s">
        <v>142</v>
      </c>
      <c r="N190" s="37">
        <v>526.68119860302681</v>
      </c>
      <c r="O190" s="132">
        <f t="shared" si="15"/>
        <v>238481.24672745055</v>
      </c>
      <c r="P190" s="134">
        <f t="shared" si="16"/>
        <v>22312.82745324753</v>
      </c>
      <c r="Q190" s="261">
        <v>0.12</v>
      </c>
      <c r="R190" s="94"/>
    </row>
    <row r="191" spans="1:18" x14ac:dyDescent="0.25">
      <c r="A191" s="367">
        <v>2002</v>
      </c>
      <c r="B191" s="367" t="s">
        <v>279</v>
      </c>
      <c r="C191" s="279" t="s">
        <v>452</v>
      </c>
      <c r="D191" s="159" t="s">
        <v>902</v>
      </c>
      <c r="E191" s="45">
        <f t="shared" si="10"/>
        <v>37437</v>
      </c>
      <c r="F191" s="148" t="str">
        <f t="shared" si="11"/>
        <v>2001-02</v>
      </c>
      <c r="G191" s="1"/>
      <c r="H191" s="163"/>
      <c r="I191" s="37"/>
      <c r="J191" s="138">
        <f t="shared" si="12"/>
        <v>0.77968490742404351</v>
      </c>
      <c r="K191" s="114"/>
      <c r="L191" s="37">
        <v>86.4</v>
      </c>
      <c r="M191" s="37" t="s">
        <v>142</v>
      </c>
      <c r="N191" s="37">
        <v>526.68119860302681</v>
      </c>
      <c r="O191" s="132">
        <f t="shared" si="15"/>
        <v>45505.25555930152</v>
      </c>
      <c r="P191" s="134">
        <f t="shared" si="16"/>
        <v>10289.130680737819</v>
      </c>
      <c r="Q191" s="261">
        <v>0.28999999999999998</v>
      </c>
      <c r="R191" s="94"/>
    </row>
    <row r="192" spans="1:18" x14ac:dyDescent="0.25">
      <c r="A192" s="367">
        <v>2002</v>
      </c>
      <c r="B192" s="367" t="s">
        <v>279</v>
      </c>
      <c r="C192" s="279" t="s">
        <v>452</v>
      </c>
      <c r="D192" s="159" t="s">
        <v>903</v>
      </c>
      <c r="E192" s="45">
        <f t="shared" si="10"/>
        <v>37437</v>
      </c>
      <c r="F192" s="148" t="str">
        <f t="shared" si="11"/>
        <v>2001-02</v>
      </c>
      <c r="G192" s="1"/>
      <c r="H192" s="163"/>
      <c r="I192" s="37"/>
      <c r="J192" s="138">
        <f t="shared" si="12"/>
        <v>0.77968490742404351</v>
      </c>
      <c r="K192" s="114"/>
      <c r="L192" s="37">
        <v>31.6327</v>
      </c>
      <c r="M192" s="37" t="s">
        <v>142</v>
      </c>
      <c r="N192" s="37">
        <v>459.03407217694991</v>
      </c>
      <c r="O192" s="132">
        <f t="shared" si="15"/>
        <v>14520.487094951803</v>
      </c>
      <c r="P192" s="134">
        <f t="shared" si="16"/>
        <v>2151.066880912108</v>
      </c>
      <c r="Q192" s="261">
        <v>0.19</v>
      </c>
      <c r="R192" s="94"/>
    </row>
    <row r="193" spans="1:18" x14ac:dyDescent="0.25">
      <c r="A193" s="367">
        <v>2002</v>
      </c>
      <c r="B193" s="367" t="s">
        <v>279</v>
      </c>
      <c r="C193" s="279">
        <v>1000308</v>
      </c>
      <c r="D193" s="159" t="s">
        <v>904</v>
      </c>
      <c r="E193" s="45">
        <f t="shared" si="10"/>
        <v>37437</v>
      </c>
      <c r="F193" s="148" t="str">
        <f t="shared" si="11"/>
        <v>2001-02</v>
      </c>
      <c r="G193" s="1"/>
      <c r="H193" s="163"/>
      <c r="I193" s="37"/>
      <c r="J193" s="138">
        <f t="shared" si="12"/>
        <v>0.77968490742404351</v>
      </c>
      <c r="K193" s="114"/>
      <c r="L193" s="37">
        <v>39.878</v>
      </c>
      <c r="M193" s="37" t="s">
        <v>142</v>
      </c>
      <c r="N193" s="37">
        <v>2148.6015869615835</v>
      </c>
      <c r="O193" s="132">
        <f t="shared" si="15"/>
        <v>85681.934084854031</v>
      </c>
      <c r="P193" s="134">
        <f t="shared" si="16"/>
        <v>38078.799181571572</v>
      </c>
      <c r="Q193" s="261">
        <v>0.56999999999999995</v>
      </c>
      <c r="R193" s="94"/>
    </row>
    <row r="194" spans="1:18" x14ac:dyDescent="0.25">
      <c r="A194" s="367">
        <v>2002</v>
      </c>
      <c r="B194" s="367" t="s">
        <v>279</v>
      </c>
      <c r="C194" s="279">
        <v>180069</v>
      </c>
      <c r="D194" s="159" t="s">
        <v>905</v>
      </c>
      <c r="E194" s="45">
        <f t="shared" si="10"/>
        <v>37437</v>
      </c>
      <c r="F194" s="148" t="str">
        <f t="shared" si="11"/>
        <v>2001-02</v>
      </c>
      <c r="G194" s="1"/>
      <c r="H194" s="163"/>
      <c r="I194" s="37"/>
      <c r="J194" s="138">
        <f t="shared" si="12"/>
        <v>0.77968490742404351</v>
      </c>
      <c r="K194" s="114"/>
      <c r="L194" s="37">
        <v>147.69999999999999</v>
      </c>
      <c r="M194" s="37" t="s">
        <v>142</v>
      </c>
      <c r="N194" s="37">
        <v>526.68119860302681</v>
      </c>
      <c r="O194" s="132">
        <f t="shared" si="15"/>
        <v>77790.813033667058</v>
      </c>
      <c r="P194" s="134">
        <f t="shared" si="16"/>
        <v>7278.2787430314929</v>
      </c>
      <c r="Q194" s="261">
        <v>0.12</v>
      </c>
      <c r="R194" s="94"/>
    </row>
    <row r="195" spans="1:18" x14ac:dyDescent="0.25">
      <c r="A195" s="367">
        <v>2002</v>
      </c>
      <c r="B195" s="367" t="s">
        <v>279</v>
      </c>
      <c r="C195" s="279">
        <v>180069</v>
      </c>
      <c r="D195" s="159" t="s">
        <v>906</v>
      </c>
      <c r="E195" s="45">
        <f t="shared" si="10"/>
        <v>37437</v>
      </c>
      <c r="F195" s="148" t="str">
        <f t="shared" si="11"/>
        <v>2001-02</v>
      </c>
      <c r="G195" s="1"/>
      <c r="H195" s="163"/>
      <c r="I195" s="37"/>
      <c r="J195" s="138">
        <f t="shared" si="12"/>
        <v>0.77968490742404351</v>
      </c>
      <c r="K195" s="114"/>
      <c r="L195" s="37">
        <v>10</v>
      </c>
      <c r="M195" s="37" t="s">
        <v>142</v>
      </c>
      <c r="N195" s="37">
        <v>526.68119860302681</v>
      </c>
      <c r="O195" s="132">
        <f t="shared" si="15"/>
        <v>5266.8119860302686</v>
      </c>
      <c r="P195" s="134">
        <f t="shared" si="16"/>
        <v>492.77445788974234</v>
      </c>
      <c r="Q195" s="261">
        <v>0.12</v>
      </c>
      <c r="R195" s="94"/>
    </row>
    <row r="196" spans="1:18" x14ac:dyDescent="0.25">
      <c r="A196" s="367">
        <v>2002</v>
      </c>
      <c r="B196" s="367" t="s">
        <v>279</v>
      </c>
      <c r="C196" s="279">
        <v>1000683</v>
      </c>
      <c r="D196" s="159" t="s">
        <v>907</v>
      </c>
      <c r="E196" s="45">
        <f t="shared" si="10"/>
        <v>37437</v>
      </c>
      <c r="F196" s="148" t="str">
        <f t="shared" si="11"/>
        <v>2001-02</v>
      </c>
      <c r="G196" s="1"/>
      <c r="H196" s="163"/>
      <c r="I196" s="37"/>
      <c r="J196" s="138">
        <f t="shared" si="12"/>
        <v>0.77968490742404351</v>
      </c>
      <c r="K196" s="114"/>
      <c r="L196" s="37">
        <v>51.277290000000001</v>
      </c>
      <c r="M196" s="37" t="s">
        <v>142</v>
      </c>
      <c r="N196" s="37">
        <v>459.03407217694991</v>
      </c>
      <c r="O196" s="132">
        <f t="shared" si="15"/>
        <v>23538.023238898393</v>
      </c>
      <c r="P196" s="134">
        <f t="shared" si="16"/>
        <v>3486.9258792934411</v>
      </c>
      <c r="Q196" s="261">
        <v>0.19</v>
      </c>
      <c r="R196" s="94"/>
    </row>
    <row r="197" spans="1:18" x14ac:dyDescent="0.25">
      <c r="A197" s="367">
        <v>2002</v>
      </c>
      <c r="B197" s="367" t="s">
        <v>279</v>
      </c>
      <c r="C197" s="279">
        <v>1000683</v>
      </c>
      <c r="D197" s="159" t="s">
        <v>908</v>
      </c>
      <c r="E197" s="45">
        <f t="shared" si="10"/>
        <v>37437</v>
      </c>
      <c r="F197" s="148" t="str">
        <f t="shared" si="11"/>
        <v>2001-02</v>
      </c>
      <c r="G197" s="1"/>
      <c r="H197" s="163"/>
      <c r="I197" s="37"/>
      <c r="J197" s="138">
        <f t="shared" si="12"/>
        <v>0.77968490742404351</v>
      </c>
      <c r="K197" s="114"/>
      <c r="L197" s="37">
        <v>68.565299999999993</v>
      </c>
      <c r="M197" s="37" t="s">
        <v>142</v>
      </c>
      <c r="N197" s="37">
        <v>459.03407217694991</v>
      </c>
      <c r="O197" s="132">
        <f t="shared" si="15"/>
        <v>31473.808869034219</v>
      </c>
      <c r="P197" s="134">
        <f t="shared" si="16"/>
        <v>4662.5342133236472</v>
      </c>
      <c r="Q197" s="261">
        <v>0.19</v>
      </c>
      <c r="R197" s="94"/>
    </row>
    <row r="198" spans="1:18" x14ac:dyDescent="0.25">
      <c r="A198" s="367">
        <v>2002</v>
      </c>
      <c r="B198" s="367" t="s">
        <v>279</v>
      </c>
      <c r="C198" s="279">
        <v>110239</v>
      </c>
      <c r="D198" s="159" t="s">
        <v>909</v>
      </c>
      <c r="E198" s="45">
        <f t="shared" si="10"/>
        <v>37437</v>
      </c>
      <c r="F198" s="148" t="str">
        <f t="shared" si="11"/>
        <v>2001-02</v>
      </c>
      <c r="G198" s="1"/>
      <c r="H198" s="163"/>
      <c r="I198" s="37"/>
      <c r="J198" s="138">
        <f t="shared" si="12"/>
        <v>0.77968490742404351</v>
      </c>
      <c r="K198" s="114"/>
      <c r="L198" s="37">
        <v>36.331200000000003</v>
      </c>
      <c r="M198" s="37" t="s">
        <v>142</v>
      </c>
      <c r="N198" s="37">
        <v>526.68119860302681</v>
      </c>
      <c r="O198" s="132">
        <f t="shared" si="15"/>
        <v>19134.959962686291</v>
      </c>
      <c r="P198" s="134">
        <f t="shared" si="16"/>
        <v>14919.239487069839</v>
      </c>
      <c r="Q198" s="261">
        <v>1</v>
      </c>
      <c r="R198" s="94"/>
    </row>
    <row r="199" spans="1:18" x14ac:dyDescent="0.25">
      <c r="A199" s="367">
        <v>2003</v>
      </c>
      <c r="B199" s="367" t="s">
        <v>279</v>
      </c>
      <c r="C199" s="279">
        <v>10000270</v>
      </c>
      <c r="D199" s="159" t="s">
        <v>910</v>
      </c>
      <c r="E199" s="45">
        <f t="shared" si="10"/>
        <v>37802</v>
      </c>
      <c r="F199" s="148" t="str">
        <f t="shared" si="11"/>
        <v>2002-03</v>
      </c>
      <c r="G199" s="1"/>
      <c r="H199" s="163"/>
      <c r="I199" s="37"/>
      <c r="J199" s="138">
        <f t="shared" si="12"/>
        <v>0.77968490742404351</v>
      </c>
      <c r="K199" s="114"/>
      <c r="L199" s="37">
        <v>19.580850000000002</v>
      </c>
      <c r="M199" s="37" t="s">
        <v>142</v>
      </c>
      <c r="N199" s="37">
        <v>713.51611920838184</v>
      </c>
      <c r="O199" s="132">
        <f t="shared" si="15"/>
        <v>13971.252102801445</v>
      </c>
      <c r="P199" s="134">
        <f t="shared" si="16"/>
        <v>10893.174402370718</v>
      </c>
      <c r="Q199" s="261">
        <v>1</v>
      </c>
      <c r="R199" s="94"/>
    </row>
    <row r="200" spans="1:18" x14ac:dyDescent="0.25">
      <c r="A200" s="367">
        <v>2003</v>
      </c>
      <c r="B200" s="367" t="s">
        <v>279</v>
      </c>
      <c r="C200" s="279" t="s">
        <v>453</v>
      </c>
      <c r="D200" s="159" t="s">
        <v>911</v>
      </c>
      <c r="E200" s="45">
        <f t="shared" si="10"/>
        <v>37802</v>
      </c>
      <c r="F200" s="148" t="str">
        <f t="shared" si="11"/>
        <v>2002-03</v>
      </c>
      <c r="G200" s="1"/>
      <c r="H200" s="163"/>
      <c r="I200" s="37"/>
      <c r="J200" s="138">
        <f t="shared" si="12"/>
        <v>0.77968490742404351</v>
      </c>
      <c r="K200" s="114"/>
      <c r="L200" s="37">
        <v>307.57731999999999</v>
      </c>
      <c r="M200" s="37" t="s">
        <v>142</v>
      </c>
      <c r="N200" s="37">
        <v>459.03407217694991</v>
      </c>
      <c r="O200" s="132">
        <f t="shared" si="15"/>
        <v>141188.46970887281</v>
      </c>
      <c r="P200" s="134">
        <f t="shared" si="16"/>
        <v>20915.678597517926</v>
      </c>
      <c r="Q200" s="261">
        <v>0.19</v>
      </c>
      <c r="R200" s="94"/>
    </row>
    <row r="201" spans="1:18" x14ac:dyDescent="0.25">
      <c r="A201" s="367">
        <v>2003</v>
      </c>
      <c r="B201" s="367" t="s">
        <v>279</v>
      </c>
      <c r="C201" s="279" t="s">
        <v>454</v>
      </c>
      <c r="D201" s="159" t="s">
        <v>912</v>
      </c>
      <c r="E201" s="45">
        <f t="shared" si="10"/>
        <v>37802</v>
      </c>
      <c r="F201" s="148" t="str">
        <f t="shared" si="11"/>
        <v>2002-03</v>
      </c>
      <c r="G201" s="1"/>
      <c r="H201" s="163"/>
      <c r="I201" s="37"/>
      <c r="J201" s="138">
        <f t="shared" si="12"/>
        <v>0.77968490742404351</v>
      </c>
      <c r="K201" s="114"/>
      <c r="L201" s="37">
        <v>709.40589</v>
      </c>
      <c r="M201" s="37" t="s">
        <v>142</v>
      </c>
      <c r="N201" s="37">
        <v>526.68119860302681</v>
      </c>
      <c r="O201" s="132">
        <f t="shared" si="15"/>
        <v>373630.74444124702</v>
      </c>
      <c r="P201" s="134">
        <f t="shared" si="16"/>
        <v>84481.133193230533</v>
      </c>
      <c r="Q201" s="261">
        <v>0.28999999999999998</v>
      </c>
      <c r="R201" s="94"/>
    </row>
    <row r="202" spans="1:18" x14ac:dyDescent="0.25">
      <c r="A202" s="367">
        <v>2003</v>
      </c>
      <c r="B202" s="367" t="s">
        <v>279</v>
      </c>
      <c r="C202" s="279" t="s">
        <v>414</v>
      </c>
      <c r="D202" s="159" t="s">
        <v>913</v>
      </c>
      <c r="E202" s="45">
        <f t="shared" si="10"/>
        <v>37802</v>
      </c>
      <c r="F202" s="148" t="str">
        <f t="shared" si="11"/>
        <v>2002-03</v>
      </c>
      <c r="G202" s="1"/>
      <c r="H202" s="163"/>
      <c r="I202" s="37"/>
      <c r="J202" s="138">
        <f t="shared" si="12"/>
        <v>0.77968490742404351</v>
      </c>
      <c r="K202" s="114"/>
      <c r="L202" s="37">
        <v>95.638409999999993</v>
      </c>
      <c r="M202" s="37" t="s">
        <v>142</v>
      </c>
      <c r="N202" s="37">
        <v>526.68119860302681</v>
      </c>
      <c r="O202" s="132">
        <f t="shared" si="15"/>
        <v>50370.952411287704</v>
      </c>
      <c r="P202" s="134">
        <f t="shared" si="16"/>
        <v>4712.8165641186897</v>
      </c>
      <c r="Q202" s="261">
        <v>0.12</v>
      </c>
      <c r="R202" s="94"/>
    </row>
    <row r="203" spans="1:18" x14ac:dyDescent="0.25">
      <c r="A203" s="367">
        <v>2003</v>
      </c>
      <c r="B203" s="367" t="s">
        <v>279</v>
      </c>
      <c r="C203" s="279" t="s">
        <v>414</v>
      </c>
      <c r="D203" s="159" t="s">
        <v>913</v>
      </c>
      <c r="E203" s="45">
        <f t="shared" si="10"/>
        <v>37802</v>
      </c>
      <c r="F203" s="148" t="str">
        <f t="shared" si="11"/>
        <v>2002-03</v>
      </c>
      <c r="G203" s="1"/>
      <c r="H203" s="163"/>
      <c r="I203" s="37"/>
      <c r="J203" s="138">
        <f t="shared" si="12"/>
        <v>0.77968490742404351</v>
      </c>
      <c r="K203" s="114"/>
      <c r="L203" s="37">
        <v>412.13132000000002</v>
      </c>
      <c r="M203" s="37" t="s">
        <v>142</v>
      </c>
      <c r="N203" s="37">
        <v>459.03407217694991</v>
      </c>
      <c r="O203" s="132">
        <f t="shared" si="15"/>
        <v>189182.31809126164</v>
      </c>
      <c r="P203" s="134">
        <f t="shared" si="16"/>
        <v>28025.493651777742</v>
      </c>
      <c r="Q203" s="261">
        <v>0.19</v>
      </c>
      <c r="R203" s="94"/>
    </row>
    <row r="204" spans="1:18" x14ac:dyDescent="0.25">
      <c r="A204" s="367">
        <v>2003</v>
      </c>
      <c r="B204" s="367" t="s">
        <v>279</v>
      </c>
      <c r="C204" s="279" t="s">
        <v>414</v>
      </c>
      <c r="D204" s="159" t="s">
        <v>914</v>
      </c>
      <c r="E204" s="45">
        <f t="shared" si="10"/>
        <v>37802</v>
      </c>
      <c r="F204" s="148" t="str">
        <f t="shared" si="11"/>
        <v>2002-03</v>
      </c>
      <c r="G204" s="1"/>
      <c r="H204" s="163"/>
      <c r="I204" s="37"/>
      <c r="J204" s="138">
        <f t="shared" si="12"/>
        <v>0.77968490742404351</v>
      </c>
      <c r="K204" s="114"/>
      <c r="L204" s="37">
        <v>9.1784180000000006</v>
      </c>
      <c r="M204" s="37" t="s">
        <v>142</v>
      </c>
      <c r="N204" s="37">
        <v>459.03407217694991</v>
      </c>
      <c r="O204" s="132">
        <f t="shared" si="15"/>
        <v>4213.2065906822163</v>
      </c>
      <c r="P204" s="134">
        <f t="shared" si="16"/>
        <v>3284.9735906144338</v>
      </c>
      <c r="Q204" s="261">
        <v>1</v>
      </c>
      <c r="R204" s="94"/>
    </row>
    <row r="205" spans="1:18" x14ac:dyDescent="0.25">
      <c r="A205" s="367">
        <v>2003</v>
      </c>
      <c r="B205" s="367" t="s">
        <v>279</v>
      </c>
      <c r="C205" s="279" t="s">
        <v>414</v>
      </c>
      <c r="D205" s="159" t="s">
        <v>915</v>
      </c>
      <c r="E205" s="45">
        <f t="shared" si="10"/>
        <v>37802</v>
      </c>
      <c r="F205" s="148" t="str">
        <f t="shared" si="11"/>
        <v>2002-03</v>
      </c>
      <c r="G205" s="1"/>
      <c r="H205" s="163"/>
      <c r="I205" s="37"/>
      <c r="J205" s="138">
        <f t="shared" si="12"/>
        <v>0.77968490742404351</v>
      </c>
      <c r="K205" s="114"/>
      <c r="L205" s="37">
        <v>306</v>
      </c>
      <c r="M205" s="37" t="s">
        <v>142</v>
      </c>
      <c r="N205" s="37">
        <v>459.03407217694991</v>
      </c>
      <c r="O205" s="132">
        <f t="shared" si="15"/>
        <v>140464.42608614668</v>
      </c>
      <c r="P205" s="134">
        <f t="shared" si="16"/>
        <v>20808.418679376249</v>
      </c>
      <c r="Q205" s="261">
        <v>0.19</v>
      </c>
      <c r="R205" s="94"/>
    </row>
    <row r="206" spans="1:18" x14ac:dyDescent="0.25">
      <c r="A206" s="367">
        <v>2003</v>
      </c>
      <c r="B206" s="367" t="s">
        <v>279</v>
      </c>
      <c r="C206" s="279" t="s">
        <v>414</v>
      </c>
      <c r="D206" s="159" t="s">
        <v>916</v>
      </c>
      <c r="E206" s="45">
        <f t="shared" si="10"/>
        <v>37802</v>
      </c>
      <c r="F206" s="148" t="str">
        <f t="shared" si="11"/>
        <v>2002-03</v>
      </c>
      <c r="G206" s="1"/>
      <c r="H206" s="163"/>
      <c r="I206" s="37"/>
      <c r="J206" s="138">
        <f t="shared" si="12"/>
        <v>0.77968490742404351</v>
      </c>
      <c r="K206" s="114"/>
      <c r="L206" s="37">
        <v>159.93493000000001</v>
      </c>
      <c r="M206" s="37" t="s">
        <v>142</v>
      </c>
      <c r="N206" s="37">
        <v>459.03407217694991</v>
      </c>
      <c r="O206" s="132">
        <f t="shared" si="15"/>
        <v>73415.582201235433</v>
      </c>
      <c r="P206" s="134">
        <f t="shared" si="16"/>
        <v>10875.794068289975</v>
      </c>
      <c r="Q206" s="261">
        <v>0.19</v>
      </c>
      <c r="R206" s="94"/>
    </row>
    <row r="207" spans="1:18" x14ac:dyDescent="0.25">
      <c r="A207" s="367">
        <v>2003</v>
      </c>
      <c r="B207" s="367" t="s">
        <v>279</v>
      </c>
      <c r="C207" s="279" t="s">
        <v>414</v>
      </c>
      <c r="D207" s="159" t="s">
        <v>917</v>
      </c>
      <c r="E207" s="45">
        <f t="shared" si="10"/>
        <v>37802</v>
      </c>
      <c r="F207" s="148" t="str">
        <f t="shared" si="11"/>
        <v>2002-03</v>
      </c>
      <c r="G207" s="1"/>
      <c r="H207" s="163"/>
      <c r="I207" s="37"/>
      <c r="J207" s="138">
        <f t="shared" si="12"/>
        <v>0.77968490742404351</v>
      </c>
      <c r="K207" s="114"/>
      <c r="L207" s="37">
        <v>344.28714000000002</v>
      </c>
      <c r="M207" s="37" t="s">
        <v>142</v>
      </c>
      <c r="N207" s="37">
        <v>459.03407217694991</v>
      </c>
      <c r="O207" s="132">
        <f t="shared" si="15"/>
        <v>158039.52787235565</v>
      </c>
      <c r="P207" s="134">
        <f t="shared" si="16"/>
        <v>23411.996585114459</v>
      </c>
      <c r="Q207" s="261">
        <v>0.19</v>
      </c>
      <c r="R207" s="94"/>
    </row>
    <row r="208" spans="1:18" x14ac:dyDescent="0.25">
      <c r="A208" s="367">
        <v>2003</v>
      </c>
      <c r="B208" s="367" t="s">
        <v>279</v>
      </c>
      <c r="C208" s="279" t="s">
        <v>414</v>
      </c>
      <c r="D208" s="159" t="s">
        <v>918</v>
      </c>
      <c r="E208" s="45">
        <f t="shared" si="10"/>
        <v>37802</v>
      </c>
      <c r="F208" s="148" t="str">
        <f t="shared" si="11"/>
        <v>2002-03</v>
      </c>
      <c r="G208" s="1"/>
      <c r="H208" s="163"/>
      <c r="I208" s="37"/>
      <c r="J208" s="138">
        <f t="shared" si="12"/>
        <v>0.77968490742404351</v>
      </c>
      <c r="K208" s="114"/>
      <c r="L208" s="37">
        <v>306.84419000000003</v>
      </c>
      <c r="M208" s="37" t="s">
        <v>142</v>
      </c>
      <c r="N208" s="37">
        <v>459.03407217694991</v>
      </c>
      <c r="O208" s="132">
        <f t="shared" si="15"/>
        <v>140851.93805953773</v>
      </c>
      <c r="P208" s="134">
        <f t="shared" si="16"/>
        <v>20865.824754425081</v>
      </c>
      <c r="Q208" s="261">
        <v>0.19</v>
      </c>
      <c r="R208" s="94"/>
    </row>
    <row r="209" spans="1:18" x14ac:dyDescent="0.25">
      <c r="A209" s="367">
        <v>2003</v>
      </c>
      <c r="B209" s="367" t="s">
        <v>279</v>
      </c>
      <c r="C209" s="279" t="s">
        <v>414</v>
      </c>
      <c r="D209" s="159" t="s">
        <v>919</v>
      </c>
      <c r="E209" s="45">
        <f t="shared" si="10"/>
        <v>37802</v>
      </c>
      <c r="F209" s="148" t="str">
        <f t="shared" si="11"/>
        <v>2002-03</v>
      </c>
      <c r="G209" s="1"/>
      <c r="H209" s="163"/>
      <c r="I209" s="37"/>
      <c r="J209" s="138">
        <f t="shared" si="12"/>
        <v>0.77968490742404351</v>
      </c>
      <c r="K209" s="114"/>
      <c r="L209" s="37">
        <v>146.51152999999999</v>
      </c>
      <c r="M209" s="37" t="s">
        <v>142</v>
      </c>
      <c r="N209" s="37">
        <v>459.03407217694991</v>
      </c>
      <c r="O209" s="132">
        <f t="shared" si="15"/>
        <v>67253.784236775362</v>
      </c>
      <c r="P209" s="134">
        <f t="shared" si="16"/>
        <v>9962.9845019476907</v>
      </c>
      <c r="Q209" s="261">
        <v>0.19</v>
      </c>
      <c r="R209" s="94"/>
    </row>
    <row r="210" spans="1:18" x14ac:dyDescent="0.25">
      <c r="A210" s="367">
        <v>2003</v>
      </c>
      <c r="B210" s="367" t="s">
        <v>279</v>
      </c>
      <c r="C210" s="279" t="s">
        <v>414</v>
      </c>
      <c r="D210" s="159" t="s">
        <v>914</v>
      </c>
      <c r="E210" s="45">
        <f t="shared" si="10"/>
        <v>37802</v>
      </c>
      <c r="F210" s="148" t="str">
        <f t="shared" si="11"/>
        <v>2002-03</v>
      </c>
      <c r="G210" s="1"/>
      <c r="H210" s="163"/>
      <c r="I210" s="37"/>
      <c r="J210" s="138">
        <f t="shared" si="12"/>
        <v>0.77968490742404351</v>
      </c>
      <c r="K210" s="114"/>
      <c r="L210" s="37">
        <v>33.498800000000003</v>
      </c>
      <c r="M210" s="37" t="s">
        <v>142</v>
      </c>
      <c r="N210" s="37">
        <v>459.03407217694991</v>
      </c>
      <c r="O210" s="132">
        <f t="shared" si="15"/>
        <v>15377.09057704121</v>
      </c>
      <c r="P210" s="134">
        <f t="shared" si="16"/>
        <v>2277.9642341721865</v>
      </c>
      <c r="Q210" s="261">
        <v>0.19</v>
      </c>
      <c r="R210" s="94"/>
    </row>
    <row r="211" spans="1:18" x14ac:dyDescent="0.25">
      <c r="A211" s="367">
        <v>2003</v>
      </c>
      <c r="B211" s="367" t="s">
        <v>279</v>
      </c>
      <c r="C211" s="279" t="s">
        <v>414</v>
      </c>
      <c r="D211" s="159" t="s">
        <v>920</v>
      </c>
      <c r="E211" s="45">
        <f t="shared" si="10"/>
        <v>37802</v>
      </c>
      <c r="F211" s="148" t="str">
        <f t="shared" si="11"/>
        <v>2002-03</v>
      </c>
      <c r="G211" s="1"/>
      <c r="H211" s="163"/>
      <c r="I211" s="37"/>
      <c r="J211" s="138">
        <f t="shared" si="12"/>
        <v>0.77968490742404351</v>
      </c>
      <c r="K211" s="114"/>
      <c r="L211" s="37">
        <v>230.23792</v>
      </c>
      <c r="M211" s="37" t="s">
        <v>142</v>
      </c>
      <c r="N211" s="37">
        <v>459.03407217694991</v>
      </c>
      <c r="O211" s="132">
        <f t="shared" si="15"/>
        <v>105687.04998715082</v>
      </c>
      <c r="P211" s="134">
        <f t="shared" si="16"/>
        <v>15656.493579178868</v>
      </c>
      <c r="Q211" s="261">
        <v>0.19</v>
      </c>
      <c r="R211" s="94"/>
    </row>
    <row r="212" spans="1:18" x14ac:dyDescent="0.25">
      <c r="A212" s="367">
        <v>2003</v>
      </c>
      <c r="B212" s="367" t="s">
        <v>279</v>
      </c>
      <c r="C212" s="279" t="s">
        <v>414</v>
      </c>
      <c r="D212" s="159" t="s">
        <v>920</v>
      </c>
      <c r="E212" s="45">
        <f t="shared" si="10"/>
        <v>37802</v>
      </c>
      <c r="F212" s="148" t="str">
        <f t="shared" si="11"/>
        <v>2002-03</v>
      </c>
      <c r="G212" s="1"/>
      <c r="H212" s="163"/>
      <c r="I212" s="37"/>
      <c r="J212" s="138">
        <f t="shared" si="12"/>
        <v>0.77968490742404351</v>
      </c>
      <c r="K212" s="114"/>
      <c r="L212" s="37">
        <v>91.608100000000007</v>
      </c>
      <c r="M212" s="37" t="s">
        <v>142</v>
      </c>
      <c r="N212" s="37">
        <v>526.68119860302681</v>
      </c>
      <c r="O212" s="132">
        <f t="shared" si="15"/>
        <v>48248.263909745947</v>
      </c>
      <c r="P212" s="134">
        <f t="shared" si="16"/>
        <v>10909.348522153914</v>
      </c>
      <c r="Q212" s="261">
        <v>0.28999999999999998</v>
      </c>
      <c r="R212" s="94"/>
    </row>
    <row r="213" spans="1:18" x14ac:dyDescent="0.25">
      <c r="A213" s="367">
        <v>2004</v>
      </c>
      <c r="B213" s="367" t="s">
        <v>279</v>
      </c>
      <c r="C213" s="279" t="s">
        <v>455</v>
      </c>
      <c r="D213" s="159" t="s">
        <v>921</v>
      </c>
      <c r="E213" s="45">
        <f t="shared" si="10"/>
        <v>38168</v>
      </c>
      <c r="F213" s="148" t="str">
        <f t="shared" si="11"/>
        <v>2003-04</v>
      </c>
      <c r="G213" s="1"/>
      <c r="H213" s="163"/>
      <c r="I213" s="37"/>
      <c r="J213" s="138">
        <f t="shared" si="12"/>
        <v>0.77968490742404351</v>
      </c>
      <c r="K213" s="114"/>
      <c r="L213" s="37">
        <v>15.36542</v>
      </c>
      <c r="M213" s="37" t="s">
        <v>142</v>
      </c>
      <c r="N213" s="37">
        <v>459.03407217694991</v>
      </c>
      <c r="O213" s="132">
        <f t="shared" si="15"/>
        <v>7053.2513133091497</v>
      </c>
      <c r="P213" s="134">
        <f t="shared" si="16"/>
        <v>1044.869583478632</v>
      </c>
      <c r="Q213" s="261">
        <v>0.19</v>
      </c>
      <c r="R213" s="94"/>
    </row>
    <row r="214" spans="1:18" x14ac:dyDescent="0.25">
      <c r="A214" s="367">
        <v>2004</v>
      </c>
      <c r="B214" s="367" t="s">
        <v>279</v>
      </c>
      <c r="C214" s="279">
        <v>10008009</v>
      </c>
      <c r="D214" s="159" t="s">
        <v>922</v>
      </c>
      <c r="E214" s="45">
        <f t="shared" si="10"/>
        <v>38168</v>
      </c>
      <c r="F214" s="148" t="str">
        <f t="shared" si="11"/>
        <v>2003-04</v>
      </c>
      <c r="G214" s="1"/>
      <c r="H214" s="163"/>
      <c r="I214" s="37"/>
      <c r="J214" s="138">
        <f t="shared" si="12"/>
        <v>0.77968490742404351</v>
      </c>
      <c r="K214" s="114"/>
      <c r="L214" s="37">
        <v>301.25559999999996</v>
      </c>
      <c r="M214" s="37" t="s">
        <v>142</v>
      </c>
      <c r="N214" s="37">
        <v>459.03407217694991</v>
      </c>
      <c r="O214" s="132">
        <f t="shared" si="15"/>
        <v>138286.58483411034</v>
      </c>
      <c r="P214" s="134">
        <f t="shared" si="16"/>
        <v>20485.792987930388</v>
      </c>
      <c r="Q214" s="261">
        <v>0.19</v>
      </c>
      <c r="R214" s="94"/>
    </row>
    <row r="215" spans="1:18" x14ac:dyDescent="0.25">
      <c r="A215" s="367">
        <v>2004</v>
      </c>
      <c r="B215" s="367" t="s">
        <v>279</v>
      </c>
      <c r="C215" s="279" t="s">
        <v>454</v>
      </c>
      <c r="D215" s="159" t="s">
        <v>923</v>
      </c>
      <c r="E215" s="45">
        <f t="shared" ref="E215:E278" si="17">IF(A215&lt;2022,DATEVALUE("30 Jun "&amp;A215),A215)</f>
        <v>38168</v>
      </c>
      <c r="F215" s="148" t="str">
        <f t="shared" si="11"/>
        <v>2003-04</v>
      </c>
      <c r="G215" s="1"/>
      <c r="H215" s="163"/>
      <c r="I215" s="37"/>
      <c r="J215" s="138">
        <f t="shared" si="12"/>
        <v>0.77968490742404351</v>
      </c>
      <c r="K215" s="114"/>
      <c r="L215" s="37">
        <v>160.20723999999998</v>
      </c>
      <c r="M215" s="37" t="s">
        <v>142</v>
      </c>
      <c r="N215" s="37">
        <v>459.03407217694991</v>
      </c>
      <c r="O215" s="132">
        <f t="shared" si="15"/>
        <v>73540.581769429933</v>
      </c>
      <c r="P215" s="134">
        <f t="shared" si="16"/>
        <v>10894.311520873573</v>
      </c>
      <c r="Q215" s="261">
        <v>0.19</v>
      </c>
      <c r="R215" s="94"/>
    </row>
    <row r="216" spans="1:18" x14ac:dyDescent="0.25">
      <c r="A216" s="367">
        <v>2004</v>
      </c>
      <c r="B216" s="367" t="s">
        <v>279</v>
      </c>
      <c r="C216" s="279" t="s">
        <v>454</v>
      </c>
      <c r="D216" s="159" t="s">
        <v>924</v>
      </c>
      <c r="E216" s="45">
        <f t="shared" si="17"/>
        <v>38168</v>
      </c>
      <c r="F216" s="148" t="str">
        <f t="shared" ref="F216:F279" si="18">IF(E216="","-",IF(OR(E216&lt;$E$15,E216&gt;$E$16),"ERROR - date outside of range",IF(MONTH(E216)&gt;=7,YEAR(E216)&amp;"-"&amp;IF(YEAR(E216)=1999,"00",IF(AND(YEAR(E216)&gt;=2000,YEAR(E216)&lt;2009),"0","")&amp;RIGHT(YEAR(E216),2)+1),RIGHT(YEAR(E216),4)-1&amp;"-"&amp;RIGHT(YEAR(E216),2))))</f>
        <v>2003-04</v>
      </c>
      <c r="G216" s="1"/>
      <c r="H216" s="163"/>
      <c r="I216" s="37"/>
      <c r="J216" s="138">
        <f t="shared" ref="J216:J279" si="19">J215</f>
        <v>0.77968490742404351</v>
      </c>
      <c r="K216" s="114"/>
      <c r="L216" s="37">
        <v>350.89497</v>
      </c>
      <c r="M216" s="37" t="s">
        <v>142</v>
      </c>
      <c r="N216" s="37">
        <v>526.68119860302681</v>
      </c>
      <c r="O216" s="132">
        <f t="shared" si="15"/>
        <v>184809.78338337314</v>
      </c>
      <c r="P216" s="134">
        <f t="shared" si="16"/>
        <v>41787.08566601362</v>
      </c>
      <c r="Q216" s="261">
        <v>0.28999999999999998</v>
      </c>
      <c r="R216" s="94"/>
    </row>
    <row r="217" spans="1:18" x14ac:dyDescent="0.25">
      <c r="A217" s="367">
        <v>2004</v>
      </c>
      <c r="B217" s="367" t="s">
        <v>279</v>
      </c>
      <c r="C217" s="279" t="s">
        <v>454</v>
      </c>
      <c r="D217" s="159" t="s">
        <v>925</v>
      </c>
      <c r="E217" s="45">
        <f t="shared" si="17"/>
        <v>38168</v>
      </c>
      <c r="F217" s="148" t="str">
        <f t="shared" si="18"/>
        <v>2003-04</v>
      </c>
      <c r="G217" s="1"/>
      <c r="H217" s="163"/>
      <c r="I217" s="37"/>
      <c r="J217" s="138">
        <f t="shared" si="19"/>
        <v>0.77968490742404351</v>
      </c>
      <c r="K217" s="114"/>
      <c r="L217" s="37">
        <v>43.915099999999995</v>
      </c>
      <c r="M217" s="37" t="s">
        <v>142</v>
      </c>
      <c r="N217" s="37">
        <v>526.68119860302681</v>
      </c>
      <c r="O217" s="132">
        <f t="shared" si="15"/>
        <v>23129.25750477178</v>
      </c>
      <c r="P217" s="134">
        <f t="shared" si="16"/>
        <v>5229.7245689545061</v>
      </c>
      <c r="Q217" s="261">
        <v>0.28999999999999998</v>
      </c>
      <c r="R217" s="94"/>
    </row>
    <row r="218" spans="1:18" x14ac:dyDescent="0.25">
      <c r="A218" s="367">
        <v>2004</v>
      </c>
      <c r="B218" s="367" t="s">
        <v>279</v>
      </c>
      <c r="C218" s="279" t="s">
        <v>454</v>
      </c>
      <c r="D218" s="159" t="s">
        <v>926</v>
      </c>
      <c r="E218" s="45">
        <f t="shared" si="17"/>
        <v>38168</v>
      </c>
      <c r="F218" s="148" t="str">
        <f t="shared" si="18"/>
        <v>2003-04</v>
      </c>
      <c r="G218" s="1"/>
      <c r="H218" s="163"/>
      <c r="I218" s="37"/>
      <c r="J218" s="138">
        <f t="shared" si="19"/>
        <v>0.77968490742404351</v>
      </c>
      <c r="K218" s="114"/>
      <c r="L218" s="37">
        <v>126.36184</v>
      </c>
      <c r="M218" s="37" t="s">
        <v>142</v>
      </c>
      <c r="N218" s="37">
        <v>459.03407217694991</v>
      </c>
      <c r="O218" s="132">
        <f t="shared" si="15"/>
        <v>58004.3899829722</v>
      </c>
      <c r="P218" s="134">
        <f t="shared" si="16"/>
        <v>8592.778012471741</v>
      </c>
      <c r="Q218" s="261">
        <v>0.19</v>
      </c>
      <c r="R218" s="94"/>
    </row>
    <row r="219" spans="1:18" x14ac:dyDescent="0.25">
      <c r="A219" s="367">
        <v>2004</v>
      </c>
      <c r="B219" s="367" t="s">
        <v>279</v>
      </c>
      <c r="C219" s="279" t="s">
        <v>414</v>
      </c>
      <c r="D219" s="159" t="s">
        <v>914</v>
      </c>
      <c r="E219" s="45">
        <f t="shared" si="17"/>
        <v>38168</v>
      </c>
      <c r="F219" s="148" t="str">
        <f t="shared" si="18"/>
        <v>2003-04</v>
      </c>
      <c r="G219" s="1"/>
      <c r="H219" s="163"/>
      <c r="I219" s="37"/>
      <c r="J219" s="138">
        <f t="shared" si="19"/>
        <v>0.77968490742404351</v>
      </c>
      <c r="K219" s="114"/>
      <c r="L219" s="37">
        <v>458.41394000000003</v>
      </c>
      <c r="M219" s="37" t="s">
        <v>142</v>
      </c>
      <c r="N219" s="37">
        <v>526.68119860302681</v>
      </c>
      <c r="O219" s="132">
        <f t="shared" si="15"/>
        <v>241438.00337553603</v>
      </c>
      <c r="P219" s="134">
        <f t="shared" si="16"/>
        <v>22589.468077260084</v>
      </c>
      <c r="Q219" s="261">
        <v>0.12</v>
      </c>
      <c r="R219" s="94"/>
    </row>
    <row r="220" spans="1:18" x14ac:dyDescent="0.25">
      <c r="A220" s="367">
        <v>2005</v>
      </c>
      <c r="B220" s="367" t="s">
        <v>279</v>
      </c>
      <c r="C220" s="279" t="s">
        <v>456</v>
      </c>
      <c r="D220" s="159" t="s">
        <v>927</v>
      </c>
      <c r="E220" s="45">
        <f t="shared" si="17"/>
        <v>38533</v>
      </c>
      <c r="F220" s="148" t="str">
        <f t="shared" si="18"/>
        <v>2004-05</v>
      </c>
      <c r="G220" s="1"/>
      <c r="H220" s="163"/>
      <c r="I220" s="37"/>
      <c r="J220" s="138">
        <f t="shared" si="19"/>
        <v>0.77968490742404351</v>
      </c>
      <c r="K220" s="114"/>
      <c r="L220" s="37">
        <v>8.4865300000000001</v>
      </c>
      <c r="M220" s="37" t="s">
        <v>142</v>
      </c>
      <c r="N220" s="37">
        <v>526.68119860302681</v>
      </c>
      <c r="O220" s="132">
        <f t="shared" si="15"/>
        <v>4469.6957923805448</v>
      </c>
      <c r="P220" s="134">
        <f t="shared" si="16"/>
        <v>3484.9543500958621</v>
      </c>
      <c r="Q220" s="261">
        <v>1</v>
      </c>
      <c r="R220" s="94"/>
    </row>
    <row r="221" spans="1:18" x14ac:dyDescent="0.25">
      <c r="A221" s="367">
        <v>2005</v>
      </c>
      <c r="B221" s="367" t="s">
        <v>279</v>
      </c>
      <c r="C221" s="279" t="s">
        <v>456</v>
      </c>
      <c r="D221" s="159" t="s">
        <v>928</v>
      </c>
      <c r="E221" s="45">
        <f t="shared" si="17"/>
        <v>38533</v>
      </c>
      <c r="F221" s="148" t="str">
        <f t="shared" si="18"/>
        <v>2004-05</v>
      </c>
      <c r="G221" s="1"/>
      <c r="H221" s="163"/>
      <c r="I221" s="37"/>
      <c r="J221" s="138">
        <f t="shared" si="19"/>
        <v>0.77968490742404351</v>
      </c>
      <c r="K221" s="114"/>
      <c r="L221" s="37">
        <v>2.7269600000000001</v>
      </c>
      <c r="M221" s="37" t="s">
        <v>142</v>
      </c>
      <c r="N221" s="37">
        <v>459.03407217694991</v>
      </c>
      <c r="O221" s="132">
        <f t="shared" si="15"/>
        <v>1251.7675534636553</v>
      </c>
      <c r="P221" s="134">
        <f t="shared" si="16"/>
        <v>975.98426903873155</v>
      </c>
      <c r="Q221" s="261">
        <v>1</v>
      </c>
      <c r="R221" s="94"/>
    </row>
    <row r="222" spans="1:18" x14ac:dyDescent="0.25">
      <c r="A222" s="367">
        <v>2005</v>
      </c>
      <c r="B222" s="367" t="s">
        <v>279</v>
      </c>
      <c r="C222" s="279" t="s">
        <v>457</v>
      </c>
      <c r="D222" s="159" t="s">
        <v>929</v>
      </c>
      <c r="E222" s="45">
        <f t="shared" si="17"/>
        <v>38533</v>
      </c>
      <c r="F222" s="148" t="str">
        <f t="shared" si="18"/>
        <v>2004-05</v>
      </c>
      <c r="G222" s="1"/>
      <c r="H222" s="163"/>
      <c r="I222" s="37"/>
      <c r="J222" s="138">
        <f t="shared" si="19"/>
        <v>0.77968490742404351</v>
      </c>
      <c r="K222" s="114"/>
      <c r="L222" s="37">
        <v>267.88384000000002</v>
      </c>
      <c r="M222" s="37" t="s">
        <v>142</v>
      </c>
      <c r="N222" s="37">
        <v>459.03407217694991</v>
      </c>
      <c r="O222" s="132">
        <f t="shared" ref="O222:O285" si="20">IF(N222="","-",L222*N222)</f>
        <v>122967.80994559851</v>
      </c>
      <c r="P222" s="134">
        <f t="shared" ref="P222:P285" si="21">IF(O222="-","-",IF(OR(E222&lt;$E$15,E222&gt;$E$16),0,O222*J222))*Q222</f>
        <v>18216.467647578556</v>
      </c>
      <c r="Q222" s="261">
        <v>0.19</v>
      </c>
      <c r="R222" s="94"/>
    </row>
    <row r="223" spans="1:18" x14ac:dyDescent="0.25">
      <c r="A223" s="367">
        <v>2005</v>
      </c>
      <c r="B223" s="367" t="s">
        <v>279</v>
      </c>
      <c r="C223" s="279">
        <v>10008009</v>
      </c>
      <c r="D223" s="159" t="s">
        <v>922</v>
      </c>
      <c r="E223" s="45">
        <f t="shared" si="17"/>
        <v>38533</v>
      </c>
      <c r="F223" s="148" t="str">
        <f t="shared" si="18"/>
        <v>2004-05</v>
      </c>
      <c r="G223" s="1"/>
      <c r="H223" s="163"/>
      <c r="I223" s="37"/>
      <c r="J223" s="138">
        <f t="shared" si="19"/>
        <v>0.77968490742404351</v>
      </c>
      <c r="K223" s="114"/>
      <c r="L223" s="37">
        <v>4.8719799999999998</v>
      </c>
      <c r="M223" s="37" t="s">
        <v>142</v>
      </c>
      <c r="N223" s="37">
        <v>713.51611920838184</v>
      </c>
      <c r="O223" s="132">
        <f t="shared" si="20"/>
        <v>3476.2362624608518</v>
      </c>
      <c r="P223" s="134">
        <f t="shared" si="21"/>
        <v>1300.9770952708284</v>
      </c>
      <c r="Q223" s="261">
        <v>0.48</v>
      </c>
      <c r="R223" s="94"/>
    </row>
    <row r="224" spans="1:18" x14ac:dyDescent="0.25">
      <c r="A224" s="367">
        <v>2005</v>
      </c>
      <c r="B224" s="367" t="s">
        <v>279</v>
      </c>
      <c r="C224" s="279" t="s">
        <v>458</v>
      </c>
      <c r="D224" s="159" t="s">
        <v>930</v>
      </c>
      <c r="E224" s="45">
        <f t="shared" si="17"/>
        <v>38533</v>
      </c>
      <c r="F224" s="148" t="str">
        <f t="shared" si="18"/>
        <v>2004-05</v>
      </c>
      <c r="G224" s="1"/>
      <c r="H224" s="163"/>
      <c r="I224" s="37"/>
      <c r="J224" s="138">
        <f t="shared" si="19"/>
        <v>0.77968490742404351</v>
      </c>
      <c r="K224" s="114"/>
      <c r="L224" s="37">
        <v>171.44359</v>
      </c>
      <c r="M224" s="37" t="s">
        <v>142</v>
      </c>
      <c r="N224" s="37">
        <v>459.03407217694991</v>
      </c>
      <c r="O224" s="132">
        <f t="shared" si="20"/>
        <v>78698.449266335403</v>
      </c>
      <c r="P224" s="134">
        <f t="shared" si="21"/>
        <v>11658.398694821315</v>
      </c>
      <c r="Q224" s="261">
        <v>0.19</v>
      </c>
      <c r="R224" s="94"/>
    </row>
    <row r="225" spans="1:18" x14ac:dyDescent="0.25">
      <c r="A225" s="367">
        <v>38936</v>
      </c>
      <c r="B225" s="367" t="s">
        <v>279</v>
      </c>
      <c r="C225" s="279" t="s">
        <v>459</v>
      </c>
      <c r="D225" s="159" t="s">
        <v>931</v>
      </c>
      <c r="E225" s="45">
        <f t="shared" si="17"/>
        <v>38936</v>
      </c>
      <c r="F225" s="148" t="str">
        <f t="shared" si="18"/>
        <v>2006-07</v>
      </c>
      <c r="G225" s="1"/>
      <c r="H225" s="163"/>
      <c r="I225" s="37"/>
      <c r="J225" s="138">
        <f t="shared" si="19"/>
        <v>0.77968490742404351</v>
      </c>
      <c r="K225" s="114"/>
      <c r="L225" s="37">
        <v>2.3999127067499999</v>
      </c>
      <c r="M225" s="37" t="s">
        <v>142</v>
      </c>
      <c r="N225" s="37">
        <v>621.96155034146341</v>
      </c>
      <c r="O225" s="132">
        <f t="shared" si="20"/>
        <v>1492.6534277744079</v>
      </c>
      <c r="P225" s="134">
        <f t="shared" si="21"/>
        <v>1163.7993496504705</v>
      </c>
      <c r="Q225" s="261">
        <v>1</v>
      </c>
      <c r="R225" s="94"/>
    </row>
    <row r="226" spans="1:18" x14ac:dyDescent="0.25">
      <c r="A226" s="367">
        <v>38936</v>
      </c>
      <c r="B226" s="367" t="s">
        <v>279</v>
      </c>
      <c r="C226" s="279" t="s">
        <v>459</v>
      </c>
      <c r="D226" s="159" t="s">
        <v>931</v>
      </c>
      <c r="E226" s="45">
        <f t="shared" si="17"/>
        <v>38936</v>
      </c>
      <c r="F226" s="148" t="str">
        <f t="shared" si="18"/>
        <v>2006-07</v>
      </c>
      <c r="G226" s="1"/>
      <c r="H226" s="163"/>
      <c r="I226" s="37"/>
      <c r="J226" s="138">
        <f t="shared" si="19"/>
        <v>0.77968490742404351</v>
      </c>
      <c r="K226" s="114"/>
      <c r="L226" s="37">
        <v>17.417595816599999</v>
      </c>
      <c r="M226" s="37" t="s">
        <v>142</v>
      </c>
      <c r="N226" s="37">
        <v>621.96155034146341</v>
      </c>
      <c r="O226" s="132">
        <f t="shared" si="20"/>
        <v>10833.074897313523</v>
      </c>
      <c r="P226" s="134">
        <f t="shared" si="21"/>
        <v>8446.3849984296248</v>
      </c>
      <c r="Q226" s="261">
        <v>1</v>
      </c>
      <c r="R226" s="94"/>
    </row>
    <row r="227" spans="1:18" x14ac:dyDescent="0.25">
      <c r="A227" s="367">
        <v>38936</v>
      </c>
      <c r="B227" s="367" t="s">
        <v>279</v>
      </c>
      <c r="C227" s="279" t="s">
        <v>459</v>
      </c>
      <c r="D227" s="159" t="s">
        <v>931</v>
      </c>
      <c r="E227" s="45">
        <f t="shared" si="17"/>
        <v>38936</v>
      </c>
      <c r="F227" s="148" t="str">
        <f t="shared" si="18"/>
        <v>2006-07</v>
      </c>
      <c r="G227" s="1"/>
      <c r="H227" s="163"/>
      <c r="I227" s="37"/>
      <c r="J227" s="138">
        <f t="shared" si="19"/>
        <v>0.77968490742404351</v>
      </c>
      <c r="K227" s="114"/>
      <c r="L227" s="37">
        <v>2.3993569972</v>
      </c>
      <c r="M227" s="37" t="s">
        <v>142</v>
      </c>
      <c r="N227" s="37">
        <v>621.96155034146341</v>
      </c>
      <c r="O227" s="132">
        <f t="shared" si="20"/>
        <v>1492.3077978011502</v>
      </c>
      <c r="P227" s="134">
        <f t="shared" si="21"/>
        <v>1163.529867176768</v>
      </c>
      <c r="Q227" s="261">
        <v>1</v>
      </c>
      <c r="R227" s="94"/>
    </row>
    <row r="228" spans="1:18" x14ac:dyDescent="0.25">
      <c r="A228" s="367">
        <v>38936</v>
      </c>
      <c r="B228" s="367" t="s">
        <v>279</v>
      </c>
      <c r="C228" s="279" t="s">
        <v>459</v>
      </c>
      <c r="D228" s="159" t="s">
        <v>931</v>
      </c>
      <c r="E228" s="45">
        <f t="shared" si="17"/>
        <v>38936</v>
      </c>
      <c r="F228" s="148" t="str">
        <f t="shared" si="18"/>
        <v>2006-07</v>
      </c>
      <c r="G228" s="1"/>
      <c r="H228" s="163"/>
      <c r="I228" s="37"/>
      <c r="J228" s="138">
        <f t="shared" si="19"/>
        <v>0.77968490742404351</v>
      </c>
      <c r="K228" s="114"/>
      <c r="L228" s="37">
        <v>1.6380308299899999</v>
      </c>
      <c r="M228" s="37" t="s">
        <v>142</v>
      </c>
      <c r="N228" s="37">
        <v>621.96155034146341</v>
      </c>
      <c r="O228" s="132">
        <f t="shared" si="20"/>
        <v>1018.7921945276944</v>
      </c>
      <c r="P228" s="134">
        <f t="shared" si="21"/>
        <v>794.33689787466358</v>
      </c>
      <c r="Q228" s="261">
        <v>1</v>
      </c>
      <c r="R228" s="94"/>
    </row>
    <row r="229" spans="1:18" x14ac:dyDescent="0.25">
      <c r="A229" s="367">
        <v>39715</v>
      </c>
      <c r="B229" s="367" t="s">
        <v>279</v>
      </c>
      <c r="C229" s="279" t="s">
        <v>299</v>
      </c>
      <c r="D229" s="159" t="s">
        <v>932</v>
      </c>
      <c r="E229" s="45">
        <f t="shared" si="17"/>
        <v>39715</v>
      </c>
      <c r="F229" s="148" t="str">
        <f t="shared" si="18"/>
        <v>2008-09</v>
      </c>
      <c r="G229" s="1"/>
      <c r="H229" s="163"/>
      <c r="I229" s="37"/>
      <c r="J229" s="138">
        <f t="shared" si="19"/>
        <v>0.77968490742404351</v>
      </c>
      <c r="K229" s="114"/>
      <c r="L229" s="37">
        <v>6.4000556247600002</v>
      </c>
      <c r="M229" s="37" t="s">
        <v>142</v>
      </c>
      <c r="N229" s="37">
        <v>771.6404230243902</v>
      </c>
      <c r="O229" s="132">
        <f t="shared" si="20"/>
        <v>4938.5416296694348</v>
      </c>
      <c r="P229" s="134">
        <f t="shared" si="21"/>
        <v>3850.5063733385982</v>
      </c>
      <c r="Q229" s="261">
        <v>1</v>
      </c>
      <c r="R229" s="94"/>
    </row>
    <row r="230" spans="1:18" x14ac:dyDescent="0.25">
      <c r="A230" s="367">
        <v>39679</v>
      </c>
      <c r="B230" s="367" t="s">
        <v>279</v>
      </c>
      <c r="C230" s="279" t="s">
        <v>299</v>
      </c>
      <c r="D230" s="159" t="s">
        <v>933</v>
      </c>
      <c r="E230" s="45">
        <f t="shared" si="17"/>
        <v>39679</v>
      </c>
      <c r="F230" s="148" t="str">
        <f t="shared" si="18"/>
        <v>2008-09</v>
      </c>
      <c r="G230" s="1"/>
      <c r="H230" s="163"/>
      <c r="I230" s="37"/>
      <c r="J230" s="138">
        <f t="shared" si="19"/>
        <v>0.77968490742404351</v>
      </c>
      <c r="K230" s="114"/>
      <c r="L230" s="37">
        <v>6.09926061093</v>
      </c>
      <c r="M230" s="37" t="s">
        <v>142</v>
      </c>
      <c r="N230" s="37">
        <v>514.18436487804865</v>
      </c>
      <c r="O230" s="132">
        <f t="shared" si="20"/>
        <v>3136.1444434567411</v>
      </c>
      <c r="P230" s="134">
        <f t="shared" si="21"/>
        <v>2445.2044900649976</v>
      </c>
      <c r="Q230" s="261">
        <v>1</v>
      </c>
      <c r="R230" s="94"/>
    </row>
    <row r="231" spans="1:18" x14ac:dyDescent="0.25">
      <c r="A231" s="367">
        <v>39745</v>
      </c>
      <c r="B231" s="367" t="s">
        <v>279</v>
      </c>
      <c r="C231" s="279" t="s">
        <v>460</v>
      </c>
      <c r="D231" s="159" t="s">
        <v>932</v>
      </c>
      <c r="E231" s="45">
        <f t="shared" si="17"/>
        <v>39745</v>
      </c>
      <c r="F231" s="148" t="str">
        <f t="shared" si="18"/>
        <v>2008-09</v>
      </c>
      <c r="G231" s="1"/>
      <c r="H231" s="163"/>
      <c r="I231" s="37"/>
      <c r="J231" s="138">
        <f t="shared" si="19"/>
        <v>0.77968490742404351</v>
      </c>
      <c r="K231" s="114"/>
      <c r="L231" s="37">
        <v>5.9994466411499996</v>
      </c>
      <c r="M231" s="37" t="s">
        <v>142</v>
      </c>
      <c r="N231" s="37">
        <v>2042.4636684878049</v>
      </c>
      <c r="O231" s="132">
        <f t="shared" si="20"/>
        <v>12253.651795580066</v>
      </c>
      <c r="P231" s="134">
        <f t="shared" si="21"/>
        <v>9553.987365843308</v>
      </c>
      <c r="Q231" s="261">
        <v>1</v>
      </c>
      <c r="R231" s="94"/>
    </row>
    <row r="232" spans="1:18" x14ac:dyDescent="0.25">
      <c r="A232" s="367">
        <v>39800</v>
      </c>
      <c r="B232" s="367" t="s">
        <v>279</v>
      </c>
      <c r="C232" s="279" t="s">
        <v>461</v>
      </c>
      <c r="D232" s="159" t="s">
        <v>934</v>
      </c>
      <c r="E232" s="45">
        <f t="shared" si="17"/>
        <v>39800</v>
      </c>
      <c r="F232" s="148" t="str">
        <f t="shared" si="18"/>
        <v>2008-09</v>
      </c>
      <c r="G232" s="1"/>
      <c r="H232" s="163"/>
      <c r="I232" s="37"/>
      <c r="J232" s="138">
        <f t="shared" si="19"/>
        <v>0.77968490742404351</v>
      </c>
      <c r="K232" s="114"/>
      <c r="L232" s="37">
        <v>2.4995689628400002</v>
      </c>
      <c r="M232" s="37" t="s">
        <v>142</v>
      </c>
      <c r="N232" s="37">
        <v>696.6467060487804</v>
      </c>
      <c r="O232" s="132">
        <f t="shared" si="20"/>
        <v>1741.3164845042525</v>
      </c>
      <c r="P232" s="134">
        <f t="shared" si="21"/>
        <v>1357.6781820166589</v>
      </c>
      <c r="Q232" s="261">
        <v>1</v>
      </c>
      <c r="R232" s="94"/>
    </row>
    <row r="233" spans="1:18" x14ac:dyDescent="0.25">
      <c r="A233" s="367">
        <v>39548</v>
      </c>
      <c r="B233" s="367" t="s">
        <v>279</v>
      </c>
      <c r="C233" s="279" t="s">
        <v>299</v>
      </c>
      <c r="D233" s="159" t="s">
        <v>935</v>
      </c>
      <c r="E233" s="45">
        <f t="shared" si="17"/>
        <v>39548</v>
      </c>
      <c r="F233" s="148" t="str">
        <f t="shared" si="18"/>
        <v>2007-08</v>
      </c>
      <c r="G233" s="1"/>
      <c r="H233" s="163"/>
      <c r="I233" s="37"/>
      <c r="J233" s="138">
        <f t="shared" si="19"/>
        <v>0.77968490742404351</v>
      </c>
      <c r="K233" s="114"/>
      <c r="L233" s="37">
        <v>5.9795272631199996</v>
      </c>
      <c r="M233" s="37" t="s">
        <v>142</v>
      </c>
      <c r="N233" s="37">
        <v>1272.2340968780488</v>
      </c>
      <c r="O233" s="132">
        <f t="shared" si="20"/>
        <v>7607.3584673531441</v>
      </c>
      <c r="P233" s="134">
        <f t="shared" si="21"/>
        <v>5931.3425823597499</v>
      </c>
      <c r="Q233" s="261">
        <v>1</v>
      </c>
      <c r="R233" s="94"/>
    </row>
    <row r="234" spans="1:18" x14ac:dyDescent="0.25">
      <c r="A234" s="367">
        <v>39745</v>
      </c>
      <c r="B234" s="367" t="s">
        <v>279</v>
      </c>
      <c r="C234" s="279" t="s">
        <v>299</v>
      </c>
      <c r="D234" s="159" t="s">
        <v>936</v>
      </c>
      <c r="E234" s="45">
        <f t="shared" si="17"/>
        <v>39745</v>
      </c>
      <c r="F234" s="148" t="str">
        <f t="shared" si="18"/>
        <v>2008-09</v>
      </c>
      <c r="G234" s="1"/>
      <c r="H234" s="163"/>
      <c r="I234" s="37"/>
      <c r="J234" s="138">
        <f t="shared" si="19"/>
        <v>0.77968490742404351</v>
      </c>
      <c r="K234" s="114"/>
      <c r="L234" s="37">
        <v>6.39960564095</v>
      </c>
      <c r="M234" s="37" t="s">
        <v>142</v>
      </c>
      <c r="N234" s="37">
        <v>771.6404230243902</v>
      </c>
      <c r="O234" s="132">
        <f t="shared" si="20"/>
        <v>4938.1944039719319</v>
      </c>
      <c r="P234" s="134">
        <f t="shared" si="21"/>
        <v>3850.2356467027853</v>
      </c>
      <c r="Q234" s="261">
        <v>1</v>
      </c>
      <c r="R234" s="94"/>
    </row>
    <row r="235" spans="1:18" x14ac:dyDescent="0.25">
      <c r="A235" s="367">
        <v>39800</v>
      </c>
      <c r="B235" s="367" t="s">
        <v>279</v>
      </c>
      <c r="C235" s="279" t="s">
        <v>299</v>
      </c>
      <c r="D235" s="159" t="s">
        <v>937</v>
      </c>
      <c r="E235" s="45">
        <f t="shared" si="17"/>
        <v>39800</v>
      </c>
      <c r="F235" s="148" t="str">
        <f t="shared" si="18"/>
        <v>2008-09</v>
      </c>
      <c r="G235" s="1"/>
      <c r="H235" s="163"/>
      <c r="I235" s="37"/>
      <c r="J235" s="138">
        <f t="shared" si="19"/>
        <v>0.77968490742404351</v>
      </c>
      <c r="K235" s="114"/>
      <c r="L235" s="37">
        <v>2.4996849801500001</v>
      </c>
      <c r="M235" s="37" t="s">
        <v>142</v>
      </c>
      <c r="N235" s="37">
        <v>621.96155034146341</v>
      </c>
      <c r="O235" s="132">
        <f t="shared" si="20"/>
        <v>1554.7079456193642</v>
      </c>
      <c r="P235" s="134">
        <f t="shared" si="21"/>
        <v>1212.1823206516588</v>
      </c>
      <c r="Q235" s="261">
        <v>1</v>
      </c>
      <c r="R235" s="94"/>
    </row>
    <row r="236" spans="1:18" x14ac:dyDescent="0.25">
      <c r="A236" s="367">
        <v>39800</v>
      </c>
      <c r="B236" s="367" t="s">
        <v>279</v>
      </c>
      <c r="C236" s="279" t="s">
        <v>299</v>
      </c>
      <c r="D236" s="159" t="s">
        <v>937</v>
      </c>
      <c r="E236" s="45">
        <f t="shared" si="17"/>
        <v>39800</v>
      </c>
      <c r="F236" s="148" t="str">
        <f t="shared" si="18"/>
        <v>2008-09</v>
      </c>
      <c r="G236" s="1"/>
      <c r="H236" s="163"/>
      <c r="I236" s="37"/>
      <c r="J236" s="138">
        <f t="shared" si="19"/>
        <v>0.77968490742404351</v>
      </c>
      <c r="K236" s="114"/>
      <c r="L236" s="37">
        <v>1.4988328792800001</v>
      </c>
      <c r="M236" s="37" t="s">
        <v>142</v>
      </c>
      <c r="N236" s="37">
        <v>621.96155034146341</v>
      </c>
      <c r="O236" s="132">
        <f t="shared" si="20"/>
        <v>932.21642129974828</v>
      </c>
      <c r="P236" s="134">
        <f t="shared" si="21"/>
        <v>726.83507414026735</v>
      </c>
      <c r="Q236" s="261">
        <v>1</v>
      </c>
      <c r="R236" s="94"/>
    </row>
    <row r="237" spans="1:18" x14ac:dyDescent="0.25">
      <c r="A237" s="367">
        <v>39800</v>
      </c>
      <c r="B237" s="367" t="s">
        <v>279</v>
      </c>
      <c r="C237" s="279" t="s">
        <v>299</v>
      </c>
      <c r="D237" s="159" t="s">
        <v>937</v>
      </c>
      <c r="E237" s="45">
        <f t="shared" si="17"/>
        <v>39800</v>
      </c>
      <c r="F237" s="148" t="str">
        <f t="shared" si="18"/>
        <v>2008-09</v>
      </c>
      <c r="G237" s="1"/>
      <c r="H237" s="163"/>
      <c r="I237" s="37"/>
      <c r="J237" s="138">
        <f t="shared" si="19"/>
        <v>0.77968490742404351</v>
      </c>
      <c r="K237" s="114"/>
      <c r="L237" s="37">
        <v>4.9999325038500002</v>
      </c>
      <c r="M237" s="37" t="s">
        <v>142</v>
      </c>
      <c r="N237" s="37">
        <v>470.74786858536584</v>
      </c>
      <c r="O237" s="132">
        <f t="shared" si="20"/>
        <v>2353.7075692580793</v>
      </c>
      <c r="P237" s="134">
        <f t="shared" si="21"/>
        <v>1835.1502682402561</v>
      </c>
      <c r="Q237" s="261">
        <v>1</v>
      </c>
      <c r="R237" s="94"/>
    </row>
    <row r="238" spans="1:18" x14ac:dyDescent="0.25">
      <c r="A238" s="367">
        <v>40075</v>
      </c>
      <c r="B238" s="367" t="s">
        <v>279</v>
      </c>
      <c r="C238" s="279" t="s">
        <v>462</v>
      </c>
      <c r="D238" s="159" t="s">
        <v>938</v>
      </c>
      <c r="E238" s="45">
        <f t="shared" si="17"/>
        <v>40075</v>
      </c>
      <c r="F238" s="148" t="str">
        <f t="shared" si="18"/>
        <v>2009-10</v>
      </c>
      <c r="G238" s="1"/>
      <c r="H238" s="163"/>
      <c r="I238" s="37"/>
      <c r="J238" s="138">
        <f t="shared" si="19"/>
        <v>0.77968490742404351</v>
      </c>
      <c r="K238" s="114"/>
      <c r="L238" s="37">
        <v>218.486935276</v>
      </c>
      <c r="M238" s="37" t="s">
        <v>142</v>
      </c>
      <c r="N238" s="37">
        <v>1422.8419512195119</v>
      </c>
      <c r="O238" s="132">
        <f t="shared" si="20"/>
        <v>310872.37730407505</v>
      </c>
      <c r="P238" s="134">
        <f t="shared" si="21"/>
        <v>242382.50071902008</v>
      </c>
      <c r="Q238" s="261">
        <v>1</v>
      </c>
      <c r="R238" s="94"/>
    </row>
    <row r="239" spans="1:18" x14ac:dyDescent="0.25">
      <c r="A239" s="367">
        <v>40075</v>
      </c>
      <c r="B239" s="367" t="s">
        <v>279</v>
      </c>
      <c r="C239" s="279" t="s">
        <v>462</v>
      </c>
      <c r="D239" s="159" t="s">
        <v>938</v>
      </c>
      <c r="E239" s="45">
        <f t="shared" si="17"/>
        <v>40075</v>
      </c>
      <c r="F239" s="148" t="str">
        <f t="shared" si="18"/>
        <v>2009-10</v>
      </c>
      <c r="G239" s="1"/>
      <c r="H239" s="163"/>
      <c r="I239" s="37"/>
      <c r="J239" s="138">
        <f t="shared" si="19"/>
        <v>0.77968490742404351</v>
      </c>
      <c r="K239" s="114"/>
      <c r="L239" s="37">
        <v>99.711674074200005</v>
      </c>
      <c r="M239" s="37" t="s">
        <v>142</v>
      </c>
      <c r="N239" s="37">
        <v>470.74786858536584</v>
      </c>
      <c r="O239" s="132">
        <f t="shared" si="20"/>
        <v>46939.058043508332</v>
      </c>
      <c r="P239" s="134">
        <f t="shared" si="21"/>
        <v>36597.675125224596</v>
      </c>
      <c r="Q239" s="261">
        <v>1</v>
      </c>
      <c r="R239" s="94"/>
    </row>
    <row r="240" spans="1:18" x14ac:dyDescent="0.25">
      <c r="A240" s="367">
        <v>40075</v>
      </c>
      <c r="B240" s="367" t="s">
        <v>279</v>
      </c>
      <c r="C240" s="279" t="s">
        <v>462</v>
      </c>
      <c r="D240" s="159" t="s">
        <v>938</v>
      </c>
      <c r="E240" s="45">
        <f t="shared" si="17"/>
        <v>40075</v>
      </c>
      <c r="F240" s="148" t="str">
        <f t="shared" si="18"/>
        <v>2009-10</v>
      </c>
      <c r="G240" s="1"/>
      <c r="H240" s="163"/>
      <c r="I240" s="37"/>
      <c r="J240" s="138">
        <f t="shared" si="19"/>
        <v>0.77968490742404351</v>
      </c>
      <c r="K240" s="114"/>
      <c r="L240" s="37">
        <v>7.5479051233899996</v>
      </c>
      <c r="M240" s="37" t="s">
        <v>142</v>
      </c>
      <c r="N240" s="37">
        <v>1422.8419512195119</v>
      </c>
      <c r="O240" s="132">
        <f t="shared" si="20"/>
        <v>10739.476053383978</v>
      </c>
      <c r="P240" s="134">
        <f t="shared" si="21"/>
        <v>8373.4073924654185</v>
      </c>
      <c r="Q240" s="261">
        <v>1</v>
      </c>
      <c r="R240" s="94"/>
    </row>
    <row r="241" spans="1:18" x14ac:dyDescent="0.25">
      <c r="A241" s="367">
        <v>40075</v>
      </c>
      <c r="B241" s="367" t="s">
        <v>279</v>
      </c>
      <c r="C241" s="279" t="s">
        <v>462</v>
      </c>
      <c r="D241" s="159" t="s">
        <v>938</v>
      </c>
      <c r="E241" s="45">
        <f t="shared" si="17"/>
        <v>40075</v>
      </c>
      <c r="F241" s="148" t="str">
        <f t="shared" si="18"/>
        <v>2009-10</v>
      </c>
      <c r="G241" s="1"/>
      <c r="H241" s="163"/>
      <c r="I241" s="37"/>
      <c r="J241" s="138">
        <f t="shared" si="19"/>
        <v>0.77968490742404351</v>
      </c>
      <c r="K241" s="114"/>
      <c r="L241" s="37">
        <v>2.0225152657000001</v>
      </c>
      <c r="M241" s="37" t="s">
        <v>142</v>
      </c>
      <c r="N241" s="37">
        <v>936.5640883902438</v>
      </c>
      <c r="O241" s="132">
        <f t="shared" si="20"/>
        <v>1894.2151660756722</v>
      </c>
      <c r="P241" s="134">
        <f t="shared" si="21"/>
        <v>1476.8909764029297</v>
      </c>
      <c r="Q241" s="261">
        <v>1</v>
      </c>
      <c r="R241" s="94"/>
    </row>
    <row r="242" spans="1:18" x14ac:dyDescent="0.25">
      <c r="A242" s="367">
        <v>40075</v>
      </c>
      <c r="B242" s="367" t="s">
        <v>279</v>
      </c>
      <c r="C242" s="279" t="s">
        <v>462</v>
      </c>
      <c r="D242" s="159" t="s">
        <v>938</v>
      </c>
      <c r="E242" s="45">
        <f t="shared" si="17"/>
        <v>40075</v>
      </c>
      <c r="F242" s="148" t="str">
        <f t="shared" si="18"/>
        <v>2009-10</v>
      </c>
      <c r="G242" s="1"/>
      <c r="H242" s="163"/>
      <c r="I242" s="37"/>
      <c r="J242" s="138">
        <f t="shared" si="19"/>
        <v>0.77968490742404351</v>
      </c>
      <c r="K242" s="114"/>
      <c r="L242" s="37">
        <v>4.2023404641899997</v>
      </c>
      <c r="M242" s="37" t="s">
        <v>142</v>
      </c>
      <c r="N242" s="37">
        <v>514.18436487804865</v>
      </c>
      <c r="O242" s="132">
        <f t="shared" si="20"/>
        <v>2160.777762580859</v>
      </c>
      <c r="P242" s="134">
        <f t="shared" si="21"/>
        <v>1684.7258097817889</v>
      </c>
      <c r="Q242" s="261">
        <v>1</v>
      </c>
      <c r="R242" s="94"/>
    </row>
    <row r="243" spans="1:18" x14ac:dyDescent="0.25">
      <c r="A243" s="367">
        <v>40075</v>
      </c>
      <c r="B243" s="367" t="s">
        <v>279</v>
      </c>
      <c r="C243" s="279" t="s">
        <v>462</v>
      </c>
      <c r="D243" s="159" t="s">
        <v>938</v>
      </c>
      <c r="E243" s="45">
        <f t="shared" si="17"/>
        <v>40075</v>
      </c>
      <c r="F243" s="148" t="str">
        <f t="shared" si="18"/>
        <v>2009-10</v>
      </c>
      <c r="G243" s="1"/>
      <c r="H243" s="163"/>
      <c r="I243" s="37"/>
      <c r="J243" s="138">
        <f t="shared" si="19"/>
        <v>0.77968490742404351</v>
      </c>
      <c r="K243" s="114"/>
      <c r="L243" s="37">
        <v>4.2018071698200004</v>
      </c>
      <c r="M243" s="37" t="s">
        <v>142</v>
      </c>
      <c r="N243" s="37">
        <v>514.18436487804865</v>
      </c>
      <c r="O243" s="132">
        <f t="shared" si="20"/>
        <v>2160.503550953928</v>
      </c>
      <c r="P243" s="134">
        <f t="shared" si="21"/>
        <v>1684.5120111148306</v>
      </c>
      <c r="Q243" s="261">
        <v>1</v>
      </c>
      <c r="R243" s="94"/>
    </row>
    <row r="244" spans="1:18" x14ac:dyDescent="0.25">
      <c r="A244" s="367">
        <v>40075</v>
      </c>
      <c r="B244" s="367" t="s">
        <v>279</v>
      </c>
      <c r="C244" s="279" t="s">
        <v>462</v>
      </c>
      <c r="D244" s="159" t="s">
        <v>938</v>
      </c>
      <c r="E244" s="45">
        <f t="shared" si="17"/>
        <v>40075</v>
      </c>
      <c r="F244" s="148" t="str">
        <f t="shared" si="18"/>
        <v>2009-10</v>
      </c>
      <c r="G244" s="1"/>
      <c r="H244" s="163"/>
      <c r="I244" s="37"/>
      <c r="J244" s="138">
        <f t="shared" si="19"/>
        <v>0.77968490742404351</v>
      </c>
      <c r="K244" s="114"/>
      <c r="L244" s="37">
        <v>24.995063138500001</v>
      </c>
      <c r="M244" s="37" t="s">
        <v>142</v>
      </c>
      <c r="N244" s="37">
        <v>470.74786858536584</v>
      </c>
      <c r="O244" s="132">
        <f t="shared" si="20"/>
        <v>11766.37269760552</v>
      </c>
      <c r="P244" s="134">
        <f t="shared" si="21"/>
        <v>9174.0632074493533</v>
      </c>
      <c r="Q244" s="261">
        <v>1</v>
      </c>
      <c r="R244" s="94"/>
    </row>
    <row r="245" spans="1:18" x14ac:dyDescent="0.25">
      <c r="A245" s="367">
        <v>40075</v>
      </c>
      <c r="B245" s="367" t="s">
        <v>279</v>
      </c>
      <c r="C245" s="279" t="s">
        <v>462</v>
      </c>
      <c r="D245" s="159" t="s">
        <v>938</v>
      </c>
      <c r="E245" s="45">
        <f t="shared" si="17"/>
        <v>40075</v>
      </c>
      <c r="F245" s="148" t="str">
        <f t="shared" si="18"/>
        <v>2009-10</v>
      </c>
      <c r="G245" s="1"/>
      <c r="H245" s="163"/>
      <c r="I245" s="37"/>
      <c r="J245" s="138">
        <f t="shared" si="19"/>
        <v>0.77968490742404351</v>
      </c>
      <c r="K245" s="114"/>
      <c r="L245" s="37">
        <v>16.906779003299999</v>
      </c>
      <c r="M245" s="37" t="s">
        <v>142</v>
      </c>
      <c r="N245" s="37">
        <v>470.74786858536584</v>
      </c>
      <c r="O245" s="132">
        <f t="shared" si="20"/>
        <v>7958.8301804472903</v>
      </c>
      <c r="P245" s="134">
        <f t="shared" si="21"/>
        <v>6205.379772445729</v>
      </c>
      <c r="Q245" s="261">
        <v>1</v>
      </c>
      <c r="R245" s="94"/>
    </row>
    <row r="246" spans="1:18" x14ac:dyDescent="0.25">
      <c r="A246" s="367">
        <v>40075</v>
      </c>
      <c r="B246" s="367" t="s">
        <v>279</v>
      </c>
      <c r="C246" s="279" t="s">
        <v>462</v>
      </c>
      <c r="D246" s="159" t="s">
        <v>938</v>
      </c>
      <c r="E246" s="45">
        <f t="shared" si="17"/>
        <v>40075</v>
      </c>
      <c r="F246" s="148" t="str">
        <f t="shared" si="18"/>
        <v>2009-10</v>
      </c>
      <c r="G246" s="1"/>
      <c r="H246" s="163"/>
      <c r="I246" s="37"/>
      <c r="J246" s="138">
        <f t="shared" si="19"/>
        <v>0.77968490742404351</v>
      </c>
      <c r="K246" s="114"/>
      <c r="L246" s="37">
        <v>3.6847487066200002</v>
      </c>
      <c r="M246" s="37" t="s">
        <v>142</v>
      </c>
      <c r="N246" s="37">
        <v>470.74786858536584</v>
      </c>
      <c r="O246" s="132">
        <f t="shared" si="20"/>
        <v>1734.5875999140485</v>
      </c>
      <c r="P246" s="134">
        <f t="shared" si="21"/>
        <v>1352.4317722578787</v>
      </c>
      <c r="Q246" s="261">
        <v>1</v>
      </c>
      <c r="R246" s="94"/>
    </row>
    <row r="247" spans="1:18" x14ac:dyDescent="0.25">
      <c r="A247" s="367">
        <v>40075</v>
      </c>
      <c r="B247" s="367" t="s">
        <v>279</v>
      </c>
      <c r="C247" s="279" t="s">
        <v>462</v>
      </c>
      <c r="D247" s="159" t="s">
        <v>938</v>
      </c>
      <c r="E247" s="45">
        <f t="shared" si="17"/>
        <v>40075</v>
      </c>
      <c r="F247" s="148" t="str">
        <f t="shared" si="18"/>
        <v>2009-10</v>
      </c>
      <c r="G247" s="1"/>
      <c r="H247" s="163"/>
      <c r="I247" s="37"/>
      <c r="J247" s="138">
        <f t="shared" si="19"/>
        <v>0.77968490742404351</v>
      </c>
      <c r="K247" s="114"/>
      <c r="L247" s="37">
        <v>1.13764141978</v>
      </c>
      <c r="M247" s="37" t="s">
        <v>142</v>
      </c>
      <c r="N247" s="37">
        <v>470.74786858536584</v>
      </c>
      <c r="O247" s="132">
        <f t="shared" si="20"/>
        <v>535.54227357586444</v>
      </c>
      <c r="P247" s="134">
        <f t="shared" si="21"/>
        <v>417.55422799465964</v>
      </c>
      <c r="Q247" s="261">
        <v>1</v>
      </c>
      <c r="R247" s="94"/>
    </row>
    <row r="248" spans="1:18" x14ac:dyDescent="0.25">
      <c r="A248" s="367">
        <v>40075</v>
      </c>
      <c r="B248" s="367" t="s">
        <v>279</v>
      </c>
      <c r="C248" s="279" t="s">
        <v>462</v>
      </c>
      <c r="D248" s="159" t="s">
        <v>938</v>
      </c>
      <c r="E248" s="45">
        <f t="shared" si="17"/>
        <v>40075</v>
      </c>
      <c r="F248" s="148" t="str">
        <f t="shared" si="18"/>
        <v>2009-10</v>
      </c>
      <c r="G248" s="1"/>
      <c r="H248" s="163"/>
      <c r="I248" s="37"/>
      <c r="J248" s="138">
        <f t="shared" si="19"/>
        <v>0.77968490742404351</v>
      </c>
      <c r="K248" s="114"/>
      <c r="L248" s="37">
        <v>2.5739636623600002</v>
      </c>
      <c r="M248" s="37" t="s">
        <v>142</v>
      </c>
      <c r="N248" s="37">
        <v>470.74786858536584</v>
      </c>
      <c r="O248" s="132">
        <f t="shared" si="20"/>
        <v>1211.6879078721524</v>
      </c>
      <c r="P248" s="134">
        <f t="shared" si="21"/>
        <v>944.73477427613216</v>
      </c>
      <c r="Q248" s="261">
        <v>1</v>
      </c>
      <c r="R248" s="94"/>
    </row>
    <row r="249" spans="1:18" x14ac:dyDescent="0.25">
      <c r="A249" s="367">
        <v>40075</v>
      </c>
      <c r="B249" s="367" t="s">
        <v>279</v>
      </c>
      <c r="C249" s="279" t="s">
        <v>462</v>
      </c>
      <c r="D249" s="159" t="s">
        <v>939</v>
      </c>
      <c r="E249" s="45">
        <f t="shared" si="17"/>
        <v>40075</v>
      </c>
      <c r="F249" s="148" t="str">
        <f t="shared" si="18"/>
        <v>2009-10</v>
      </c>
      <c r="G249" s="1"/>
      <c r="H249" s="163"/>
      <c r="I249" s="37"/>
      <c r="J249" s="138">
        <f t="shared" si="19"/>
        <v>0.77968490742404351</v>
      </c>
      <c r="K249" s="114"/>
      <c r="L249" s="37">
        <v>9.2974356147100004</v>
      </c>
      <c r="M249" s="37" t="s">
        <v>142</v>
      </c>
      <c r="N249" s="37">
        <v>1422.8419512195119</v>
      </c>
      <c r="O249" s="132">
        <f t="shared" si="20"/>
        <v>13228.781431371759</v>
      </c>
      <c r="P249" s="134">
        <f t="shared" si="21"/>
        <v>10314.281225651996</v>
      </c>
      <c r="Q249" s="261">
        <v>1</v>
      </c>
      <c r="R249" s="94"/>
    </row>
    <row r="250" spans="1:18" x14ac:dyDescent="0.25">
      <c r="A250" s="367">
        <v>40075</v>
      </c>
      <c r="B250" s="367" t="s">
        <v>279</v>
      </c>
      <c r="C250" s="279" t="s">
        <v>462</v>
      </c>
      <c r="D250" s="159" t="s">
        <v>939</v>
      </c>
      <c r="E250" s="45">
        <f t="shared" si="17"/>
        <v>40075</v>
      </c>
      <c r="F250" s="148" t="str">
        <f t="shared" si="18"/>
        <v>2009-10</v>
      </c>
      <c r="G250" s="1"/>
      <c r="H250" s="163"/>
      <c r="I250" s="37"/>
      <c r="J250" s="138">
        <f t="shared" si="19"/>
        <v>0.77968490742404351</v>
      </c>
      <c r="K250" s="114"/>
      <c r="L250" s="37">
        <v>66.122772844799997</v>
      </c>
      <c r="M250" s="37" t="s">
        <v>142</v>
      </c>
      <c r="N250" s="37">
        <v>2042.4636684878049</v>
      </c>
      <c r="O250" s="132">
        <f t="shared" si="20"/>
        <v>135053.361195176</v>
      </c>
      <c r="P250" s="134">
        <f t="shared" si="21"/>
        <v>105299.0674207667</v>
      </c>
      <c r="Q250" s="261">
        <v>1</v>
      </c>
      <c r="R250" s="94"/>
    </row>
    <row r="251" spans="1:18" x14ac:dyDescent="0.25">
      <c r="A251" s="367">
        <v>40075</v>
      </c>
      <c r="B251" s="367" t="s">
        <v>279</v>
      </c>
      <c r="C251" s="279" t="s">
        <v>462</v>
      </c>
      <c r="D251" s="159" t="s">
        <v>939</v>
      </c>
      <c r="E251" s="45">
        <f t="shared" si="17"/>
        <v>40075</v>
      </c>
      <c r="F251" s="148" t="str">
        <f t="shared" si="18"/>
        <v>2009-10</v>
      </c>
      <c r="G251" s="1"/>
      <c r="H251" s="163"/>
      <c r="I251" s="37"/>
      <c r="J251" s="138">
        <f t="shared" si="19"/>
        <v>0.77968490742404351</v>
      </c>
      <c r="K251" s="114"/>
      <c r="L251" s="37">
        <v>2.4231190643499998</v>
      </c>
      <c r="M251" s="37" t="s">
        <v>142</v>
      </c>
      <c r="N251" s="37">
        <v>1422.8419512195119</v>
      </c>
      <c r="O251" s="132">
        <f t="shared" si="20"/>
        <v>3447.7154575569516</v>
      </c>
      <c r="P251" s="134">
        <f t="shared" si="21"/>
        <v>2688.1317073497357</v>
      </c>
      <c r="Q251" s="261">
        <v>1</v>
      </c>
      <c r="R251" s="94"/>
    </row>
    <row r="252" spans="1:18" x14ac:dyDescent="0.25">
      <c r="A252" s="367">
        <v>40075</v>
      </c>
      <c r="B252" s="367" t="s">
        <v>279</v>
      </c>
      <c r="C252" s="279" t="s">
        <v>462</v>
      </c>
      <c r="D252" s="159" t="s">
        <v>939</v>
      </c>
      <c r="E252" s="45">
        <f t="shared" si="17"/>
        <v>40075</v>
      </c>
      <c r="F252" s="148" t="str">
        <f t="shared" si="18"/>
        <v>2009-10</v>
      </c>
      <c r="G252" s="1"/>
      <c r="H252" s="163"/>
      <c r="I252" s="37"/>
      <c r="J252" s="138">
        <f t="shared" si="19"/>
        <v>0.77968490742404351</v>
      </c>
      <c r="K252" s="114"/>
      <c r="L252" s="37">
        <v>146.372780877</v>
      </c>
      <c r="M252" s="37" t="s">
        <v>142</v>
      </c>
      <c r="N252" s="37">
        <v>1422.8419512195119</v>
      </c>
      <c r="O252" s="132">
        <f t="shared" si="20"/>
        <v>208265.33314845673</v>
      </c>
      <c r="P252" s="134">
        <f t="shared" si="21"/>
        <v>162381.33699549208</v>
      </c>
      <c r="Q252" s="261">
        <v>1</v>
      </c>
      <c r="R252" s="94"/>
    </row>
    <row r="253" spans="1:18" x14ac:dyDescent="0.25">
      <c r="A253" s="367">
        <v>40075</v>
      </c>
      <c r="B253" s="367" t="s">
        <v>279</v>
      </c>
      <c r="C253" s="279" t="s">
        <v>462</v>
      </c>
      <c r="D253" s="159" t="s">
        <v>939</v>
      </c>
      <c r="E253" s="45">
        <f t="shared" si="17"/>
        <v>40075</v>
      </c>
      <c r="F253" s="148" t="str">
        <f t="shared" si="18"/>
        <v>2009-10</v>
      </c>
      <c r="G253" s="1"/>
      <c r="H253" s="163"/>
      <c r="I253" s="37"/>
      <c r="J253" s="138">
        <f t="shared" si="19"/>
        <v>0.77968490742404351</v>
      </c>
      <c r="K253" s="114"/>
      <c r="L253" s="37">
        <v>26.846957297900001</v>
      </c>
      <c r="M253" s="37" t="s">
        <v>142</v>
      </c>
      <c r="N253" s="37">
        <v>1422.8419512195119</v>
      </c>
      <c r="O253" s="132">
        <f t="shared" si="20"/>
        <v>38198.977106050952</v>
      </c>
      <c r="P253" s="134">
        <f t="shared" si="21"/>
        <v>29783.165928624494</v>
      </c>
      <c r="Q253" s="261">
        <v>1</v>
      </c>
      <c r="R253" s="94"/>
    </row>
    <row r="254" spans="1:18" x14ac:dyDescent="0.25">
      <c r="A254" s="367">
        <v>40075</v>
      </c>
      <c r="B254" s="367" t="s">
        <v>279</v>
      </c>
      <c r="C254" s="279" t="s">
        <v>462</v>
      </c>
      <c r="D254" s="159" t="s">
        <v>939</v>
      </c>
      <c r="E254" s="45">
        <f t="shared" si="17"/>
        <v>40075</v>
      </c>
      <c r="F254" s="148" t="str">
        <f t="shared" si="18"/>
        <v>2009-10</v>
      </c>
      <c r="G254" s="1"/>
      <c r="H254" s="163"/>
      <c r="I254" s="37"/>
      <c r="J254" s="138">
        <f t="shared" si="19"/>
        <v>0.77968490742404351</v>
      </c>
      <c r="K254" s="114"/>
      <c r="L254" s="37">
        <v>1.7995902311400001</v>
      </c>
      <c r="M254" s="37" t="s">
        <v>142</v>
      </c>
      <c r="N254" s="37">
        <v>514.18436487804865</v>
      </c>
      <c r="O254" s="132">
        <f t="shared" si="20"/>
        <v>925.32116003946169</v>
      </c>
      <c r="P254" s="134">
        <f t="shared" si="21"/>
        <v>721.45894300287625</v>
      </c>
      <c r="Q254" s="261">
        <v>1</v>
      </c>
      <c r="R254" s="94"/>
    </row>
    <row r="255" spans="1:18" x14ac:dyDescent="0.25">
      <c r="A255" s="367">
        <v>40075</v>
      </c>
      <c r="B255" s="367" t="s">
        <v>279</v>
      </c>
      <c r="C255" s="279" t="s">
        <v>462</v>
      </c>
      <c r="D255" s="159" t="s">
        <v>939</v>
      </c>
      <c r="E255" s="45">
        <f t="shared" si="17"/>
        <v>40075</v>
      </c>
      <c r="F255" s="148" t="str">
        <f t="shared" si="18"/>
        <v>2009-10</v>
      </c>
      <c r="G255" s="1"/>
      <c r="H255" s="163"/>
      <c r="I255" s="37"/>
      <c r="J255" s="138">
        <f t="shared" si="19"/>
        <v>0.77968490742404351</v>
      </c>
      <c r="K255" s="114"/>
      <c r="L255" s="37">
        <v>2.3981430316000001</v>
      </c>
      <c r="M255" s="37" t="s">
        <v>142</v>
      </c>
      <c r="N255" s="37">
        <v>621.96155034146341</v>
      </c>
      <c r="O255" s="132">
        <f t="shared" si="20"/>
        <v>1491.5527578745132</v>
      </c>
      <c r="P255" s="134">
        <f t="shared" si="21"/>
        <v>1162.9411739414666</v>
      </c>
      <c r="Q255" s="261">
        <v>1</v>
      </c>
      <c r="R255" s="94"/>
    </row>
    <row r="256" spans="1:18" x14ac:dyDescent="0.25">
      <c r="A256" s="367">
        <v>40075</v>
      </c>
      <c r="B256" s="367" t="s">
        <v>279</v>
      </c>
      <c r="C256" s="279" t="s">
        <v>462</v>
      </c>
      <c r="D256" s="159" t="s">
        <v>939</v>
      </c>
      <c r="E256" s="45">
        <f t="shared" si="17"/>
        <v>40075</v>
      </c>
      <c r="F256" s="148" t="str">
        <f t="shared" si="18"/>
        <v>2009-10</v>
      </c>
      <c r="G256" s="1"/>
      <c r="H256" s="163"/>
      <c r="I256" s="37"/>
      <c r="J256" s="138">
        <f t="shared" si="19"/>
        <v>0.77968490742404351</v>
      </c>
      <c r="K256" s="114"/>
      <c r="L256" s="37">
        <v>1.7993801710599999</v>
      </c>
      <c r="M256" s="37" t="s">
        <v>142</v>
      </c>
      <c r="N256" s="37">
        <v>936.5640883902438</v>
      </c>
      <c r="O256" s="132">
        <f t="shared" si="20"/>
        <v>1685.2348495762897</v>
      </c>
      <c r="P256" s="134">
        <f t="shared" si="21"/>
        <v>1313.9521776796612</v>
      </c>
      <c r="Q256" s="261">
        <v>1</v>
      </c>
      <c r="R256" s="94"/>
    </row>
    <row r="257" spans="1:18" x14ac:dyDescent="0.25">
      <c r="A257" s="367">
        <v>40075</v>
      </c>
      <c r="B257" s="367" t="s">
        <v>279</v>
      </c>
      <c r="C257" s="279" t="s">
        <v>462</v>
      </c>
      <c r="D257" s="159" t="s">
        <v>939</v>
      </c>
      <c r="E257" s="45">
        <f t="shared" si="17"/>
        <v>40075</v>
      </c>
      <c r="F257" s="148" t="str">
        <f t="shared" si="18"/>
        <v>2009-10</v>
      </c>
      <c r="G257" s="1"/>
      <c r="H257" s="163"/>
      <c r="I257" s="37"/>
      <c r="J257" s="138">
        <f t="shared" si="19"/>
        <v>0.77968490742404351</v>
      </c>
      <c r="K257" s="114"/>
      <c r="L257" s="37">
        <v>1.7999827776999999</v>
      </c>
      <c r="M257" s="37" t="s">
        <v>142</v>
      </c>
      <c r="N257" s="37">
        <v>621.96155034146341</v>
      </c>
      <c r="O257" s="132">
        <f t="shared" si="20"/>
        <v>1119.5200790062256</v>
      </c>
      <c r="P257" s="134">
        <f t="shared" si="21"/>
        <v>872.87290915932692</v>
      </c>
      <c r="Q257" s="261">
        <v>1</v>
      </c>
      <c r="R257" s="94"/>
    </row>
    <row r="258" spans="1:18" x14ac:dyDescent="0.25">
      <c r="A258" s="367">
        <v>40075</v>
      </c>
      <c r="B258" s="367" t="s">
        <v>279</v>
      </c>
      <c r="C258" s="279" t="s">
        <v>462</v>
      </c>
      <c r="D258" s="159" t="s">
        <v>939</v>
      </c>
      <c r="E258" s="45">
        <f t="shared" si="17"/>
        <v>40075</v>
      </c>
      <c r="F258" s="148" t="str">
        <f t="shared" si="18"/>
        <v>2009-10</v>
      </c>
      <c r="G258" s="1"/>
      <c r="H258" s="163"/>
      <c r="I258" s="37"/>
      <c r="J258" s="138">
        <f t="shared" si="19"/>
        <v>0.77968490742404351</v>
      </c>
      <c r="K258" s="114"/>
      <c r="L258" s="37">
        <v>0.89908008542100004</v>
      </c>
      <c r="M258" s="37" t="s">
        <v>142</v>
      </c>
      <c r="N258" s="37">
        <v>696.6467060487804</v>
      </c>
      <c r="O258" s="132">
        <f t="shared" si="20"/>
        <v>626.3411799825958</v>
      </c>
      <c r="P258" s="134">
        <f t="shared" si="21"/>
        <v>488.34876493059636</v>
      </c>
      <c r="Q258" s="261">
        <v>1</v>
      </c>
      <c r="R258" s="94"/>
    </row>
    <row r="259" spans="1:18" x14ac:dyDescent="0.25">
      <c r="A259" s="367">
        <v>40075</v>
      </c>
      <c r="B259" s="367" t="s">
        <v>279</v>
      </c>
      <c r="C259" s="279" t="s">
        <v>462</v>
      </c>
      <c r="D259" s="159" t="s">
        <v>939</v>
      </c>
      <c r="E259" s="45">
        <f t="shared" si="17"/>
        <v>40075</v>
      </c>
      <c r="F259" s="148" t="str">
        <f t="shared" si="18"/>
        <v>2009-10</v>
      </c>
      <c r="G259" s="1"/>
      <c r="H259" s="163"/>
      <c r="I259" s="37"/>
      <c r="J259" s="138">
        <f t="shared" si="19"/>
        <v>0.77968490742404351</v>
      </c>
      <c r="K259" s="114"/>
      <c r="L259" s="37">
        <v>0.90000222221899995</v>
      </c>
      <c r="M259" s="37" t="s">
        <v>142</v>
      </c>
      <c r="N259" s="37">
        <v>696.6467060487804</v>
      </c>
      <c r="O259" s="132">
        <f t="shared" si="20"/>
        <v>626.98358354544882</v>
      </c>
      <c r="P259" s="134">
        <f t="shared" si="21"/>
        <v>488.84963729302831</v>
      </c>
      <c r="Q259" s="261">
        <v>1</v>
      </c>
      <c r="R259" s="94"/>
    </row>
    <row r="260" spans="1:18" x14ac:dyDescent="0.25">
      <c r="A260" s="367">
        <v>39821</v>
      </c>
      <c r="B260" s="367" t="s">
        <v>279</v>
      </c>
      <c r="C260" s="279" t="s">
        <v>299</v>
      </c>
      <c r="D260" s="159" t="s">
        <v>940</v>
      </c>
      <c r="E260" s="45">
        <f t="shared" si="17"/>
        <v>39821</v>
      </c>
      <c r="F260" s="148" t="str">
        <f t="shared" si="18"/>
        <v>2008-09</v>
      </c>
      <c r="G260" s="1"/>
      <c r="H260" s="163"/>
      <c r="I260" s="37"/>
      <c r="J260" s="138">
        <f t="shared" si="19"/>
        <v>0.77968490742404351</v>
      </c>
      <c r="K260" s="114"/>
      <c r="L260" s="37">
        <v>4.9350795356699999</v>
      </c>
      <c r="M260" s="37" t="s">
        <v>142</v>
      </c>
      <c r="N260" s="37">
        <v>696.6467060487804</v>
      </c>
      <c r="O260" s="132">
        <f t="shared" si="20"/>
        <v>3438.0069026132501</v>
      </c>
      <c r="P260" s="134">
        <f t="shared" si="21"/>
        <v>2680.5620935872344</v>
      </c>
      <c r="Q260" s="261">
        <v>1</v>
      </c>
      <c r="R260" s="94"/>
    </row>
    <row r="261" spans="1:18" x14ac:dyDescent="0.25">
      <c r="A261" s="367">
        <v>40498</v>
      </c>
      <c r="B261" s="367" t="s">
        <v>279</v>
      </c>
      <c r="C261" s="279" t="s">
        <v>299</v>
      </c>
      <c r="D261" s="159" t="s">
        <v>941</v>
      </c>
      <c r="E261" s="45">
        <f t="shared" si="17"/>
        <v>40498</v>
      </c>
      <c r="F261" s="148" t="str">
        <f t="shared" si="18"/>
        <v>2010-11</v>
      </c>
      <c r="G261" s="1"/>
      <c r="H261" s="163"/>
      <c r="I261" s="37"/>
      <c r="J261" s="138">
        <f t="shared" si="19"/>
        <v>0.77968490742404351</v>
      </c>
      <c r="K261" s="114"/>
      <c r="L261" s="37">
        <v>4.0000932301700001</v>
      </c>
      <c r="M261" s="37" t="s">
        <v>142</v>
      </c>
      <c r="N261" s="37">
        <v>2042.4636684878049</v>
      </c>
      <c r="O261" s="132">
        <f t="shared" si="20"/>
        <v>8170.0450931862515</v>
      </c>
      <c r="P261" s="134">
        <f t="shared" si="21"/>
        <v>6370.0608521311833</v>
      </c>
      <c r="Q261" s="261">
        <v>1</v>
      </c>
      <c r="R261" s="94"/>
    </row>
    <row r="262" spans="1:18" x14ac:dyDescent="0.25">
      <c r="A262" s="367">
        <v>40444</v>
      </c>
      <c r="B262" s="367" t="s">
        <v>279</v>
      </c>
      <c r="C262" s="279" t="s">
        <v>290</v>
      </c>
      <c r="D262" s="159" t="s">
        <v>942</v>
      </c>
      <c r="E262" s="45">
        <f t="shared" si="17"/>
        <v>40444</v>
      </c>
      <c r="F262" s="148" t="str">
        <f t="shared" si="18"/>
        <v>2010-11</v>
      </c>
      <c r="G262" s="1"/>
      <c r="H262" s="163"/>
      <c r="I262" s="37"/>
      <c r="J262" s="138">
        <f t="shared" si="19"/>
        <v>0.77968490742404351</v>
      </c>
      <c r="K262" s="114"/>
      <c r="L262" s="37">
        <v>3.4995428294600002</v>
      </c>
      <c r="M262" s="37" t="s">
        <v>142</v>
      </c>
      <c r="N262" s="37">
        <v>2092.2853170731705</v>
      </c>
      <c r="O262" s="132">
        <f t="shared" si="20"/>
        <v>7322.0420785478564</v>
      </c>
      <c r="P262" s="134">
        <f t="shared" si="21"/>
        <v>5708.8857001675369</v>
      </c>
      <c r="Q262" s="261">
        <v>1</v>
      </c>
      <c r="R262" s="94"/>
    </row>
    <row r="263" spans="1:18" x14ac:dyDescent="0.25">
      <c r="A263" s="367">
        <v>40444</v>
      </c>
      <c r="B263" s="367" t="s">
        <v>279</v>
      </c>
      <c r="C263" s="279" t="s">
        <v>290</v>
      </c>
      <c r="D263" s="159" t="s">
        <v>942</v>
      </c>
      <c r="E263" s="45">
        <f t="shared" si="17"/>
        <v>40444</v>
      </c>
      <c r="F263" s="148" t="str">
        <f t="shared" si="18"/>
        <v>2010-11</v>
      </c>
      <c r="G263" s="1"/>
      <c r="H263" s="163"/>
      <c r="I263" s="37"/>
      <c r="J263" s="138">
        <f t="shared" si="19"/>
        <v>0.77968490742404351</v>
      </c>
      <c r="K263" s="114"/>
      <c r="L263" s="37">
        <v>1.93373627985</v>
      </c>
      <c r="M263" s="37" t="s">
        <v>142</v>
      </c>
      <c r="N263" s="37">
        <v>3349.1126765853646</v>
      </c>
      <c r="O263" s="132">
        <f t="shared" si="20"/>
        <v>6476.3006880186595</v>
      </c>
      <c r="P263" s="134">
        <f t="shared" si="21"/>
        <v>5049.4739023880975</v>
      </c>
      <c r="Q263" s="261">
        <v>1</v>
      </c>
      <c r="R263" s="94"/>
    </row>
    <row r="264" spans="1:18" x14ac:dyDescent="0.25">
      <c r="A264" s="367">
        <v>40444</v>
      </c>
      <c r="B264" s="367" t="s">
        <v>279</v>
      </c>
      <c r="C264" s="279" t="s">
        <v>290</v>
      </c>
      <c r="D264" s="159" t="s">
        <v>942</v>
      </c>
      <c r="E264" s="45">
        <f t="shared" si="17"/>
        <v>40444</v>
      </c>
      <c r="F264" s="148" t="str">
        <f t="shared" si="18"/>
        <v>2010-11</v>
      </c>
      <c r="G264" s="1"/>
      <c r="H264" s="163"/>
      <c r="I264" s="37"/>
      <c r="J264" s="138">
        <f t="shared" si="19"/>
        <v>0.77968490742404351</v>
      </c>
      <c r="K264" s="114"/>
      <c r="L264" s="37">
        <v>1.0006018189100001</v>
      </c>
      <c r="M264" s="37" t="s">
        <v>142</v>
      </c>
      <c r="N264" s="37">
        <v>3349.1126765853646</v>
      </c>
      <c r="O264" s="132">
        <f t="shared" si="20"/>
        <v>3351.1282359258548</v>
      </c>
      <c r="P264" s="134">
        <f t="shared" si="21"/>
        <v>2612.8241083939483</v>
      </c>
      <c r="Q264" s="261">
        <v>1</v>
      </c>
      <c r="R264" s="94"/>
    </row>
    <row r="265" spans="1:18" x14ac:dyDescent="0.25">
      <c r="A265" s="367">
        <v>40192</v>
      </c>
      <c r="B265" s="367" t="s">
        <v>279</v>
      </c>
      <c r="C265" s="279" t="s">
        <v>299</v>
      </c>
      <c r="D265" s="159" t="s">
        <v>943</v>
      </c>
      <c r="E265" s="45">
        <f t="shared" si="17"/>
        <v>40192</v>
      </c>
      <c r="F265" s="148" t="str">
        <f t="shared" si="18"/>
        <v>2009-10</v>
      </c>
      <c r="G265" s="1"/>
      <c r="H265" s="163"/>
      <c r="I265" s="37"/>
      <c r="J265" s="138">
        <f t="shared" si="19"/>
        <v>0.77968490742404351</v>
      </c>
      <c r="K265" s="114"/>
      <c r="L265" s="37">
        <v>5.3997007324500004</v>
      </c>
      <c r="M265" s="37" t="s">
        <v>142</v>
      </c>
      <c r="N265" s="37">
        <v>2042.4636684878049</v>
      </c>
      <c r="O265" s="132">
        <f t="shared" si="20"/>
        <v>11028.692566736114</v>
      </c>
      <c r="P265" s="134">
        <f t="shared" si="21"/>
        <v>8598.9051429038827</v>
      </c>
      <c r="Q265" s="261">
        <v>1</v>
      </c>
      <c r="R265" s="94"/>
    </row>
    <row r="266" spans="1:18" x14ac:dyDescent="0.25">
      <c r="A266" s="367">
        <v>40578</v>
      </c>
      <c r="B266" s="367" t="s">
        <v>279</v>
      </c>
      <c r="C266" s="279" t="s">
        <v>463</v>
      </c>
      <c r="D266" s="159" t="s">
        <v>944</v>
      </c>
      <c r="E266" s="45">
        <f t="shared" si="17"/>
        <v>40578</v>
      </c>
      <c r="F266" s="148" t="str">
        <f t="shared" si="18"/>
        <v>2010-11</v>
      </c>
      <c r="G266" s="1"/>
      <c r="H266" s="163"/>
      <c r="I266" s="37"/>
      <c r="J266" s="138">
        <f t="shared" si="19"/>
        <v>0.77968490742404351</v>
      </c>
      <c r="K266" s="114"/>
      <c r="L266" s="37">
        <v>74.643580693900006</v>
      </c>
      <c r="M266" s="37" t="s">
        <v>142</v>
      </c>
      <c r="N266" s="37">
        <v>514.18436487804865</v>
      </c>
      <c r="O266" s="132">
        <f t="shared" si="20"/>
        <v>38380.56213131635</v>
      </c>
      <c r="P266" s="134">
        <f t="shared" si="21"/>
        <v>29526.297786234285</v>
      </c>
      <c r="Q266" s="261">
        <v>0.9866850245315506</v>
      </c>
      <c r="R266" s="94"/>
    </row>
    <row r="267" spans="1:18" x14ac:dyDescent="0.25">
      <c r="A267" s="367">
        <v>40578</v>
      </c>
      <c r="B267" s="367" t="s">
        <v>279</v>
      </c>
      <c r="C267" s="279" t="s">
        <v>463</v>
      </c>
      <c r="D267" s="159" t="s">
        <v>944</v>
      </c>
      <c r="E267" s="45">
        <f t="shared" si="17"/>
        <v>40578</v>
      </c>
      <c r="F267" s="148" t="str">
        <f t="shared" si="18"/>
        <v>2010-11</v>
      </c>
      <c r="G267" s="1"/>
      <c r="H267" s="163"/>
      <c r="I267" s="37"/>
      <c r="J267" s="138">
        <f t="shared" si="19"/>
        <v>0.77968490742404351</v>
      </c>
      <c r="K267" s="114"/>
      <c r="L267" s="37">
        <v>17.689616334099998</v>
      </c>
      <c r="M267" s="37" t="s">
        <v>142</v>
      </c>
      <c r="N267" s="37">
        <v>514.18436487804865</v>
      </c>
      <c r="O267" s="132">
        <f t="shared" si="20"/>
        <v>9095.7241396855625</v>
      </c>
      <c r="P267" s="134">
        <f t="shared" si="21"/>
        <v>6997.3717063060785</v>
      </c>
      <c r="Q267" s="261">
        <v>0.9866850245315506</v>
      </c>
      <c r="R267" s="94"/>
    </row>
    <row r="268" spans="1:18" x14ac:dyDescent="0.25">
      <c r="A268" s="367">
        <v>40578</v>
      </c>
      <c r="B268" s="367" t="s">
        <v>279</v>
      </c>
      <c r="C268" s="279" t="s">
        <v>463</v>
      </c>
      <c r="D268" s="159" t="s">
        <v>944</v>
      </c>
      <c r="E268" s="45">
        <f t="shared" si="17"/>
        <v>40578</v>
      </c>
      <c r="F268" s="148" t="str">
        <f t="shared" si="18"/>
        <v>2010-11</v>
      </c>
      <c r="G268" s="1"/>
      <c r="H268" s="163"/>
      <c r="I268" s="37"/>
      <c r="J268" s="138">
        <f t="shared" si="19"/>
        <v>0.77968490742404351</v>
      </c>
      <c r="K268" s="114"/>
      <c r="L268" s="37">
        <v>4.4756230340199998</v>
      </c>
      <c r="M268" s="37" t="s">
        <v>142</v>
      </c>
      <c r="N268" s="37">
        <v>514.18436487804865</v>
      </c>
      <c r="O268" s="132">
        <f t="shared" si="20"/>
        <v>2301.2953871811387</v>
      </c>
      <c r="P268" s="134">
        <f t="shared" si="21"/>
        <v>1770.3944164109919</v>
      </c>
      <c r="Q268" s="261">
        <v>0.9866850245315506</v>
      </c>
      <c r="R268" s="94"/>
    </row>
    <row r="269" spans="1:18" x14ac:dyDescent="0.25">
      <c r="A269" s="367">
        <v>40578</v>
      </c>
      <c r="B269" s="367" t="s">
        <v>279</v>
      </c>
      <c r="C269" s="279" t="s">
        <v>463</v>
      </c>
      <c r="D269" s="159" t="s">
        <v>944</v>
      </c>
      <c r="E269" s="45">
        <f t="shared" si="17"/>
        <v>40578</v>
      </c>
      <c r="F269" s="148" t="str">
        <f t="shared" si="18"/>
        <v>2010-11</v>
      </c>
      <c r="G269" s="1"/>
      <c r="H269" s="163"/>
      <c r="I269" s="37"/>
      <c r="J269" s="138">
        <f t="shared" si="19"/>
        <v>0.77968490742404351</v>
      </c>
      <c r="K269" s="114"/>
      <c r="L269" s="37">
        <v>1.46801854159</v>
      </c>
      <c r="M269" s="37" t="s">
        <v>142</v>
      </c>
      <c r="N269" s="37">
        <v>470.74786858536584</v>
      </c>
      <c r="O269" s="132">
        <f t="shared" si="20"/>
        <v>691.06659949728976</v>
      </c>
      <c r="P269" s="134">
        <f t="shared" si="21"/>
        <v>531.63989982909231</v>
      </c>
      <c r="Q269" s="261">
        <v>0.9866850245315506</v>
      </c>
      <c r="R269" s="94"/>
    </row>
    <row r="270" spans="1:18" x14ac:dyDescent="0.25">
      <c r="A270" s="367">
        <v>40578</v>
      </c>
      <c r="B270" s="367" t="s">
        <v>279</v>
      </c>
      <c r="C270" s="279" t="s">
        <v>463</v>
      </c>
      <c r="D270" s="159" t="s">
        <v>944</v>
      </c>
      <c r="E270" s="45">
        <f t="shared" si="17"/>
        <v>40578</v>
      </c>
      <c r="F270" s="148" t="str">
        <f t="shared" si="18"/>
        <v>2010-11</v>
      </c>
      <c r="G270" s="1"/>
      <c r="H270" s="163"/>
      <c r="I270" s="37"/>
      <c r="J270" s="138">
        <f t="shared" si="19"/>
        <v>0.77968490742404351</v>
      </c>
      <c r="K270" s="114"/>
      <c r="L270" s="37">
        <v>10.948612684</v>
      </c>
      <c r="M270" s="37" t="s">
        <v>142</v>
      </c>
      <c r="N270" s="37">
        <v>514.18436487804865</v>
      </c>
      <c r="O270" s="132">
        <f t="shared" si="20"/>
        <v>5629.6054592182882</v>
      </c>
      <c r="P270" s="134">
        <f t="shared" si="21"/>
        <v>4330.8747443347684</v>
      </c>
      <c r="Q270" s="261">
        <v>0.9866850245315506</v>
      </c>
      <c r="R270" s="94"/>
    </row>
    <row r="271" spans="1:18" x14ac:dyDescent="0.25">
      <c r="A271" s="367">
        <v>40578</v>
      </c>
      <c r="B271" s="367" t="s">
        <v>279</v>
      </c>
      <c r="C271" s="279" t="s">
        <v>463</v>
      </c>
      <c r="D271" s="159" t="s">
        <v>944</v>
      </c>
      <c r="E271" s="45">
        <f t="shared" si="17"/>
        <v>40578</v>
      </c>
      <c r="F271" s="148" t="str">
        <f t="shared" si="18"/>
        <v>2010-11</v>
      </c>
      <c r="G271" s="1"/>
      <c r="H271" s="163"/>
      <c r="I271" s="37"/>
      <c r="J271" s="138">
        <f t="shared" si="19"/>
        <v>0.77968490742404351</v>
      </c>
      <c r="K271" s="114"/>
      <c r="L271" s="37">
        <v>1.03987397871</v>
      </c>
      <c r="M271" s="37" t="s">
        <v>142</v>
      </c>
      <c r="N271" s="37">
        <v>470.74786858536584</v>
      </c>
      <c r="O271" s="132">
        <f t="shared" si="20"/>
        <v>489.5184590751166</v>
      </c>
      <c r="P271" s="134">
        <f t="shared" si="21"/>
        <v>376.58822570285037</v>
      </c>
      <c r="Q271" s="261">
        <v>0.9866850245315506</v>
      </c>
      <c r="R271" s="94"/>
    </row>
    <row r="272" spans="1:18" x14ac:dyDescent="0.25">
      <c r="A272" s="367">
        <v>40637</v>
      </c>
      <c r="B272" s="367" t="s">
        <v>279</v>
      </c>
      <c r="C272" s="279" t="s">
        <v>464</v>
      </c>
      <c r="D272" s="159" t="s">
        <v>945</v>
      </c>
      <c r="E272" s="45">
        <f t="shared" si="17"/>
        <v>40637</v>
      </c>
      <c r="F272" s="148" t="str">
        <f t="shared" si="18"/>
        <v>2010-11</v>
      </c>
      <c r="G272" s="1"/>
      <c r="H272" s="163"/>
      <c r="I272" s="37"/>
      <c r="J272" s="138">
        <f t="shared" si="19"/>
        <v>0.77968490742404351</v>
      </c>
      <c r="K272" s="114"/>
      <c r="L272" s="37">
        <v>24.138203317799999</v>
      </c>
      <c r="M272" s="37" t="s">
        <v>142</v>
      </c>
      <c r="N272" s="37">
        <v>514.18436487804865</v>
      </c>
      <c r="O272" s="132">
        <f t="shared" si="20"/>
        <v>12411.486742260198</v>
      </c>
      <c r="P272" s="134">
        <f t="shared" si="21"/>
        <v>3427.5666389097451</v>
      </c>
      <c r="Q272" s="261">
        <v>0.35419544504657663</v>
      </c>
      <c r="R272" s="94"/>
    </row>
    <row r="273" spans="1:18" x14ac:dyDescent="0.25">
      <c r="A273" s="367">
        <v>40637</v>
      </c>
      <c r="B273" s="367" t="s">
        <v>279</v>
      </c>
      <c r="C273" s="279" t="s">
        <v>464</v>
      </c>
      <c r="D273" s="159" t="s">
        <v>945</v>
      </c>
      <c r="E273" s="45">
        <f t="shared" si="17"/>
        <v>40637</v>
      </c>
      <c r="F273" s="148" t="str">
        <f t="shared" si="18"/>
        <v>2010-11</v>
      </c>
      <c r="G273" s="1"/>
      <c r="H273" s="163"/>
      <c r="I273" s="37"/>
      <c r="J273" s="138">
        <f t="shared" si="19"/>
        <v>0.77968490742404351</v>
      </c>
      <c r="K273" s="114"/>
      <c r="L273" s="37">
        <v>4.7965880117699999</v>
      </c>
      <c r="M273" s="37" t="s">
        <v>142</v>
      </c>
      <c r="N273" s="37">
        <v>514.18436487804865</v>
      </c>
      <c r="O273" s="132">
        <f t="shared" si="20"/>
        <v>2466.3305604136194</v>
      </c>
      <c r="P273" s="134">
        <f t="shared" si="21"/>
        <v>681.10392614075079</v>
      </c>
      <c r="Q273" s="261">
        <v>0.35419544504657663</v>
      </c>
      <c r="R273" s="94"/>
    </row>
    <row r="274" spans="1:18" x14ac:dyDescent="0.25">
      <c r="A274" s="367">
        <v>40601</v>
      </c>
      <c r="B274" s="367" t="s">
        <v>279</v>
      </c>
      <c r="C274" s="279" t="s">
        <v>465</v>
      </c>
      <c r="D274" s="159" t="s">
        <v>946</v>
      </c>
      <c r="E274" s="45">
        <f t="shared" si="17"/>
        <v>40601</v>
      </c>
      <c r="F274" s="148" t="str">
        <f t="shared" si="18"/>
        <v>2010-11</v>
      </c>
      <c r="G274" s="1"/>
      <c r="H274" s="163"/>
      <c r="I274" s="37"/>
      <c r="J274" s="138">
        <f t="shared" si="19"/>
        <v>0.77968490742404351</v>
      </c>
      <c r="K274" s="114"/>
      <c r="L274" s="37">
        <v>22.7813982027</v>
      </c>
      <c r="M274" s="37" t="s">
        <v>142</v>
      </c>
      <c r="N274" s="37">
        <v>621.96155034146341</v>
      </c>
      <c r="O274" s="132">
        <f t="shared" si="20"/>
        <v>14169.153745097519</v>
      </c>
      <c r="P274" s="134">
        <f t="shared" si="21"/>
        <v>9124.1124265142062</v>
      </c>
      <c r="Q274" s="261">
        <v>0.82590023125206491</v>
      </c>
      <c r="R274" s="94"/>
    </row>
    <row r="275" spans="1:18" x14ac:dyDescent="0.25">
      <c r="A275" s="367">
        <v>40601</v>
      </c>
      <c r="B275" s="367" t="s">
        <v>279</v>
      </c>
      <c r="C275" s="279" t="s">
        <v>465</v>
      </c>
      <c r="D275" s="159" t="s">
        <v>946</v>
      </c>
      <c r="E275" s="45">
        <f t="shared" si="17"/>
        <v>40601</v>
      </c>
      <c r="F275" s="148" t="str">
        <f t="shared" si="18"/>
        <v>2010-11</v>
      </c>
      <c r="G275" s="1"/>
      <c r="H275" s="163"/>
      <c r="I275" s="37"/>
      <c r="J275" s="138">
        <f t="shared" si="19"/>
        <v>0.77968490742404351</v>
      </c>
      <c r="K275" s="114"/>
      <c r="L275" s="37">
        <v>2.6405015020199998</v>
      </c>
      <c r="M275" s="37" t="s">
        <v>142</v>
      </c>
      <c r="N275" s="37">
        <v>470.74786858536584</v>
      </c>
      <c r="O275" s="132">
        <f t="shared" si="20"/>
        <v>1243.0104540723719</v>
      </c>
      <c r="P275" s="134">
        <f t="shared" si="21"/>
        <v>800.42656987986095</v>
      </c>
      <c r="Q275" s="261">
        <v>0.82590023125206491</v>
      </c>
      <c r="R275" s="94"/>
    </row>
    <row r="276" spans="1:18" x14ac:dyDescent="0.25">
      <c r="A276" s="367">
        <v>40601</v>
      </c>
      <c r="B276" s="367" t="s">
        <v>279</v>
      </c>
      <c r="C276" s="279" t="s">
        <v>465</v>
      </c>
      <c r="D276" s="159" t="s">
        <v>946</v>
      </c>
      <c r="E276" s="45">
        <f t="shared" si="17"/>
        <v>40601</v>
      </c>
      <c r="F276" s="148" t="str">
        <f t="shared" si="18"/>
        <v>2010-11</v>
      </c>
      <c r="G276" s="1"/>
      <c r="H276" s="163"/>
      <c r="I276" s="37"/>
      <c r="J276" s="138">
        <f t="shared" si="19"/>
        <v>0.77968490742404351</v>
      </c>
      <c r="K276" s="114"/>
      <c r="L276" s="37">
        <v>73.675536371099994</v>
      </c>
      <c r="M276" s="37" t="s">
        <v>142</v>
      </c>
      <c r="N276" s="37">
        <v>621.96155034146341</v>
      </c>
      <c r="O276" s="132">
        <f t="shared" si="20"/>
        <v>45823.350823608227</v>
      </c>
      <c r="P276" s="134">
        <f t="shared" si="21"/>
        <v>29507.577671592713</v>
      </c>
      <c r="Q276" s="261">
        <v>0.82590023125206491</v>
      </c>
      <c r="R276" s="94"/>
    </row>
    <row r="277" spans="1:18" x14ac:dyDescent="0.25">
      <c r="A277" s="367">
        <v>40601</v>
      </c>
      <c r="B277" s="367" t="s">
        <v>279</v>
      </c>
      <c r="C277" s="279" t="s">
        <v>465</v>
      </c>
      <c r="D277" s="159" t="s">
        <v>946</v>
      </c>
      <c r="E277" s="45">
        <f t="shared" si="17"/>
        <v>40601</v>
      </c>
      <c r="F277" s="148" t="str">
        <f t="shared" si="18"/>
        <v>2010-11</v>
      </c>
      <c r="G277" s="1"/>
      <c r="H277" s="163"/>
      <c r="I277" s="37"/>
      <c r="J277" s="138">
        <f t="shared" si="19"/>
        <v>0.77968490742404351</v>
      </c>
      <c r="K277" s="114"/>
      <c r="L277" s="37">
        <v>18.9664313585</v>
      </c>
      <c r="M277" s="37" t="s">
        <v>142</v>
      </c>
      <c r="N277" s="37">
        <v>621.96155034146341</v>
      </c>
      <c r="O277" s="132">
        <f t="shared" si="20"/>
        <v>11796.391052177607</v>
      </c>
      <c r="P277" s="134">
        <f t="shared" si="21"/>
        <v>7596.1910021926942</v>
      </c>
      <c r="Q277" s="261">
        <v>0.82590023125206491</v>
      </c>
      <c r="R277" s="94"/>
    </row>
    <row r="278" spans="1:18" x14ac:dyDescent="0.25">
      <c r="A278" s="367">
        <v>40601</v>
      </c>
      <c r="B278" s="367" t="s">
        <v>279</v>
      </c>
      <c r="C278" s="279" t="s">
        <v>465</v>
      </c>
      <c r="D278" s="159" t="s">
        <v>946</v>
      </c>
      <c r="E278" s="45">
        <f t="shared" si="17"/>
        <v>40601</v>
      </c>
      <c r="F278" s="148" t="str">
        <f t="shared" si="18"/>
        <v>2010-11</v>
      </c>
      <c r="G278" s="1"/>
      <c r="H278" s="163"/>
      <c r="I278" s="37"/>
      <c r="J278" s="138">
        <f t="shared" si="19"/>
        <v>0.77968490742404351</v>
      </c>
      <c r="K278" s="114"/>
      <c r="L278" s="37">
        <v>4.5964684269599996</v>
      </c>
      <c r="M278" s="37" t="s">
        <v>142</v>
      </c>
      <c r="N278" s="37">
        <v>621.96155034146341</v>
      </c>
      <c r="O278" s="132">
        <f t="shared" si="20"/>
        <v>2858.8266289276289</v>
      </c>
      <c r="P278" s="134">
        <f t="shared" si="21"/>
        <v>1840.9183808364958</v>
      </c>
      <c r="Q278" s="261">
        <v>0.82590023125206491</v>
      </c>
      <c r="R278" s="94"/>
    </row>
    <row r="279" spans="1:18" x14ac:dyDescent="0.25">
      <c r="A279" s="367">
        <v>40613</v>
      </c>
      <c r="B279" s="367" t="s">
        <v>279</v>
      </c>
      <c r="C279" s="279" t="s">
        <v>466</v>
      </c>
      <c r="D279" s="159" t="s">
        <v>947</v>
      </c>
      <c r="E279" s="45">
        <f t="shared" ref="E279:E342" si="22">IF(A279&lt;2022,DATEVALUE("30 Jun "&amp;A279),A279)</f>
        <v>40613</v>
      </c>
      <c r="F279" s="148" t="str">
        <f t="shared" si="18"/>
        <v>2010-11</v>
      </c>
      <c r="G279" s="1"/>
      <c r="H279" s="163"/>
      <c r="I279" s="37"/>
      <c r="J279" s="138">
        <f t="shared" si="19"/>
        <v>0.77968490742404351</v>
      </c>
      <c r="K279" s="114"/>
      <c r="L279" s="37">
        <v>1.1995816723999999</v>
      </c>
      <c r="M279" s="37" t="s">
        <v>142</v>
      </c>
      <c r="N279" s="37">
        <v>470.74786858536584</v>
      </c>
      <c r="O279" s="132">
        <f t="shared" si="20"/>
        <v>564.70051547636854</v>
      </c>
      <c r="P279" s="134">
        <f t="shared" si="21"/>
        <v>45.737918243819117</v>
      </c>
      <c r="Q279" s="261">
        <v>0.10388170813112632</v>
      </c>
      <c r="R279" s="94"/>
    </row>
    <row r="280" spans="1:18" x14ac:dyDescent="0.25">
      <c r="A280" s="367">
        <v>40613</v>
      </c>
      <c r="B280" s="367" t="s">
        <v>279</v>
      </c>
      <c r="C280" s="279" t="s">
        <v>466</v>
      </c>
      <c r="D280" s="159" t="s">
        <v>947</v>
      </c>
      <c r="E280" s="45">
        <f t="shared" si="22"/>
        <v>40613</v>
      </c>
      <c r="F280" s="148" t="str">
        <f t="shared" ref="F280:F343" si="23">IF(E280="","-",IF(OR(E280&lt;$E$15,E280&gt;$E$16),"ERROR - date outside of range",IF(MONTH(E280)&gt;=7,YEAR(E280)&amp;"-"&amp;IF(YEAR(E280)=1999,"00",IF(AND(YEAR(E280)&gt;=2000,YEAR(E280)&lt;2009),"0","")&amp;RIGHT(YEAR(E280),2)+1),RIGHT(YEAR(E280),4)-1&amp;"-"&amp;RIGHT(YEAR(E280),2))))</f>
        <v>2010-11</v>
      </c>
      <c r="G280" s="1"/>
      <c r="H280" s="163"/>
      <c r="I280" s="37"/>
      <c r="J280" s="138">
        <f t="shared" ref="J280:J343" si="24">J279</f>
        <v>0.77968490742404351</v>
      </c>
      <c r="K280" s="114"/>
      <c r="L280" s="37">
        <v>149.82339786899999</v>
      </c>
      <c r="M280" s="37" t="s">
        <v>142</v>
      </c>
      <c r="N280" s="37">
        <v>696.6467060487804</v>
      </c>
      <c r="O280" s="132">
        <f t="shared" si="20"/>
        <v>104373.97661447471</v>
      </c>
      <c r="P280" s="134">
        <f t="shared" si="21"/>
        <v>8453.7702345605667</v>
      </c>
      <c r="Q280" s="261">
        <v>0.10388170813112632</v>
      </c>
      <c r="R280" s="94"/>
    </row>
    <row r="281" spans="1:18" x14ac:dyDescent="0.25">
      <c r="A281" s="367">
        <v>40588</v>
      </c>
      <c r="B281" s="367" t="s">
        <v>279</v>
      </c>
      <c r="C281" s="279" t="s">
        <v>467</v>
      </c>
      <c r="D281" s="159" t="s">
        <v>948</v>
      </c>
      <c r="E281" s="45">
        <f t="shared" si="22"/>
        <v>40588</v>
      </c>
      <c r="F281" s="148" t="str">
        <f t="shared" si="23"/>
        <v>2010-11</v>
      </c>
      <c r="G281" s="1"/>
      <c r="H281" s="163"/>
      <c r="I281" s="37"/>
      <c r="J281" s="138">
        <f t="shared" si="24"/>
        <v>0.77968490742404351</v>
      </c>
      <c r="K281" s="114"/>
      <c r="L281" s="37">
        <v>41.487197945399998</v>
      </c>
      <c r="M281" s="37" t="s">
        <v>142</v>
      </c>
      <c r="N281" s="37">
        <v>470.74786858536584</v>
      </c>
      <c r="O281" s="132">
        <f t="shared" si="20"/>
        <v>19530.010006376218</v>
      </c>
      <c r="P281" s="134">
        <f t="shared" si="21"/>
        <v>9526.0872568901905</v>
      </c>
      <c r="Q281" s="261">
        <v>0.62559455759269456</v>
      </c>
      <c r="R281" s="94"/>
    </row>
    <row r="282" spans="1:18" x14ac:dyDescent="0.25">
      <c r="A282" s="367">
        <v>40588</v>
      </c>
      <c r="B282" s="367" t="s">
        <v>279</v>
      </c>
      <c r="C282" s="279" t="s">
        <v>467</v>
      </c>
      <c r="D282" s="159" t="s">
        <v>948</v>
      </c>
      <c r="E282" s="45">
        <f t="shared" si="22"/>
        <v>40588</v>
      </c>
      <c r="F282" s="148" t="str">
        <f t="shared" si="23"/>
        <v>2010-11</v>
      </c>
      <c r="G282" s="1"/>
      <c r="H282" s="163"/>
      <c r="I282" s="37"/>
      <c r="J282" s="138">
        <f t="shared" si="24"/>
        <v>0.77968490742404351</v>
      </c>
      <c r="K282" s="114"/>
      <c r="L282" s="37">
        <v>21.657108440399998</v>
      </c>
      <c r="M282" s="37" t="s">
        <v>142</v>
      </c>
      <c r="N282" s="37">
        <v>470.74786858536584</v>
      </c>
      <c r="O282" s="132">
        <f t="shared" si="20"/>
        <v>10195.037638040436</v>
      </c>
      <c r="P282" s="134">
        <f t="shared" si="21"/>
        <v>4972.7991995674965</v>
      </c>
      <c r="Q282" s="261">
        <v>0.62559455759269456</v>
      </c>
      <c r="R282" s="94"/>
    </row>
    <row r="283" spans="1:18" x14ac:dyDescent="0.25">
      <c r="A283" s="367">
        <v>40588</v>
      </c>
      <c r="B283" s="367" t="s">
        <v>279</v>
      </c>
      <c r="C283" s="279" t="s">
        <v>467</v>
      </c>
      <c r="D283" s="159" t="s">
        <v>948</v>
      </c>
      <c r="E283" s="45">
        <f t="shared" si="22"/>
        <v>40588</v>
      </c>
      <c r="F283" s="148" t="str">
        <f t="shared" si="23"/>
        <v>2010-11</v>
      </c>
      <c r="G283" s="1"/>
      <c r="H283" s="163"/>
      <c r="I283" s="37"/>
      <c r="J283" s="138">
        <f t="shared" si="24"/>
        <v>0.77968490742404351</v>
      </c>
      <c r="K283" s="114"/>
      <c r="L283" s="37">
        <v>20.749480069699999</v>
      </c>
      <c r="M283" s="37" t="s">
        <v>142</v>
      </c>
      <c r="N283" s="37">
        <v>749.70391609756098</v>
      </c>
      <c r="O283" s="132">
        <f t="shared" si="20"/>
        <v>15555.966465242382</v>
      </c>
      <c r="P283" s="134">
        <f t="shared" si="21"/>
        <v>7587.6814125940473</v>
      </c>
      <c r="Q283" s="261">
        <v>0.62559455759269456</v>
      </c>
      <c r="R283" s="94"/>
    </row>
    <row r="284" spans="1:18" x14ac:dyDescent="0.25">
      <c r="A284" s="367">
        <v>40588</v>
      </c>
      <c r="B284" s="367" t="s">
        <v>279</v>
      </c>
      <c r="C284" s="279" t="s">
        <v>467</v>
      </c>
      <c r="D284" s="159" t="s">
        <v>948</v>
      </c>
      <c r="E284" s="45">
        <f t="shared" si="22"/>
        <v>40588</v>
      </c>
      <c r="F284" s="148" t="str">
        <f t="shared" si="23"/>
        <v>2010-11</v>
      </c>
      <c r="G284" s="1"/>
      <c r="H284" s="163"/>
      <c r="I284" s="37"/>
      <c r="J284" s="138">
        <f t="shared" si="24"/>
        <v>0.77968490742404351</v>
      </c>
      <c r="K284" s="114"/>
      <c r="L284" s="37">
        <v>53.689102354100001</v>
      </c>
      <c r="M284" s="37" t="s">
        <v>142</v>
      </c>
      <c r="N284" s="37">
        <v>470.74786858536584</v>
      </c>
      <c r="O284" s="132">
        <f t="shared" si="20"/>
        <v>25274.030499454122</v>
      </c>
      <c r="P284" s="134">
        <f t="shared" si="21"/>
        <v>12327.828802570966</v>
      </c>
      <c r="Q284" s="261">
        <v>0.62559455759269456</v>
      </c>
      <c r="R284" s="94"/>
    </row>
    <row r="285" spans="1:18" x14ac:dyDescent="0.25">
      <c r="A285" s="367">
        <v>40588</v>
      </c>
      <c r="B285" s="367" t="s">
        <v>279</v>
      </c>
      <c r="C285" s="279" t="s">
        <v>467</v>
      </c>
      <c r="D285" s="159" t="s">
        <v>948</v>
      </c>
      <c r="E285" s="45">
        <f t="shared" si="22"/>
        <v>40588</v>
      </c>
      <c r="F285" s="148" t="str">
        <f t="shared" si="23"/>
        <v>2010-11</v>
      </c>
      <c r="G285" s="1"/>
      <c r="H285" s="163"/>
      <c r="I285" s="37"/>
      <c r="J285" s="138">
        <f t="shared" si="24"/>
        <v>0.77968490742404351</v>
      </c>
      <c r="K285" s="114"/>
      <c r="L285" s="37">
        <v>2.1400336445999999</v>
      </c>
      <c r="M285" s="37" t="s">
        <v>142</v>
      </c>
      <c r="N285" s="37">
        <v>470.74786858536584</v>
      </c>
      <c r="O285" s="132">
        <f t="shared" si="20"/>
        <v>1007.4162768964222</v>
      </c>
      <c r="P285" s="134">
        <f t="shared" si="21"/>
        <v>491.38404714557731</v>
      </c>
      <c r="Q285" s="261">
        <v>0.62559455759269456</v>
      </c>
      <c r="R285" s="94"/>
    </row>
    <row r="286" spans="1:18" x14ac:dyDescent="0.25">
      <c r="A286" s="367">
        <v>40563</v>
      </c>
      <c r="B286" s="367" t="s">
        <v>279</v>
      </c>
      <c r="C286" s="279" t="s">
        <v>290</v>
      </c>
      <c r="D286" s="159" t="s">
        <v>949</v>
      </c>
      <c r="E286" s="45">
        <f t="shared" si="22"/>
        <v>40563</v>
      </c>
      <c r="F286" s="148" t="str">
        <f t="shared" si="23"/>
        <v>2010-11</v>
      </c>
      <c r="G286" s="1"/>
      <c r="H286" s="163"/>
      <c r="I286" s="37"/>
      <c r="J286" s="138">
        <f t="shared" si="24"/>
        <v>0.77968490742404351</v>
      </c>
      <c r="K286" s="114"/>
      <c r="L286" s="37">
        <v>4.9998611980699996</v>
      </c>
      <c r="M286" s="37" t="s">
        <v>142</v>
      </c>
      <c r="N286" s="37">
        <v>3100.7755036097556</v>
      </c>
      <c r="O286" s="132">
        <f t="shared" ref="O286:O349" si="25">IF(N286="","-",L286*N286)</f>
        <v>15503.44712442438</v>
      </c>
      <c r="P286" s="134">
        <f t="shared" ref="P286:P349" si="26">IF(O286="-","-",IF(OR(E286&lt;$E$15,E286&gt;$E$16),0,O286*J286))*Q286</f>
        <v>12087.803735960375</v>
      </c>
      <c r="Q286" s="261">
        <v>1</v>
      </c>
      <c r="R286" s="94"/>
    </row>
    <row r="287" spans="1:18" x14ac:dyDescent="0.25">
      <c r="A287" s="367">
        <v>40868</v>
      </c>
      <c r="B287" s="367" t="s">
        <v>279</v>
      </c>
      <c r="C287" s="279" t="s">
        <v>468</v>
      </c>
      <c r="D287" s="159" t="s">
        <v>950</v>
      </c>
      <c r="E287" s="45">
        <f t="shared" si="22"/>
        <v>40868</v>
      </c>
      <c r="F287" s="148" t="str">
        <f t="shared" si="23"/>
        <v>2011-12</v>
      </c>
      <c r="G287" s="1"/>
      <c r="H287" s="163"/>
      <c r="I287" s="37"/>
      <c r="J287" s="138">
        <f t="shared" si="24"/>
        <v>0.77968490742404351</v>
      </c>
      <c r="K287" s="114"/>
      <c r="L287" s="37">
        <v>5.8494145208599999</v>
      </c>
      <c r="M287" s="37" t="s">
        <v>142</v>
      </c>
      <c r="N287" s="37">
        <v>514.18436487804865</v>
      </c>
      <c r="O287" s="132">
        <f t="shared" si="25"/>
        <v>3007.6774903168343</v>
      </c>
      <c r="P287" s="134">
        <f t="shared" si="26"/>
        <v>1861.2665485275959</v>
      </c>
      <c r="Q287" s="261">
        <v>0.79370328725444805</v>
      </c>
      <c r="R287" s="94"/>
    </row>
    <row r="288" spans="1:18" x14ac:dyDescent="0.25">
      <c r="A288" s="367">
        <v>40868</v>
      </c>
      <c r="B288" s="367" t="s">
        <v>279</v>
      </c>
      <c r="C288" s="279" t="s">
        <v>468</v>
      </c>
      <c r="D288" s="159" t="s">
        <v>950</v>
      </c>
      <c r="E288" s="45">
        <f t="shared" si="22"/>
        <v>40868</v>
      </c>
      <c r="F288" s="148" t="str">
        <f t="shared" si="23"/>
        <v>2011-12</v>
      </c>
      <c r="G288" s="1"/>
      <c r="H288" s="163"/>
      <c r="I288" s="37"/>
      <c r="J288" s="138">
        <f t="shared" si="24"/>
        <v>0.77968490742404351</v>
      </c>
      <c r="K288" s="114"/>
      <c r="L288" s="37">
        <v>12.5574003527</v>
      </c>
      <c r="M288" s="37" t="s">
        <v>142</v>
      </c>
      <c r="N288" s="37">
        <v>514.18436487804865</v>
      </c>
      <c r="O288" s="132">
        <f t="shared" si="25"/>
        <v>6456.8189248724339</v>
      </c>
      <c r="P288" s="134">
        <f t="shared" si="26"/>
        <v>3995.7279706538602</v>
      </c>
      <c r="Q288" s="261">
        <v>0.79370328725444805</v>
      </c>
      <c r="R288" s="94"/>
    </row>
    <row r="289" spans="1:18" x14ac:dyDescent="0.25">
      <c r="A289" s="367">
        <v>40868</v>
      </c>
      <c r="B289" s="367" t="s">
        <v>279</v>
      </c>
      <c r="C289" s="279" t="s">
        <v>468</v>
      </c>
      <c r="D289" s="159" t="s">
        <v>950</v>
      </c>
      <c r="E289" s="45">
        <f t="shared" si="22"/>
        <v>40868</v>
      </c>
      <c r="F289" s="148" t="str">
        <f t="shared" si="23"/>
        <v>2011-12</v>
      </c>
      <c r="G289" s="1"/>
      <c r="H289" s="163"/>
      <c r="I289" s="37"/>
      <c r="J289" s="138">
        <f t="shared" si="24"/>
        <v>0.77968490742404351</v>
      </c>
      <c r="K289" s="114"/>
      <c r="L289" s="37">
        <v>5.1420682740499997</v>
      </c>
      <c r="M289" s="37" t="s">
        <v>142</v>
      </c>
      <c r="N289" s="37">
        <v>621.96155034146341</v>
      </c>
      <c r="O289" s="132">
        <f t="shared" si="25"/>
        <v>3198.1687556897909</v>
      </c>
      <c r="P289" s="134">
        <f t="shared" si="26"/>
        <v>1979.149872509925</v>
      </c>
      <c r="Q289" s="261">
        <v>0.79370328725444805</v>
      </c>
      <c r="R289" s="94"/>
    </row>
    <row r="290" spans="1:18" x14ac:dyDescent="0.25">
      <c r="A290" s="367">
        <v>40868</v>
      </c>
      <c r="B290" s="367" t="s">
        <v>279</v>
      </c>
      <c r="C290" s="279" t="s">
        <v>468</v>
      </c>
      <c r="D290" s="159" t="s">
        <v>950</v>
      </c>
      <c r="E290" s="45">
        <f t="shared" si="22"/>
        <v>40868</v>
      </c>
      <c r="F290" s="148" t="str">
        <f t="shared" si="23"/>
        <v>2011-12</v>
      </c>
      <c r="G290" s="1"/>
      <c r="H290" s="163"/>
      <c r="I290" s="37"/>
      <c r="J290" s="138">
        <f t="shared" si="24"/>
        <v>0.77968490742404351</v>
      </c>
      <c r="K290" s="114"/>
      <c r="L290" s="37">
        <v>69.350254415400002</v>
      </c>
      <c r="M290" s="37" t="s">
        <v>142</v>
      </c>
      <c r="N290" s="37">
        <v>514.18436487804865</v>
      </c>
      <c r="O290" s="132">
        <f t="shared" si="25"/>
        <v>35658.816520713539</v>
      </c>
      <c r="P290" s="134">
        <f t="shared" si="26"/>
        <v>22067.047601934115</v>
      </c>
      <c r="Q290" s="261">
        <v>0.79370328725444805</v>
      </c>
      <c r="R290" s="94"/>
    </row>
    <row r="291" spans="1:18" x14ac:dyDescent="0.25">
      <c r="A291" s="367">
        <v>40868</v>
      </c>
      <c r="B291" s="367" t="s">
        <v>279</v>
      </c>
      <c r="C291" s="279" t="s">
        <v>468</v>
      </c>
      <c r="D291" s="159" t="s">
        <v>950</v>
      </c>
      <c r="E291" s="45">
        <f t="shared" si="22"/>
        <v>40868</v>
      </c>
      <c r="F291" s="148" t="str">
        <f t="shared" si="23"/>
        <v>2011-12</v>
      </c>
      <c r="G291" s="1"/>
      <c r="H291" s="163"/>
      <c r="I291" s="37"/>
      <c r="J291" s="138">
        <f t="shared" si="24"/>
        <v>0.77968490742404351</v>
      </c>
      <c r="K291" s="114"/>
      <c r="L291" s="37">
        <v>20.813999631000002</v>
      </c>
      <c r="M291" s="37" t="s">
        <v>142</v>
      </c>
      <c r="N291" s="37">
        <v>514.18436487804865</v>
      </c>
      <c r="O291" s="132">
        <f t="shared" si="25"/>
        <v>10702.233180837675</v>
      </c>
      <c r="P291" s="134">
        <f t="shared" si="26"/>
        <v>6622.9536505048873</v>
      </c>
      <c r="Q291" s="261">
        <v>0.79370328725444805</v>
      </c>
      <c r="R291" s="94"/>
    </row>
    <row r="292" spans="1:18" x14ac:dyDescent="0.25">
      <c r="A292" s="367">
        <v>41199</v>
      </c>
      <c r="B292" s="367" t="s">
        <v>279</v>
      </c>
      <c r="C292" s="279" t="s">
        <v>469</v>
      </c>
      <c r="D292" s="159" t="s">
        <v>951</v>
      </c>
      <c r="E292" s="45">
        <f t="shared" si="22"/>
        <v>41199</v>
      </c>
      <c r="F292" s="148" t="str">
        <f t="shared" si="23"/>
        <v>2012-13</v>
      </c>
      <c r="G292" s="1"/>
      <c r="H292" s="163"/>
      <c r="I292" s="37"/>
      <c r="J292" s="138">
        <f t="shared" si="24"/>
        <v>0.77968490742404351</v>
      </c>
      <c r="K292" s="114"/>
      <c r="L292" s="37">
        <v>201.72880644599999</v>
      </c>
      <c r="M292" s="37" t="s">
        <v>142</v>
      </c>
      <c r="N292" s="37">
        <v>621.96155034146341</v>
      </c>
      <c r="O292" s="132">
        <f t="shared" si="25"/>
        <v>125467.56120568715</v>
      </c>
      <c r="P292" s="134">
        <f t="shared" si="26"/>
        <v>83362.754944971501</v>
      </c>
      <c r="Q292" s="261">
        <v>0.85216064732014885</v>
      </c>
      <c r="R292" s="94"/>
    </row>
    <row r="293" spans="1:18" x14ac:dyDescent="0.25">
      <c r="A293" s="367">
        <v>41199</v>
      </c>
      <c r="B293" s="367" t="s">
        <v>279</v>
      </c>
      <c r="C293" s="279" t="s">
        <v>469</v>
      </c>
      <c r="D293" s="159" t="s">
        <v>951</v>
      </c>
      <c r="E293" s="45">
        <f t="shared" si="22"/>
        <v>41199</v>
      </c>
      <c r="F293" s="148" t="str">
        <f t="shared" si="23"/>
        <v>2012-13</v>
      </c>
      <c r="G293" s="1"/>
      <c r="H293" s="163"/>
      <c r="I293" s="37"/>
      <c r="J293" s="138">
        <f t="shared" si="24"/>
        <v>0.77968490742404351</v>
      </c>
      <c r="K293" s="114"/>
      <c r="L293" s="37">
        <v>3.5929002802499999</v>
      </c>
      <c r="M293" s="37" t="s">
        <v>142</v>
      </c>
      <c r="N293" s="37">
        <v>621.96155034146341</v>
      </c>
      <c r="O293" s="132">
        <f t="shared" si="25"/>
        <v>2234.6458285265685</v>
      </c>
      <c r="P293" s="134">
        <f t="shared" si="26"/>
        <v>1484.7362202798538</v>
      </c>
      <c r="Q293" s="261">
        <v>0.85216064732014885</v>
      </c>
      <c r="R293" s="94"/>
    </row>
    <row r="294" spans="1:18" x14ac:dyDescent="0.25">
      <c r="A294" s="367">
        <v>41199</v>
      </c>
      <c r="B294" s="367" t="s">
        <v>279</v>
      </c>
      <c r="C294" s="279" t="s">
        <v>469</v>
      </c>
      <c r="D294" s="159" t="s">
        <v>951</v>
      </c>
      <c r="E294" s="45">
        <f t="shared" si="22"/>
        <v>41199</v>
      </c>
      <c r="F294" s="148" t="str">
        <f t="shared" si="23"/>
        <v>2012-13</v>
      </c>
      <c r="G294" s="1"/>
      <c r="H294" s="163"/>
      <c r="I294" s="37"/>
      <c r="J294" s="138">
        <f t="shared" si="24"/>
        <v>0.77968490742404351</v>
      </c>
      <c r="K294" s="114"/>
      <c r="L294" s="37">
        <v>2.0478970260499998</v>
      </c>
      <c r="M294" s="37" t="s">
        <v>142</v>
      </c>
      <c r="N294" s="37">
        <v>470.74786858536584</v>
      </c>
      <c r="O294" s="132">
        <f t="shared" si="25"/>
        <v>964.04316009534682</v>
      </c>
      <c r="P294" s="134">
        <f t="shared" si="26"/>
        <v>640.52646707347935</v>
      </c>
      <c r="Q294" s="261">
        <v>0.85216064732014885</v>
      </c>
      <c r="R294" s="94"/>
    </row>
    <row r="295" spans="1:18" x14ac:dyDescent="0.25">
      <c r="A295" s="367">
        <v>41199</v>
      </c>
      <c r="B295" s="367" t="s">
        <v>279</v>
      </c>
      <c r="C295" s="279" t="s">
        <v>469</v>
      </c>
      <c r="D295" s="159" t="s">
        <v>951</v>
      </c>
      <c r="E295" s="45">
        <f t="shared" si="22"/>
        <v>41199</v>
      </c>
      <c r="F295" s="148" t="str">
        <f t="shared" si="23"/>
        <v>2012-13</v>
      </c>
      <c r="G295" s="1"/>
      <c r="H295" s="163"/>
      <c r="I295" s="37"/>
      <c r="J295" s="138">
        <f t="shared" si="24"/>
        <v>0.77968490742404351</v>
      </c>
      <c r="K295" s="114"/>
      <c r="L295" s="37">
        <v>0.84480116003700001</v>
      </c>
      <c r="M295" s="37" t="s">
        <v>142</v>
      </c>
      <c r="N295" s="37">
        <v>621.96155034146341</v>
      </c>
      <c r="O295" s="132">
        <f t="shared" si="25"/>
        <v>525.43383922687929</v>
      </c>
      <c r="P295" s="134">
        <f t="shared" si="26"/>
        <v>349.10706766236621</v>
      </c>
      <c r="Q295" s="261">
        <v>0.85216064732014885</v>
      </c>
      <c r="R295" s="94"/>
    </row>
    <row r="296" spans="1:18" x14ac:dyDescent="0.25">
      <c r="A296" s="367">
        <v>41199</v>
      </c>
      <c r="B296" s="367" t="s">
        <v>279</v>
      </c>
      <c r="C296" s="279" t="s">
        <v>469</v>
      </c>
      <c r="D296" s="159" t="s">
        <v>951</v>
      </c>
      <c r="E296" s="45">
        <f t="shared" si="22"/>
        <v>41199</v>
      </c>
      <c r="F296" s="148" t="str">
        <f t="shared" si="23"/>
        <v>2012-13</v>
      </c>
      <c r="G296" s="1"/>
      <c r="H296" s="163"/>
      <c r="I296" s="37"/>
      <c r="J296" s="138">
        <f t="shared" si="24"/>
        <v>0.77968490742404351</v>
      </c>
      <c r="K296" s="114"/>
      <c r="L296" s="37">
        <v>1.81621391912</v>
      </c>
      <c r="M296" s="37" t="s">
        <v>142</v>
      </c>
      <c r="N296" s="37">
        <v>470.74786858536584</v>
      </c>
      <c r="O296" s="132">
        <f t="shared" si="25"/>
        <v>854.97883132081404</v>
      </c>
      <c r="P296" s="134">
        <f t="shared" si="26"/>
        <v>568.06229525488288</v>
      </c>
      <c r="Q296" s="261">
        <v>0.85216064732014885</v>
      </c>
      <c r="R296" s="94"/>
    </row>
    <row r="297" spans="1:18" x14ac:dyDescent="0.25">
      <c r="A297" s="367">
        <v>41199</v>
      </c>
      <c r="B297" s="367" t="s">
        <v>279</v>
      </c>
      <c r="C297" s="279" t="s">
        <v>469</v>
      </c>
      <c r="D297" s="159" t="s">
        <v>951</v>
      </c>
      <c r="E297" s="45">
        <f t="shared" si="22"/>
        <v>41199</v>
      </c>
      <c r="F297" s="148" t="str">
        <f t="shared" si="23"/>
        <v>2012-13</v>
      </c>
      <c r="G297" s="1"/>
      <c r="H297" s="163"/>
      <c r="I297" s="37"/>
      <c r="J297" s="138">
        <f t="shared" si="24"/>
        <v>0.77968490742404351</v>
      </c>
      <c r="K297" s="114"/>
      <c r="L297" s="37">
        <v>5.6040147183200002</v>
      </c>
      <c r="M297" s="37" t="s">
        <v>142</v>
      </c>
      <c r="N297" s="37">
        <v>621.96155034146341</v>
      </c>
      <c r="O297" s="132">
        <f t="shared" si="25"/>
        <v>3485.4816823426868</v>
      </c>
      <c r="P297" s="134">
        <f t="shared" si="26"/>
        <v>2315.8125698640747</v>
      </c>
      <c r="Q297" s="261">
        <v>0.85216064732014885</v>
      </c>
      <c r="R297" s="94"/>
    </row>
    <row r="298" spans="1:18" x14ac:dyDescent="0.25">
      <c r="A298" s="367">
        <v>41199</v>
      </c>
      <c r="B298" s="367" t="s">
        <v>279</v>
      </c>
      <c r="C298" s="279" t="s">
        <v>469</v>
      </c>
      <c r="D298" s="159" t="s">
        <v>951</v>
      </c>
      <c r="E298" s="45">
        <f t="shared" si="22"/>
        <v>41199</v>
      </c>
      <c r="F298" s="148" t="str">
        <f t="shared" si="23"/>
        <v>2012-13</v>
      </c>
      <c r="G298" s="1"/>
      <c r="H298" s="163"/>
      <c r="I298" s="37"/>
      <c r="J298" s="138">
        <f t="shared" si="24"/>
        <v>0.77968490742404351</v>
      </c>
      <c r="K298" s="114"/>
      <c r="L298" s="37">
        <v>3.5814625504099999</v>
      </c>
      <c r="M298" s="37" t="s">
        <v>142</v>
      </c>
      <c r="N298" s="37">
        <v>621.96155034146341</v>
      </c>
      <c r="O298" s="132">
        <f t="shared" si="25"/>
        <v>2227.5320003428951</v>
      </c>
      <c r="P298" s="134">
        <f t="shared" si="26"/>
        <v>1480.0096733549158</v>
      </c>
      <c r="Q298" s="261">
        <v>0.85216064732014885</v>
      </c>
      <c r="R298" s="94"/>
    </row>
    <row r="299" spans="1:18" x14ac:dyDescent="0.25">
      <c r="A299" s="367">
        <v>41199</v>
      </c>
      <c r="B299" s="367" t="s">
        <v>279</v>
      </c>
      <c r="C299" s="279" t="s">
        <v>469</v>
      </c>
      <c r="D299" s="159" t="s">
        <v>951</v>
      </c>
      <c r="E299" s="45">
        <f t="shared" si="22"/>
        <v>41199</v>
      </c>
      <c r="F299" s="148" t="str">
        <f t="shared" si="23"/>
        <v>2012-13</v>
      </c>
      <c r="G299" s="1"/>
      <c r="H299" s="163"/>
      <c r="I299" s="37"/>
      <c r="J299" s="138">
        <f t="shared" si="24"/>
        <v>0.77968490742404351</v>
      </c>
      <c r="K299" s="114"/>
      <c r="L299" s="37">
        <v>19.500205587899998</v>
      </c>
      <c r="M299" s="37" t="s">
        <v>142</v>
      </c>
      <c r="N299" s="37">
        <v>621.96155034146341</v>
      </c>
      <c r="O299" s="132">
        <f t="shared" si="25"/>
        <v>12128.378099427551</v>
      </c>
      <c r="P299" s="134">
        <f t="shared" si="26"/>
        <v>8058.298110417958</v>
      </c>
      <c r="Q299" s="261">
        <v>0.85216064732014885</v>
      </c>
      <c r="R299" s="94"/>
    </row>
    <row r="300" spans="1:18" x14ac:dyDescent="0.25">
      <c r="A300" s="367">
        <v>41199</v>
      </c>
      <c r="B300" s="367" t="s">
        <v>279</v>
      </c>
      <c r="C300" s="279" t="s">
        <v>469</v>
      </c>
      <c r="D300" s="159" t="s">
        <v>951</v>
      </c>
      <c r="E300" s="45">
        <f t="shared" si="22"/>
        <v>41199</v>
      </c>
      <c r="F300" s="148" t="str">
        <f t="shared" si="23"/>
        <v>2012-13</v>
      </c>
      <c r="G300" s="1"/>
      <c r="H300" s="163"/>
      <c r="I300" s="37"/>
      <c r="J300" s="138">
        <f t="shared" si="24"/>
        <v>0.77968490742404351</v>
      </c>
      <c r="K300" s="114"/>
      <c r="L300" s="37">
        <v>13.685177273200001</v>
      </c>
      <c r="M300" s="37" t="s">
        <v>142</v>
      </c>
      <c r="N300" s="37">
        <v>916.52160117073151</v>
      </c>
      <c r="O300" s="132">
        <f t="shared" si="25"/>
        <v>12542.76058673857</v>
      </c>
      <c r="P300" s="134">
        <f t="shared" si="26"/>
        <v>8333.62079471375</v>
      </c>
      <c r="Q300" s="261">
        <v>0.85216064732014885</v>
      </c>
      <c r="R300" s="94"/>
    </row>
    <row r="301" spans="1:18" x14ac:dyDescent="0.25">
      <c r="A301" s="371">
        <v>41199</v>
      </c>
      <c r="B301" s="367" t="s">
        <v>279</v>
      </c>
      <c r="C301" s="279" t="s">
        <v>469</v>
      </c>
      <c r="D301" s="159" t="s">
        <v>951</v>
      </c>
      <c r="E301" s="45">
        <f t="shared" si="22"/>
        <v>41199</v>
      </c>
      <c r="F301" s="148" t="str">
        <f t="shared" si="23"/>
        <v>2012-13</v>
      </c>
      <c r="G301" s="1"/>
      <c r="H301" s="163"/>
      <c r="I301" s="37"/>
      <c r="J301" s="138">
        <f t="shared" si="24"/>
        <v>0.77968490742404351</v>
      </c>
      <c r="K301" s="114"/>
      <c r="L301" s="37">
        <v>3.4542338608900001</v>
      </c>
      <c r="M301" s="37" t="s">
        <v>142</v>
      </c>
      <c r="N301" s="37">
        <v>470.74786858536584</v>
      </c>
      <c r="O301" s="132">
        <f t="shared" si="25"/>
        <v>1626.0732276093665</v>
      </c>
      <c r="P301" s="134">
        <f t="shared" si="26"/>
        <v>1080.3903630003301</v>
      </c>
      <c r="Q301" s="261">
        <v>0.85216064732014885</v>
      </c>
      <c r="R301" s="94"/>
    </row>
    <row r="302" spans="1:18" x14ac:dyDescent="0.25">
      <c r="A302" s="371">
        <v>41199</v>
      </c>
      <c r="B302" s="367" t="s">
        <v>279</v>
      </c>
      <c r="C302" s="279" t="s">
        <v>469</v>
      </c>
      <c r="D302" s="159" t="s">
        <v>951</v>
      </c>
      <c r="E302" s="45">
        <f t="shared" si="22"/>
        <v>41199</v>
      </c>
      <c r="F302" s="148" t="str">
        <f t="shared" si="23"/>
        <v>2012-13</v>
      </c>
      <c r="G302" s="1"/>
      <c r="H302" s="163"/>
      <c r="I302" s="37"/>
      <c r="J302" s="138">
        <f t="shared" si="24"/>
        <v>0.77968490742404351</v>
      </c>
      <c r="K302" s="114"/>
      <c r="L302" s="37">
        <v>3.5066522475399999</v>
      </c>
      <c r="M302" s="37" t="s">
        <v>142</v>
      </c>
      <c r="N302" s="37">
        <v>470.74786858536584</v>
      </c>
      <c r="O302" s="132">
        <f t="shared" si="25"/>
        <v>1650.7490713995376</v>
      </c>
      <c r="P302" s="134">
        <f t="shared" si="26"/>
        <v>1096.7854080555869</v>
      </c>
      <c r="Q302" s="261">
        <v>0.85216064732014885</v>
      </c>
      <c r="R302" s="94"/>
    </row>
    <row r="303" spans="1:18" x14ac:dyDescent="0.25">
      <c r="A303" s="371">
        <v>41199</v>
      </c>
      <c r="B303" s="367" t="s">
        <v>279</v>
      </c>
      <c r="C303" s="279" t="s">
        <v>469</v>
      </c>
      <c r="D303" s="159" t="s">
        <v>951</v>
      </c>
      <c r="E303" s="45">
        <f t="shared" si="22"/>
        <v>41199</v>
      </c>
      <c r="F303" s="148" t="str">
        <f t="shared" si="23"/>
        <v>2012-13</v>
      </c>
      <c r="G303" s="1"/>
      <c r="H303" s="163"/>
      <c r="I303" s="37"/>
      <c r="J303" s="138">
        <f t="shared" si="24"/>
        <v>0.77968490742404351</v>
      </c>
      <c r="K303" s="114"/>
      <c r="L303" s="37">
        <v>6.0234971274899998</v>
      </c>
      <c r="M303" s="37" t="s">
        <v>142</v>
      </c>
      <c r="N303" s="37">
        <v>470.74786858536584</v>
      </c>
      <c r="O303" s="132">
        <f t="shared" si="25"/>
        <v>2835.5484341959909</v>
      </c>
      <c r="P303" s="134">
        <f t="shared" si="26"/>
        <v>1883.9860038959901</v>
      </c>
      <c r="Q303" s="261">
        <v>0.85216064732014885</v>
      </c>
      <c r="R303" s="94"/>
    </row>
    <row r="304" spans="1:18" x14ac:dyDescent="0.25">
      <c r="A304" s="367">
        <v>41199</v>
      </c>
      <c r="B304" s="367" t="s">
        <v>279</v>
      </c>
      <c r="C304" s="279" t="s">
        <v>469</v>
      </c>
      <c r="D304" s="159" t="s">
        <v>951</v>
      </c>
      <c r="E304" s="45">
        <f t="shared" si="22"/>
        <v>41199</v>
      </c>
      <c r="F304" s="148" t="str">
        <f t="shared" si="23"/>
        <v>2012-13</v>
      </c>
      <c r="G304" s="1"/>
      <c r="H304" s="163"/>
      <c r="I304" s="37"/>
      <c r="J304" s="138">
        <f t="shared" si="24"/>
        <v>0.77968490742404351</v>
      </c>
      <c r="K304" s="114"/>
      <c r="L304" s="37">
        <v>4.4229480005999999</v>
      </c>
      <c r="M304" s="37" t="s">
        <v>142</v>
      </c>
      <c r="N304" s="37">
        <v>470.74786858536584</v>
      </c>
      <c r="O304" s="132">
        <f t="shared" si="25"/>
        <v>2082.0933441463553</v>
      </c>
      <c r="P304" s="134">
        <f t="shared" si="26"/>
        <v>1383.377787475169</v>
      </c>
      <c r="Q304" s="261">
        <v>0.85216064732014885</v>
      </c>
      <c r="R304" s="94"/>
    </row>
    <row r="305" spans="1:18" x14ac:dyDescent="0.25">
      <c r="A305" s="367">
        <v>41199</v>
      </c>
      <c r="B305" s="367" t="s">
        <v>279</v>
      </c>
      <c r="C305" s="279" t="s">
        <v>469</v>
      </c>
      <c r="D305" s="159" t="s">
        <v>951</v>
      </c>
      <c r="E305" s="45">
        <f t="shared" si="22"/>
        <v>41199</v>
      </c>
      <c r="F305" s="148" t="str">
        <f t="shared" si="23"/>
        <v>2012-13</v>
      </c>
      <c r="G305" s="1"/>
      <c r="H305" s="163"/>
      <c r="I305" s="37"/>
      <c r="J305" s="138">
        <f t="shared" si="24"/>
        <v>0.77968490742404351</v>
      </c>
      <c r="K305" s="114"/>
      <c r="L305" s="37">
        <v>90.847123486100003</v>
      </c>
      <c r="M305" s="37" t="s">
        <v>142</v>
      </c>
      <c r="N305" s="37">
        <v>621.96155034146341</v>
      </c>
      <c r="O305" s="132">
        <f t="shared" si="25"/>
        <v>56503.417767477127</v>
      </c>
      <c r="P305" s="134">
        <f t="shared" si="26"/>
        <v>37541.819763131243</v>
      </c>
      <c r="Q305" s="261">
        <v>0.85216064732014885</v>
      </c>
      <c r="R305" s="94"/>
    </row>
    <row r="306" spans="1:18" x14ac:dyDescent="0.25">
      <c r="A306" s="367">
        <v>41199</v>
      </c>
      <c r="B306" s="367" t="s">
        <v>279</v>
      </c>
      <c r="C306" s="279" t="s">
        <v>469</v>
      </c>
      <c r="D306" s="159" t="s">
        <v>951</v>
      </c>
      <c r="E306" s="45">
        <f t="shared" si="22"/>
        <v>41199</v>
      </c>
      <c r="F306" s="148" t="str">
        <f t="shared" si="23"/>
        <v>2012-13</v>
      </c>
      <c r="G306" s="1"/>
      <c r="H306" s="163"/>
      <c r="I306" s="37"/>
      <c r="J306" s="138">
        <f t="shared" si="24"/>
        <v>0.77968490742404351</v>
      </c>
      <c r="K306" s="114"/>
      <c r="L306" s="37">
        <v>5.6655892448599996</v>
      </c>
      <c r="M306" s="37" t="s">
        <v>142</v>
      </c>
      <c r="N306" s="37">
        <v>621.96155034146341</v>
      </c>
      <c r="O306" s="132">
        <f t="shared" si="25"/>
        <v>3523.7786703310462</v>
      </c>
      <c r="P306" s="134">
        <f t="shared" si="26"/>
        <v>2341.2577318973936</v>
      </c>
      <c r="Q306" s="261">
        <v>0.85216064732014885</v>
      </c>
      <c r="R306" s="94"/>
    </row>
    <row r="307" spans="1:18" x14ac:dyDescent="0.25">
      <c r="A307" s="367">
        <v>41194</v>
      </c>
      <c r="B307" s="367" t="s">
        <v>279</v>
      </c>
      <c r="C307" s="279" t="s">
        <v>470</v>
      </c>
      <c r="D307" s="159" t="s">
        <v>952</v>
      </c>
      <c r="E307" s="45">
        <f t="shared" si="22"/>
        <v>41194</v>
      </c>
      <c r="F307" s="148" t="str">
        <f t="shared" si="23"/>
        <v>2012-13</v>
      </c>
      <c r="G307" s="1"/>
      <c r="H307" s="163"/>
      <c r="I307" s="37"/>
      <c r="J307" s="138">
        <f t="shared" si="24"/>
        <v>0.77968490742404351</v>
      </c>
      <c r="K307" s="114"/>
      <c r="L307" s="37">
        <v>120.23356192200001</v>
      </c>
      <c r="M307" s="37" t="s">
        <v>142</v>
      </c>
      <c r="N307" s="37">
        <v>514.18436487804865</v>
      </c>
      <c r="O307" s="132">
        <f t="shared" si="25"/>
        <v>61822.217673889107</v>
      </c>
      <c r="P307" s="134">
        <f t="shared" si="26"/>
        <v>44335.431017191084</v>
      </c>
      <c r="Q307" s="261">
        <v>0.91978691603111951</v>
      </c>
      <c r="R307" s="94"/>
    </row>
    <row r="308" spans="1:18" x14ac:dyDescent="0.25">
      <c r="A308" s="367">
        <v>41194</v>
      </c>
      <c r="B308" s="367" t="s">
        <v>279</v>
      </c>
      <c r="C308" s="279" t="s">
        <v>470</v>
      </c>
      <c r="D308" s="159" t="s">
        <v>952</v>
      </c>
      <c r="E308" s="45">
        <f t="shared" si="22"/>
        <v>41194</v>
      </c>
      <c r="F308" s="148" t="str">
        <f t="shared" si="23"/>
        <v>2012-13</v>
      </c>
      <c r="G308" s="1"/>
      <c r="H308" s="163"/>
      <c r="I308" s="37"/>
      <c r="J308" s="138">
        <f t="shared" si="24"/>
        <v>0.77968490742404351</v>
      </c>
      <c r="K308" s="114"/>
      <c r="L308" s="37">
        <v>1.1044623126199999</v>
      </c>
      <c r="M308" s="37" t="s">
        <v>142</v>
      </c>
      <c r="N308" s="37">
        <v>470.74786858536584</v>
      </c>
      <c r="O308" s="132">
        <f t="shared" si="25"/>
        <v>519.92327959872898</v>
      </c>
      <c r="P308" s="134">
        <f t="shared" si="26"/>
        <v>372.85984819365206</v>
      </c>
      <c r="Q308" s="261">
        <v>0.91978691603111951</v>
      </c>
      <c r="R308" s="94"/>
    </row>
    <row r="309" spans="1:18" x14ac:dyDescent="0.25">
      <c r="A309" s="367">
        <v>41194</v>
      </c>
      <c r="B309" s="367" t="s">
        <v>279</v>
      </c>
      <c r="C309" s="279" t="s">
        <v>470</v>
      </c>
      <c r="D309" s="159" t="s">
        <v>952</v>
      </c>
      <c r="E309" s="45">
        <f t="shared" si="22"/>
        <v>41194</v>
      </c>
      <c r="F309" s="148" t="str">
        <f t="shared" si="23"/>
        <v>2012-13</v>
      </c>
      <c r="G309" s="1"/>
      <c r="H309" s="163"/>
      <c r="I309" s="37"/>
      <c r="J309" s="138">
        <f t="shared" si="24"/>
        <v>0.77968490742404351</v>
      </c>
      <c r="K309" s="114"/>
      <c r="L309" s="37">
        <v>40.818746948200001</v>
      </c>
      <c r="M309" s="37" t="s">
        <v>142</v>
      </c>
      <c r="N309" s="37">
        <v>514.18436487804865</v>
      </c>
      <c r="O309" s="132">
        <f t="shared" si="25"/>
        <v>20988.361474678004</v>
      </c>
      <c r="P309" s="134">
        <f t="shared" si="26"/>
        <v>15051.677007657239</v>
      </c>
      <c r="Q309" s="261">
        <v>0.91978691603111951</v>
      </c>
      <c r="R309" s="94"/>
    </row>
    <row r="310" spans="1:18" x14ac:dyDescent="0.25">
      <c r="A310" s="367">
        <v>41194</v>
      </c>
      <c r="B310" s="367" t="s">
        <v>279</v>
      </c>
      <c r="C310" s="279" t="s">
        <v>470</v>
      </c>
      <c r="D310" s="159" t="s">
        <v>952</v>
      </c>
      <c r="E310" s="45">
        <f t="shared" si="22"/>
        <v>41194</v>
      </c>
      <c r="F310" s="148" t="str">
        <f t="shared" si="23"/>
        <v>2012-13</v>
      </c>
      <c r="G310" s="1"/>
      <c r="H310" s="163"/>
      <c r="I310" s="37"/>
      <c r="J310" s="138">
        <f t="shared" si="24"/>
        <v>0.77968490742404351</v>
      </c>
      <c r="K310" s="114"/>
      <c r="L310" s="37">
        <v>4.7599654001399996</v>
      </c>
      <c r="M310" s="37" t="s">
        <v>142</v>
      </c>
      <c r="N310" s="37">
        <v>514.18436487804865</v>
      </c>
      <c r="O310" s="132">
        <f t="shared" si="25"/>
        <v>2447.4997861124725</v>
      </c>
      <c r="P310" s="134">
        <f t="shared" si="26"/>
        <v>1755.2097290358054</v>
      </c>
      <c r="Q310" s="261">
        <v>0.91978691603111951</v>
      </c>
      <c r="R310" s="94"/>
    </row>
    <row r="311" spans="1:18" x14ac:dyDescent="0.25">
      <c r="A311" s="367">
        <v>41194</v>
      </c>
      <c r="B311" s="367" t="s">
        <v>279</v>
      </c>
      <c r="C311" s="279" t="s">
        <v>470</v>
      </c>
      <c r="D311" s="159" t="s">
        <v>952</v>
      </c>
      <c r="E311" s="45">
        <f t="shared" si="22"/>
        <v>41194</v>
      </c>
      <c r="F311" s="148" t="str">
        <f t="shared" si="23"/>
        <v>2012-13</v>
      </c>
      <c r="G311" s="1"/>
      <c r="H311" s="163"/>
      <c r="I311" s="37"/>
      <c r="J311" s="138">
        <f t="shared" si="24"/>
        <v>0.77968490742404351</v>
      </c>
      <c r="K311" s="114"/>
      <c r="L311" s="37">
        <v>22.7006033045</v>
      </c>
      <c r="M311" s="37" t="s">
        <v>142</v>
      </c>
      <c r="N311" s="37">
        <v>514.18436487804865</v>
      </c>
      <c r="O311" s="132">
        <f t="shared" si="25"/>
        <v>11672.295292472865</v>
      </c>
      <c r="P311" s="134">
        <f t="shared" si="26"/>
        <v>8370.7162606410657</v>
      </c>
      <c r="Q311" s="261">
        <v>0.91978691603111951</v>
      </c>
      <c r="R311" s="94"/>
    </row>
    <row r="312" spans="1:18" x14ac:dyDescent="0.25">
      <c r="A312" s="367">
        <v>41218</v>
      </c>
      <c r="B312" s="367" t="s">
        <v>279</v>
      </c>
      <c r="C312" s="279" t="s">
        <v>471</v>
      </c>
      <c r="D312" s="159" t="s">
        <v>941</v>
      </c>
      <c r="E312" s="45">
        <f t="shared" si="22"/>
        <v>41218</v>
      </c>
      <c r="F312" s="148" t="str">
        <f t="shared" si="23"/>
        <v>2012-13</v>
      </c>
      <c r="G312" s="1"/>
      <c r="H312" s="163"/>
      <c r="I312" s="37"/>
      <c r="J312" s="138">
        <f t="shared" si="24"/>
        <v>0.77968490742404351</v>
      </c>
      <c r="K312" s="114"/>
      <c r="L312" s="37">
        <v>54.506059045999997</v>
      </c>
      <c r="M312" s="37" t="s">
        <v>142</v>
      </c>
      <c r="N312" s="37">
        <v>514.18436487804865</v>
      </c>
      <c r="O312" s="132">
        <f t="shared" si="25"/>
        <v>28026.163352572927</v>
      </c>
      <c r="P312" s="134">
        <f t="shared" si="26"/>
        <v>16624.304724253114</v>
      </c>
      <c r="Q312" s="261">
        <v>0.76078285080025188</v>
      </c>
      <c r="R312" s="94"/>
    </row>
    <row r="313" spans="1:18" x14ac:dyDescent="0.25">
      <c r="A313" s="367">
        <v>41218</v>
      </c>
      <c r="B313" s="367" t="s">
        <v>279</v>
      </c>
      <c r="C313" s="279" t="s">
        <v>471</v>
      </c>
      <c r="D313" s="159" t="s">
        <v>941</v>
      </c>
      <c r="E313" s="45">
        <f t="shared" si="22"/>
        <v>41218</v>
      </c>
      <c r="F313" s="148" t="str">
        <f t="shared" si="23"/>
        <v>2012-13</v>
      </c>
      <c r="G313" s="1"/>
      <c r="H313" s="163"/>
      <c r="I313" s="37"/>
      <c r="J313" s="138">
        <f t="shared" si="24"/>
        <v>0.77968490742404351</v>
      </c>
      <c r="K313" s="114"/>
      <c r="L313" s="37">
        <v>8.5152349235700004</v>
      </c>
      <c r="M313" s="37" t="s">
        <v>142</v>
      </c>
      <c r="N313" s="37">
        <v>514.18436487804865</v>
      </c>
      <c r="O313" s="132">
        <f t="shared" si="25"/>
        <v>4378.4006609632197</v>
      </c>
      <c r="P313" s="134">
        <f t="shared" si="26"/>
        <v>2597.1398895040538</v>
      </c>
      <c r="Q313" s="261">
        <v>0.76078285080025188</v>
      </c>
      <c r="R313" s="94"/>
    </row>
    <row r="314" spans="1:18" x14ac:dyDescent="0.25">
      <c r="A314" s="367">
        <v>41218</v>
      </c>
      <c r="B314" s="367" t="s">
        <v>279</v>
      </c>
      <c r="C314" s="279" t="s">
        <v>471</v>
      </c>
      <c r="D314" s="159" t="s">
        <v>941</v>
      </c>
      <c r="E314" s="45">
        <f t="shared" si="22"/>
        <v>41218</v>
      </c>
      <c r="F314" s="148" t="str">
        <f t="shared" si="23"/>
        <v>2012-13</v>
      </c>
      <c r="G314" s="1"/>
      <c r="H314" s="163"/>
      <c r="I314" s="37"/>
      <c r="J314" s="138">
        <f t="shared" si="24"/>
        <v>0.77968490742404351</v>
      </c>
      <c r="K314" s="114"/>
      <c r="L314" s="37">
        <v>1.7002382186</v>
      </c>
      <c r="M314" s="37" t="s">
        <v>142</v>
      </c>
      <c r="N314" s="37">
        <v>470.74786858536584</v>
      </c>
      <c r="O314" s="132">
        <f t="shared" si="25"/>
        <v>800.38351749332935</v>
      </c>
      <c r="P314" s="134">
        <f t="shared" si="26"/>
        <v>474.76421669600899</v>
      </c>
      <c r="Q314" s="261">
        <v>0.76078285080025188</v>
      </c>
      <c r="R314" s="94"/>
    </row>
    <row r="315" spans="1:18" x14ac:dyDescent="0.25">
      <c r="A315" s="367">
        <v>41255</v>
      </c>
      <c r="B315" s="367" t="s">
        <v>279</v>
      </c>
      <c r="C315" s="279" t="s">
        <v>472</v>
      </c>
      <c r="D315" s="159" t="s">
        <v>942</v>
      </c>
      <c r="E315" s="45">
        <f t="shared" si="22"/>
        <v>41255</v>
      </c>
      <c r="F315" s="148" t="str">
        <f t="shared" si="23"/>
        <v>2012-13</v>
      </c>
      <c r="G315" s="1"/>
      <c r="H315" s="163"/>
      <c r="I315" s="37"/>
      <c r="J315" s="138">
        <f t="shared" si="24"/>
        <v>0.77968490742404351</v>
      </c>
      <c r="K315" s="114"/>
      <c r="L315" s="37">
        <v>64.645973243300006</v>
      </c>
      <c r="M315" s="37" t="s">
        <v>142</v>
      </c>
      <c r="N315" s="37">
        <v>514.18436487804865</v>
      </c>
      <c r="O315" s="132">
        <f t="shared" si="25"/>
        <v>33239.948694029539</v>
      </c>
      <c r="P315" s="134">
        <f t="shared" si="26"/>
        <v>20381.652322266615</v>
      </c>
      <c r="Q315" s="261">
        <v>0.786429718305244</v>
      </c>
      <c r="R315" s="94"/>
    </row>
    <row r="316" spans="1:18" x14ac:dyDescent="0.25">
      <c r="A316" s="367">
        <v>41255</v>
      </c>
      <c r="B316" s="367" t="s">
        <v>279</v>
      </c>
      <c r="C316" s="279" t="s">
        <v>472</v>
      </c>
      <c r="D316" s="159" t="s">
        <v>942</v>
      </c>
      <c r="E316" s="45">
        <f t="shared" si="22"/>
        <v>41255</v>
      </c>
      <c r="F316" s="148" t="str">
        <f t="shared" si="23"/>
        <v>2012-13</v>
      </c>
      <c r="G316" s="1"/>
      <c r="H316" s="163"/>
      <c r="I316" s="37"/>
      <c r="J316" s="138">
        <f t="shared" si="24"/>
        <v>0.77968490742404351</v>
      </c>
      <c r="K316" s="114"/>
      <c r="L316" s="37">
        <v>2.19936927533</v>
      </c>
      <c r="M316" s="37" t="s">
        <v>142</v>
      </c>
      <c r="N316" s="37">
        <v>514.18436487804865</v>
      </c>
      <c r="O316" s="132">
        <f t="shared" si="25"/>
        <v>1130.8812939678503</v>
      </c>
      <c r="P316" s="134">
        <f t="shared" si="26"/>
        <v>693.41952250208317</v>
      </c>
      <c r="Q316" s="261">
        <v>0.786429718305244</v>
      </c>
      <c r="R316" s="94"/>
    </row>
    <row r="317" spans="1:18" x14ac:dyDescent="0.25">
      <c r="A317" s="367">
        <v>41255</v>
      </c>
      <c r="B317" s="367" t="s">
        <v>279</v>
      </c>
      <c r="C317" s="279" t="s">
        <v>472</v>
      </c>
      <c r="D317" s="159" t="s">
        <v>942</v>
      </c>
      <c r="E317" s="45">
        <f t="shared" si="22"/>
        <v>41255</v>
      </c>
      <c r="F317" s="148" t="str">
        <f t="shared" si="23"/>
        <v>2012-13</v>
      </c>
      <c r="G317" s="1"/>
      <c r="H317" s="163"/>
      <c r="I317" s="37"/>
      <c r="J317" s="138">
        <f t="shared" si="24"/>
        <v>0.77968490742404351</v>
      </c>
      <c r="K317" s="114"/>
      <c r="L317" s="37">
        <v>2.9996674583199998</v>
      </c>
      <c r="M317" s="37" t="s">
        <v>142</v>
      </c>
      <c r="N317" s="37">
        <v>470.74786858536584</v>
      </c>
      <c r="O317" s="132">
        <f t="shared" si="25"/>
        <v>1412.0870624690217</v>
      </c>
      <c r="P317" s="134">
        <f t="shared" si="26"/>
        <v>865.84572740883539</v>
      </c>
      <c r="Q317" s="261">
        <v>0.786429718305244</v>
      </c>
      <c r="R317" s="94"/>
    </row>
    <row r="318" spans="1:18" x14ac:dyDescent="0.25">
      <c r="A318" s="367">
        <v>41255</v>
      </c>
      <c r="B318" s="367" t="s">
        <v>279</v>
      </c>
      <c r="C318" s="279" t="s">
        <v>472</v>
      </c>
      <c r="D318" s="159" t="s">
        <v>942</v>
      </c>
      <c r="E318" s="45">
        <f t="shared" si="22"/>
        <v>41255</v>
      </c>
      <c r="F318" s="148" t="str">
        <f t="shared" si="23"/>
        <v>2012-13</v>
      </c>
      <c r="G318" s="1"/>
      <c r="H318" s="163"/>
      <c r="I318" s="37"/>
      <c r="J318" s="138">
        <f t="shared" si="24"/>
        <v>0.77968490742404351</v>
      </c>
      <c r="K318" s="114"/>
      <c r="L318" s="37">
        <v>0.50030090945399996</v>
      </c>
      <c r="M318" s="37" t="s">
        <v>142</v>
      </c>
      <c r="N318" s="37">
        <v>470.74786858536584</v>
      </c>
      <c r="O318" s="132">
        <f t="shared" si="25"/>
        <v>235.5155867767906</v>
      </c>
      <c r="P318" s="134">
        <f t="shared" si="26"/>
        <v>144.41047579057653</v>
      </c>
      <c r="Q318" s="261">
        <v>0.786429718305244</v>
      </c>
      <c r="R318" s="94"/>
    </row>
    <row r="319" spans="1:18" x14ac:dyDescent="0.25">
      <c r="A319" s="367">
        <v>41255</v>
      </c>
      <c r="B319" s="367" t="s">
        <v>279</v>
      </c>
      <c r="C319" s="279" t="s">
        <v>472</v>
      </c>
      <c r="D319" s="159" t="s">
        <v>942</v>
      </c>
      <c r="E319" s="45">
        <f t="shared" si="22"/>
        <v>41255</v>
      </c>
      <c r="F319" s="148" t="str">
        <f t="shared" si="23"/>
        <v>2012-13</v>
      </c>
      <c r="G319" s="1"/>
      <c r="H319" s="163"/>
      <c r="I319" s="37"/>
      <c r="J319" s="138">
        <f t="shared" si="24"/>
        <v>0.77968490742404351</v>
      </c>
      <c r="K319" s="114"/>
      <c r="L319" s="37">
        <v>25.312001025099999</v>
      </c>
      <c r="M319" s="37" t="s">
        <v>142</v>
      </c>
      <c r="N319" s="37">
        <v>514.18436487804865</v>
      </c>
      <c r="O319" s="132">
        <f t="shared" si="25"/>
        <v>13015.035170883559</v>
      </c>
      <c r="P319" s="134">
        <f t="shared" si="26"/>
        <v>7980.3950438307129</v>
      </c>
      <c r="Q319" s="261">
        <v>0.786429718305244</v>
      </c>
      <c r="R319" s="94"/>
    </row>
    <row r="320" spans="1:18" x14ac:dyDescent="0.25">
      <c r="A320" s="367">
        <v>41255</v>
      </c>
      <c r="B320" s="367" t="s">
        <v>279</v>
      </c>
      <c r="C320" s="279" t="s">
        <v>472</v>
      </c>
      <c r="D320" s="159" t="s">
        <v>942</v>
      </c>
      <c r="E320" s="45">
        <f t="shared" si="22"/>
        <v>41255</v>
      </c>
      <c r="F320" s="148" t="str">
        <f t="shared" si="23"/>
        <v>2012-13</v>
      </c>
      <c r="G320" s="1"/>
      <c r="H320" s="163"/>
      <c r="I320" s="37"/>
      <c r="J320" s="138">
        <f t="shared" si="24"/>
        <v>0.77968490742404351</v>
      </c>
      <c r="K320" s="114"/>
      <c r="L320" s="37">
        <v>1.4993285163700001</v>
      </c>
      <c r="M320" s="37" t="s">
        <v>142</v>
      </c>
      <c r="N320" s="37">
        <v>514.18436487804865</v>
      </c>
      <c r="O320" s="132">
        <f t="shared" si="25"/>
        <v>770.93128093325549</v>
      </c>
      <c r="P320" s="134">
        <f t="shared" si="26"/>
        <v>472.70991531835779</v>
      </c>
      <c r="Q320" s="261">
        <v>0.786429718305244</v>
      </c>
      <c r="R320" s="94"/>
    </row>
    <row r="321" spans="1:18" x14ac:dyDescent="0.25">
      <c r="A321" s="367">
        <v>41233</v>
      </c>
      <c r="B321" s="367" t="s">
        <v>279</v>
      </c>
      <c r="C321" s="279" t="s">
        <v>473</v>
      </c>
      <c r="D321" s="159" t="s">
        <v>953</v>
      </c>
      <c r="E321" s="45">
        <f t="shared" si="22"/>
        <v>41233</v>
      </c>
      <c r="F321" s="148" t="str">
        <f t="shared" si="23"/>
        <v>2012-13</v>
      </c>
      <c r="G321" s="1"/>
      <c r="H321" s="163"/>
      <c r="I321" s="37"/>
      <c r="J321" s="138">
        <f t="shared" si="24"/>
        <v>0.77968490742404351</v>
      </c>
      <c r="K321" s="114"/>
      <c r="L321" s="37">
        <v>87.406694040199994</v>
      </c>
      <c r="M321" s="37" t="s">
        <v>142</v>
      </c>
      <c r="N321" s="37">
        <v>470.74786858536584</v>
      </c>
      <c r="O321" s="132">
        <f t="shared" si="25"/>
        <v>41146.514919517344</v>
      </c>
      <c r="P321" s="134">
        <f t="shared" si="26"/>
        <v>6925.0991022860326</v>
      </c>
      <c r="Q321" s="261">
        <v>0.21586081307878349</v>
      </c>
      <c r="R321" s="94"/>
    </row>
    <row r="322" spans="1:18" x14ac:dyDescent="0.25">
      <c r="A322" s="367">
        <v>41233</v>
      </c>
      <c r="B322" s="367" t="s">
        <v>279</v>
      </c>
      <c r="C322" s="279" t="s">
        <v>473</v>
      </c>
      <c r="D322" s="159" t="s">
        <v>953</v>
      </c>
      <c r="E322" s="45">
        <f t="shared" si="22"/>
        <v>41233</v>
      </c>
      <c r="F322" s="148" t="str">
        <f t="shared" si="23"/>
        <v>2012-13</v>
      </c>
      <c r="G322" s="1"/>
      <c r="H322" s="163"/>
      <c r="I322" s="37"/>
      <c r="J322" s="138">
        <f t="shared" si="24"/>
        <v>0.77968490742404351</v>
      </c>
      <c r="K322" s="114"/>
      <c r="L322" s="37">
        <v>58.112466275999999</v>
      </c>
      <c r="M322" s="37" t="s">
        <v>142</v>
      </c>
      <c r="N322" s="37">
        <v>514.18436487804865</v>
      </c>
      <c r="O322" s="132">
        <f t="shared" si="25"/>
        <v>29880.521563622082</v>
      </c>
      <c r="P322" s="134">
        <f t="shared" si="26"/>
        <v>5028.9939126272175</v>
      </c>
      <c r="Q322" s="261">
        <v>0.21586081307878349</v>
      </c>
      <c r="R322" s="94"/>
    </row>
    <row r="323" spans="1:18" x14ac:dyDescent="0.25">
      <c r="A323" s="367">
        <v>41233</v>
      </c>
      <c r="B323" s="367" t="s">
        <v>279</v>
      </c>
      <c r="C323" s="279" t="s">
        <v>473</v>
      </c>
      <c r="D323" s="159" t="s">
        <v>953</v>
      </c>
      <c r="E323" s="45">
        <f t="shared" si="22"/>
        <v>41233</v>
      </c>
      <c r="F323" s="148" t="str">
        <f t="shared" si="23"/>
        <v>2012-13</v>
      </c>
      <c r="G323" s="1"/>
      <c r="H323" s="163"/>
      <c r="I323" s="37"/>
      <c r="J323" s="138">
        <f t="shared" si="24"/>
        <v>0.77968490742404351</v>
      </c>
      <c r="K323" s="114"/>
      <c r="L323" s="37">
        <v>19.902490971199999</v>
      </c>
      <c r="M323" s="37" t="s">
        <v>142</v>
      </c>
      <c r="N323" s="37">
        <v>514.18436487804865</v>
      </c>
      <c r="O323" s="132">
        <f t="shared" si="25"/>
        <v>10233.54967951757</v>
      </c>
      <c r="P323" s="134">
        <f t="shared" si="26"/>
        <v>1722.341389968148</v>
      </c>
      <c r="Q323" s="261">
        <v>0.21586081307878349</v>
      </c>
      <c r="R323" s="94"/>
    </row>
    <row r="324" spans="1:18" x14ac:dyDescent="0.25">
      <c r="A324" s="367">
        <v>41233</v>
      </c>
      <c r="B324" s="367" t="s">
        <v>279</v>
      </c>
      <c r="C324" s="279" t="s">
        <v>473</v>
      </c>
      <c r="D324" s="159" t="s">
        <v>953</v>
      </c>
      <c r="E324" s="45">
        <f t="shared" si="22"/>
        <v>41233</v>
      </c>
      <c r="F324" s="148" t="str">
        <f t="shared" si="23"/>
        <v>2012-13</v>
      </c>
      <c r="G324" s="1"/>
      <c r="H324" s="163"/>
      <c r="I324" s="37"/>
      <c r="J324" s="138">
        <f t="shared" si="24"/>
        <v>0.77968490742404351</v>
      </c>
      <c r="K324" s="114"/>
      <c r="L324" s="37">
        <v>7.0388139200399999</v>
      </c>
      <c r="M324" s="37" t="s">
        <v>142</v>
      </c>
      <c r="N324" s="37">
        <v>514.18436487804865</v>
      </c>
      <c r="O324" s="132">
        <f t="shared" si="25"/>
        <v>3619.2480649705353</v>
      </c>
      <c r="P324" s="134">
        <f t="shared" si="26"/>
        <v>609.1318201481331</v>
      </c>
      <c r="Q324" s="261">
        <v>0.21586081307878349</v>
      </c>
      <c r="R324" s="94"/>
    </row>
    <row r="325" spans="1:18" x14ac:dyDescent="0.25">
      <c r="A325" s="367">
        <v>41233</v>
      </c>
      <c r="B325" s="367" t="s">
        <v>279</v>
      </c>
      <c r="C325" s="279" t="s">
        <v>473</v>
      </c>
      <c r="D325" s="159" t="s">
        <v>953</v>
      </c>
      <c r="E325" s="45">
        <f t="shared" si="22"/>
        <v>41233</v>
      </c>
      <c r="F325" s="148" t="str">
        <f t="shared" si="23"/>
        <v>2012-13</v>
      </c>
      <c r="G325" s="1"/>
      <c r="H325" s="163"/>
      <c r="I325" s="37"/>
      <c r="J325" s="138">
        <f t="shared" si="24"/>
        <v>0.77968490742404351</v>
      </c>
      <c r="K325" s="114"/>
      <c r="L325" s="37">
        <v>14.3508546482</v>
      </c>
      <c r="M325" s="37" t="s">
        <v>142</v>
      </c>
      <c r="N325" s="37">
        <v>514.18436487804865</v>
      </c>
      <c r="O325" s="132">
        <f t="shared" si="25"/>
        <v>7378.9850827419095</v>
      </c>
      <c r="P325" s="134">
        <f t="shared" si="26"/>
        <v>1241.9084112525718</v>
      </c>
      <c r="Q325" s="261">
        <v>0.21586081307878349</v>
      </c>
      <c r="R325" s="94"/>
    </row>
    <row r="326" spans="1:18" x14ac:dyDescent="0.25">
      <c r="A326" s="367">
        <v>41233</v>
      </c>
      <c r="B326" s="367" t="s">
        <v>279</v>
      </c>
      <c r="C326" s="279" t="s">
        <v>473</v>
      </c>
      <c r="D326" s="159" t="s">
        <v>953</v>
      </c>
      <c r="E326" s="45">
        <f t="shared" si="22"/>
        <v>41233</v>
      </c>
      <c r="F326" s="148" t="str">
        <f t="shared" si="23"/>
        <v>2012-13</v>
      </c>
      <c r="G326" s="1"/>
      <c r="H326" s="163"/>
      <c r="I326" s="37"/>
      <c r="J326" s="138">
        <f t="shared" si="24"/>
        <v>0.77968490742404351</v>
      </c>
      <c r="K326" s="114"/>
      <c r="L326" s="37">
        <v>7.1451135750199999</v>
      </c>
      <c r="M326" s="37" t="s">
        <v>142</v>
      </c>
      <c r="N326" s="37">
        <v>514.18436487804865</v>
      </c>
      <c r="O326" s="132">
        <f t="shared" si="25"/>
        <v>3673.9056855531821</v>
      </c>
      <c r="P326" s="134">
        <f t="shared" si="26"/>
        <v>618.33088451531819</v>
      </c>
      <c r="Q326" s="261">
        <v>0.21586081307878349</v>
      </c>
      <c r="R326" s="94"/>
    </row>
    <row r="327" spans="1:18" x14ac:dyDescent="0.25">
      <c r="A327" s="367">
        <v>41233</v>
      </c>
      <c r="B327" s="367" t="s">
        <v>279</v>
      </c>
      <c r="C327" s="279" t="s">
        <v>473</v>
      </c>
      <c r="D327" s="159" t="s">
        <v>953</v>
      </c>
      <c r="E327" s="45">
        <f t="shared" si="22"/>
        <v>41233</v>
      </c>
      <c r="F327" s="148" t="str">
        <f t="shared" si="23"/>
        <v>2012-13</v>
      </c>
      <c r="G327" s="1"/>
      <c r="H327" s="163"/>
      <c r="I327" s="37"/>
      <c r="J327" s="138">
        <f t="shared" si="24"/>
        <v>0.77968490742404351</v>
      </c>
      <c r="K327" s="114"/>
      <c r="L327" s="37">
        <v>20.347956059200001</v>
      </c>
      <c r="M327" s="37" t="s">
        <v>142</v>
      </c>
      <c r="N327" s="37">
        <v>514.18436487804865</v>
      </c>
      <c r="O327" s="132">
        <f t="shared" si="25"/>
        <v>10462.600862866195</v>
      </c>
      <c r="P327" s="134">
        <f t="shared" si="26"/>
        <v>1760.8914870368239</v>
      </c>
      <c r="Q327" s="261">
        <v>0.21586081307878349</v>
      </c>
      <c r="R327" s="94"/>
    </row>
    <row r="328" spans="1:18" x14ac:dyDescent="0.25">
      <c r="A328" s="367">
        <v>41233</v>
      </c>
      <c r="B328" s="367" t="s">
        <v>279</v>
      </c>
      <c r="C328" s="279" t="s">
        <v>473</v>
      </c>
      <c r="D328" s="159" t="s">
        <v>953</v>
      </c>
      <c r="E328" s="45">
        <f t="shared" si="22"/>
        <v>41233</v>
      </c>
      <c r="F328" s="148" t="str">
        <f t="shared" si="23"/>
        <v>2012-13</v>
      </c>
      <c r="G328" s="1"/>
      <c r="H328" s="163"/>
      <c r="I328" s="37"/>
      <c r="J328" s="138">
        <f t="shared" si="24"/>
        <v>0.77968490742404351</v>
      </c>
      <c r="K328" s="114"/>
      <c r="L328" s="37">
        <v>18.025802578499999</v>
      </c>
      <c r="M328" s="37" t="s">
        <v>142</v>
      </c>
      <c r="N328" s="37">
        <v>470.74786858536584</v>
      </c>
      <c r="O328" s="132">
        <f t="shared" si="25"/>
        <v>8485.6081433694653</v>
      </c>
      <c r="P328" s="134">
        <f t="shared" si="26"/>
        <v>1428.156854862211</v>
      </c>
      <c r="Q328" s="261">
        <v>0.21586081307878349</v>
      </c>
      <c r="R328" s="94"/>
    </row>
    <row r="329" spans="1:18" x14ac:dyDescent="0.25">
      <c r="A329" s="367">
        <v>41233</v>
      </c>
      <c r="B329" s="367" t="s">
        <v>279</v>
      </c>
      <c r="C329" s="279" t="s">
        <v>473</v>
      </c>
      <c r="D329" s="159" t="s">
        <v>953</v>
      </c>
      <c r="E329" s="45">
        <f t="shared" si="22"/>
        <v>41233</v>
      </c>
      <c r="F329" s="148" t="str">
        <f t="shared" si="23"/>
        <v>2012-13</v>
      </c>
      <c r="G329" s="1"/>
      <c r="H329" s="163"/>
      <c r="I329" s="37"/>
      <c r="J329" s="138">
        <f t="shared" si="24"/>
        <v>0.77968490742404351</v>
      </c>
      <c r="K329" s="114"/>
      <c r="L329" s="37">
        <v>1.4838210808600001</v>
      </c>
      <c r="M329" s="37" t="s">
        <v>142</v>
      </c>
      <c r="N329" s="37">
        <v>470.74786858536584</v>
      </c>
      <c r="O329" s="132">
        <f t="shared" si="25"/>
        <v>698.5056111768788</v>
      </c>
      <c r="P329" s="134">
        <f t="shared" si="26"/>
        <v>117.56088189642239</v>
      </c>
      <c r="Q329" s="261">
        <v>0.21586081307878349</v>
      </c>
      <c r="R329" s="94"/>
    </row>
    <row r="330" spans="1:18" x14ac:dyDescent="0.25">
      <c r="A330" s="367">
        <v>41233</v>
      </c>
      <c r="B330" s="367" t="s">
        <v>279</v>
      </c>
      <c r="C330" s="279" t="s">
        <v>473</v>
      </c>
      <c r="D330" s="159" t="s">
        <v>953</v>
      </c>
      <c r="E330" s="45">
        <f t="shared" si="22"/>
        <v>41233</v>
      </c>
      <c r="F330" s="148" t="str">
        <f t="shared" si="23"/>
        <v>2012-13</v>
      </c>
      <c r="G330" s="1"/>
      <c r="H330" s="163"/>
      <c r="I330" s="37"/>
      <c r="J330" s="138">
        <f t="shared" si="24"/>
        <v>0.77968490742404351</v>
      </c>
      <c r="K330" s="114"/>
      <c r="L330" s="37">
        <v>2.01812427073</v>
      </c>
      <c r="M330" s="37" t="s">
        <v>142</v>
      </c>
      <c r="N330" s="37">
        <v>514.18436487804865</v>
      </c>
      <c r="O330" s="132">
        <f t="shared" si="25"/>
        <v>1037.6879463902801</v>
      </c>
      <c r="P330" s="134">
        <f t="shared" si="26"/>
        <v>174.64642825902447</v>
      </c>
      <c r="Q330" s="261">
        <v>0.21586081307878349</v>
      </c>
      <c r="R330" s="94"/>
    </row>
    <row r="331" spans="1:18" x14ac:dyDescent="0.25">
      <c r="A331" s="367">
        <v>41233</v>
      </c>
      <c r="B331" s="367" t="s">
        <v>279</v>
      </c>
      <c r="C331" s="279" t="s">
        <v>473</v>
      </c>
      <c r="D331" s="159" t="s">
        <v>953</v>
      </c>
      <c r="E331" s="45">
        <f t="shared" si="22"/>
        <v>41233</v>
      </c>
      <c r="F331" s="148" t="str">
        <f t="shared" si="23"/>
        <v>2012-13</v>
      </c>
      <c r="G331" s="1"/>
      <c r="H331" s="163"/>
      <c r="I331" s="37"/>
      <c r="J331" s="138">
        <f t="shared" si="24"/>
        <v>0.77968490742404351</v>
      </c>
      <c r="K331" s="114"/>
      <c r="L331" s="37">
        <v>3.9983933414599999</v>
      </c>
      <c r="M331" s="37" t="s">
        <v>142</v>
      </c>
      <c r="N331" s="37">
        <v>470.74786858536584</v>
      </c>
      <c r="O331" s="132">
        <f t="shared" si="25"/>
        <v>1882.2351432582138</v>
      </c>
      <c r="P331" s="134">
        <f t="shared" si="26"/>
        <v>316.78660820641812</v>
      </c>
      <c r="Q331" s="261">
        <v>0.21586081307878349</v>
      </c>
      <c r="R331" s="94"/>
    </row>
    <row r="332" spans="1:18" x14ac:dyDescent="0.25">
      <c r="A332" s="367">
        <v>41233</v>
      </c>
      <c r="B332" s="367" t="s">
        <v>279</v>
      </c>
      <c r="C332" s="279" t="s">
        <v>473</v>
      </c>
      <c r="D332" s="159" t="s">
        <v>953</v>
      </c>
      <c r="E332" s="45">
        <f t="shared" si="22"/>
        <v>41233</v>
      </c>
      <c r="F332" s="148" t="str">
        <f t="shared" si="23"/>
        <v>2012-13</v>
      </c>
      <c r="G332" s="1"/>
      <c r="H332" s="163"/>
      <c r="I332" s="37"/>
      <c r="J332" s="138">
        <f t="shared" si="24"/>
        <v>0.77968490742404351</v>
      </c>
      <c r="K332" s="114"/>
      <c r="L332" s="37">
        <v>339.56429164100001</v>
      </c>
      <c r="M332" s="37" t="s">
        <v>142</v>
      </c>
      <c r="N332" s="37">
        <v>470.74786858536584</v>
      </c>
      <c r="O332" s="132">
        <f t="shared" si="25"/>
        <v>159849.16653770031</v>
      </c>
      <c r="P332" s="134">
        <f t="shared" si="26"/>
        <v>26903.161102626476</v>
      </c>
      <c r="Q332" s="261">
        <v>0.21586081307878349</v>
      </c>
      <c r="R332" s="94"/>
    </row>
    <row r="333" spans="1:18" x14ac:dyDescent="0.25">
      <c r="A333" s="367">
        <v>41233</v>
      </c>
      <c r="B333" s="367" t="s">
        <v>279</v>
      </c>
      <c r="C333" s="279" t="s">
        <v>473</v>
      </c>
      <c r="D333" s="159" t="s">
        <v>953</v>
      </c>
      <c r="E333" s="45">
        <f t="shared" si="22"/>
        <v>41233</v>
      </c>
      <c r="F333" s="148" t="str">
        <f t="shared" si="23"/>
        <v>2012-13</v>
      </c>
      <c r="G333" s="1"/>
      <c r="H333" s="163"/>
      <c r="I333" s="37"/>
      <c r="J333" s="138">
        <f t="shared" si="24"/>
        <v>0.77968490742404351</v>
      </c>
      <c r="K333" s="114"/>
      <c r="L333" s="37">
        <v>308.004395918</v>
      </c>
      <c r="M333" s="37" t="s">
        <v>142</v>
      </c>
      <c r="N333" s="37">
        <v>514.18436487804865</v>
      </c>
      <c r="O333" s="132">
        <f t="shared" si="25"/>
        <v>158371.04469474388</v>
      </c>
      <c r="P333" s="134">
        <f t="shared" si="26"/>
        <v>26654.388144145087</v>
      </c>
      <c r="Q333" s="261">
        <v>0.21586081307878349</v>
      </c>
      <c r="R333" s="94"/>
    </row>
    <row r="334" spans="1:18" x14ac:dyDescent="0.25">
      <c r="A334" s="367">
        <v>41233</v>
      </c>
      <c r="B334" s="367" t="s">
        <v>279</v>
      </c>
      <c r="C334" s="279" t="s">
        <v>473</v>
      </c>
      <c r="D334" s="159" t="s">
        <v>953</v>
      </c>
      <c r="E334" s="45">
        <f t="shared" si="22"/>
        <v>41233</v>
      </c>
      <c r="F334" s="148" t="str">
        <f t="shared" si="23"/>
        <v>2012-13</v>
      </c>
      <c r="G334" s="1"/>
      <c r="H334" s="163"/>
      <c r="I334" s="37"/>
      <c r="J334" s="138">
        <f t="shared" si="24"/>
        <v>0.77968490742404351</v>
      </c>
      <c r="K334" s="114"/>
      <c r="L334" s="37">
        <v>20.086540593100001</v>
      </c>
      <c r="M334" s="37" t="s">
        <v>142</v>
      </c>
      <c r="N334" s="37">
        <v>621.96155034146341</v>
      </c>
      <c r="O334" s="132">
        <f t="shared" si="25"/>
        <v>12493.055928281214</v>
      </c>
      <c r="P334" s="134">
        <f t="shared" si="26"/>
        <v>2102.6240147670874</v>
      </c>
      <c r="Q334" s="261">
        <v>0.21586081307878349</v>
      </c>
      <c r="R334" s="94"/>
    </row>
    <row r="335" spans="1:18" x14ac:dyDescent="0.25">
      <c r="A335" s="367">
        <v>41233</v>
      </c>
      <c r="B335" s="367" t="s">
        <v>279</v>
      </c>
      <c r="C335" s="279" t="s">
        <v>473</v>
      </c>
      <c r="D335" s="159" t="s">
        <v>953</v>
      </c>
      <c r="E335" s="45">
        <f t="shared" si="22"/>
        <v>41233</v>
      </c>
      <c r="F335" s="148" t="str">
        <f t="shared" si="23"/>
        <v>2012-13</v>
      </c>
      <c r="G335" s="1"/>
      <c r="H335" s="163"/>
      <c r="I335" s="37"/>
      <c r="J335" s="138">
        <f t="shared" si="24"/>
        <v>0.77968490742404351</v>
      </c>
      <c r="K335" s="114"/>
      <c r="L335" s="37">
        <v>3.9982003876999999</v>
      </c>
      <c r="M335" s="37" t="s">
        <v>142</v>
      </c>
      <c r="N335" s="37">
        <v>621.96155034146341</v>
      </c>
      <c r="O335" s="132">
        <f t="shared" si="25"/>
        <v>2486.7269117097321</v>
      </c>
      <c r="P335" s="134">
        <f t="shared" si="26"/>
        <v>418.52463902703687</v>
      </c>
      <c r="Q335" s="261">
        <v>0.21586081307878349</v>
      </c>
      <c r="R335" s="94"/>
    </row>
    <row r="336" spans="1:18" x14ac:dyDescent="0.25">
      <c r="A336" s="367">
        <v>41233</v>
      </c>
      <c r="B336" s="367" t="s">
        <v>279</v>
      </c>
      <c r="C336" s="279" t="s">
        <v>473</v>
      </c>
      <c r="D336" s="159" t="s">
        <v>954</v>
      </c>
      <c r="E336" s="45">
        <f t="shared" si="22"/>
        <v>41233</v>
      </c>
      <c r="F336" s="148" t="str">
        <f t="shared" si="23"/>
        <v>2012-13</v>
      </c>
      <c r="G336" s="1"/>
      <c r="H336" s="163"/>
      <c r="I336" s="37"/>
      <c r="J336" s="138">
        <f t="shared" si="24"/>
        <v>0.77968490742404351</v>
      </c>
      <c r="K336" s="114"/>
      <c r="L336" s="37">
        <v>17.994575315100001</v>
      </c>
      <c r="M336" s="37" t="s">
        <v>142</v>
      </c>
      <c r="N336" s="37">
        <v>514.18436487804865</v>
      </c>
      <c r="O336" s="132">
        <f t="shared" si="25"/>
        <v>9252.5292796449066</v>
      </c>
      <c r="P336" s="134">
        <f t="shared" si="26"/>
        <v>1557.232303481215</v>
      </c>
      <c r="Q336" s="261">
        <v>0.21586081307878349</v>
      </c>
      <c r="R336" s="94"/>
    </row>
    <row r="337" spans="1:18" x14ac:dyDescent="0.25">
      <c r="A337" s="367">
        <v>41233</v>
      </c>
      <c r="B337" s="367" t="s">
        <v>279</v>
      </c>
      <c r="C337" s="279" t="s">
        <v>473</v>
      </c>
      <c r="D337" s="159" t="s">
        <v>954</v>
      </c>
      <c r="E337" s="45">
        <f t="shared" si="22"/>
        <v>41233</v>
      </c>
      <c r="F337" s="148" t="str">
        <f t="shared" si="23"/>
        <v>2012-13</v>
      </c>
      <c r="G337" s="1"/>
      <c r="H337" s="163"/>
      <c r="I337" s="37"/>
      <c r="J337" s="138">
        <f t="shared" si="24"/>
        <v>0.77968490742404351</v>
      </c>
      <c r="K337" s="114"/>
      <c r="L337" s="37">
        <v>6.3160007880700002</v>
      </c>
      <c r="M337" s="37" t="s">
        <v>142</v>
      </c>
      <c r="N337" s="37">
        <v>470.74786858536584</v>
      </c>
      <c r="O337" s="132">
        <f t="shared" si="25"/>
        <v>2973.2439089674435</v>
      </c>
      <c r="P337" s="134">
        <f t="shared" si="26"/>
        <v>500.40711261067798</v>
      </c>
      <c r="Q337" s="261">
        <v>0.21586081307878349</v>
      </c>
      <c r="R337" s="94"/>
    </row>
    <row r="338" spans="1:18" x14ac:dyDescent="0.25">
      <c r="A338" s="367">
        <v>41233</v>
      </c>
      <c r="B338" s="367" t="s">
        <v>279</v>
      </c>
      <c r="C338" s="279" t="s">
        <v>473</v>
      </c>
      <c r="D338" s="159" t="s">
        <v>953</v>
      </c>
      <c r="E338" s="45">
        <f t="shared" si="22"/>
        <v>41233</v>
      </c>
      <c r="F338" s="148" t="str">
        <f t="shared" si="23"/>
        <v>2012-13</v>
      </c>
      <c r="G338" s="1"/>
      <c r="H338" s="163"/>
      <c r="I338" s="37"/>
      <c r="J338" s="138">
        <f t="shared" si="24"/>
        <v>0.77968490742404351</v>
      </c>
      <c r="K338" s="114"/>
      <c r="L338" s="37">
        <v>254.253609963</v>
      </c>
      <c r="M338" s="37" t="s">
        <v>142</v>
      </c>
      <c r="N338" s="37">
        <v>621.96155034146341</v>
      </c>
      <c r="O338" s="132">
        <f t="shared" si="25"/>
        <v>158135.96943250124</v>
      </c>
      <c r="P338" s="134">
        <f t="shared" si="26"/>
        <v>26614.824174007874</v>
      </c>
      <c r="Q338" s="261">
        <v>0.21586081307878349</v>
      </c>
      <c r="R338" s="94"/>
    </row>
    <row r="339" spans="1:18" x14ac:dyDescent="0.25">
      <c r="A339" s="367">
        <v>41233</v>
      </c>
      <c r="B339" s="367" t="s">
        <v>279</v>
      </c>
      <c r="C339" s="279" t="s">
        <v>473</v>
      </c>
      <c r="D339" s="159" t="s">
        <v>955</v>
      </c>
      <c r="E339" s="45">
        <f t="shared" si="22"/>
        <v>41233</v>
      </c>
      <c r="F339" s="148" t="str">
        <f t="shared" si="23"/>
        <v>2012-13</v>
      </c>
      <c r="G339" s="1"/>
      <c r="H339" s="163"/>
      <c r="I339" s="37"/>
      <c r="J339" s="138">
        <f t="shared" si="24"/>
        <v>0.77968490742404351</v>
      </c>
      <c r="K339" s="114"/>
      <c r="L339" s="37">
        <v>18.394204793899998</v>
      </c>
      <c r="M339" s="37" t="s">
        <v>142</v>
      </c>
      <c r="N339" s="37">
        <v>621.96155034146341</v>
      </c>
      <c r="O339" s="132">
        <f t="shared" si="25"/>
        <v>11440.488130912421</v>
      </c>
      <c r="P339" s="134">
        <f t="shared" si="26"/>
        <v>1925.4732567281292</v>
      </c>
      <c r="Q339" s="261">
        <v>0.21586081307878349</v>
      </c>
      <c r="R339" s="94"/>
    </row>
    <row r="340" spans="1:18" x14ac:dyDescent="0.25">
      <c r="A340" s="367">
        <v>41233</v>
      </c>
      <c r="B340" s="367" t="s">
        <v>279</v>
      </c>
      <c r="C340" s="279" t="s">
        <v>473</v>
      </c>
      <c r="D340" s="159" t="s">
        <v>955</v>
      </c>
      <c r="E340" s="45">
        <f t="shared" si="22"/>
        <v>41233</v>
      </c>
      <c r="F340" s="148" t="str">
        <f t="shared" si="23"/>
        <v>2012-13</v>
      </c>
      <c r="G340" s="1"/>
      <c r="H340" s="163"/>
      <c r="I340" s="37"/>
      <c r="J340" s="138">
        <f t="shared" si="24"/>
        <v>0.77968490742404351</v>
      </c>
      <c r="K340" s="114"/>
      <c r="L340" s="37">
        <v>2.5350617349500002</v>
      </c>
      <c r="M340" s="37" t="s">
        <v>142</v>
      </c>
      <c r="N340" s="37">
        <v>621.96155034146341</v>
      </c>
      <c r="O340" s="132">
        <f t="shared" si="25"/>
        <v>1576.7109268808222</v>
      </c>
      <c r="P340" s="134">
        <f t="shared" si="26"/>
        <v>265.36583828944703</v>
      </c>
      <c r="Q340" s="261">
        <v>0.21586081307878349</v>
      </c>
      <c r="R340" s="94"/>
    </row>
    <row r="341" spans="1:18" x14ac:dyDescent="0.25">
      <c r="A341" s="367">
        <v>41047</v>
      </c>
      <c r="B341" s="367" t="s">
        <v>279</v>
      </c>
      <c r="C341" s="279" t="s">
        <v>474</v>
      </c>
      <c r="D341" s="159" t="s">
        <v>956</v>
      </c>
      <c r="E341" s="45">
        <f t="shared" si="22"/>
        <v>41047</v>
      </c>
      <c r="F341" s="148" t="str">
        <f t="shared" si="23"/>
        <v>2011-12</v>
      </c>
      <c r="G341" s="1"/>
      <c r="H341" s="163"/>
      <c r="I341" s="37"/>
      <c r="J341" s="138">
        <f t="shared" si="24"/>
        <v>0.77968490742404351</v>
      </c>
      <c r="K341" s="114"/>
      <c r="L341" s="37">
        <v>72.097993778700001</v>
      </c>
      <c r="M341" s="37" t="s">
        <v>142</v>
      </c>
      <c r="N341" s="37">
        <v>621.96155034146341</v>
      </c>
      <c r="O341" s="132">
        <f t="shared" si="25"/>
        <v>44842.179987109434</v>
      </c>
      <c r="P341" s="134">
        <f t="shared" si="26"/>
        <v>8600.4339936063661</v>
      </c>
      <c r="Q341" s="261">
        <v>0.24598834015267676</v>
      </c>
      <c r="R341" s="94"/>
    </row>
    <row r="342" spans="1:18" x14ac:dyDescent="0.25">
      <c r="A342" s="367">
        <v>41047</v>
      </c>
      <c r="B342" s="367" t="s">
        <v>279</v>
      </c>
      <c r="C342" s="279" t="s">
        <v>474</v>
      </c>
      <c r="D342" s="159" t="s">
        <v>956</v>
      </c>
      <c r="E342" s="45">
        <f t="shared" si="22"/>
        <v>41047</v>
      </c>
      <c r="F342" s="148" t="str">
        <f t="shared" si="23"/>
        <v>2011-12</v>
      </c>
      <c r="G342" s="1"/>
      <c r="H342" s="163"/>
      <c r="I342" s="37"/>
      <c r="J342" s="138">
        <f t="shared" si="24"/>
        <v>0.77968490742404351</v>
      </c>
      <c r="K342" s="114"/>
      <c r="L342" s="37">
        <v>8.5432823676999998</v>
      </c>
      <c r="M342" s="37" t="s">
        <v>142</v>
      </c>
      <c r="N342" s="37">
        <v>621.96155034146341</v>
      </c>
      <c r="O342" s="132">
        <f t="shared" si="25"/>
        <v>5313.5931464195801</v>
      </c>
      <c r="P342" s="134">
        <f t="shared" si="26"/>
        <v>1019.1120756795876</v>
      </c>
      <c r="Q342" s="261">
        <v>0.24598834015267676</v>
      </c>
      <c r="R342" s="94"/>
    </row>
    <row r="343" spans="1:18" x14ac:dyDescent="0.25">
      <c r="A343" s="367">
        <v>41047</v>
      </c>
      <c r="B343" s="367" t="s">
        <v>279</v>
      </c>
      <c r="C343" s="279" t="s">
        <v>474</v>
      </c>
      <c r="D343" s="159" t="s">
        <v>956</v>
      </c>
      <c r="E343" s="45">
        <f t="shared" ref="E343:E406" si="27">IF(A343&lt;2022,DATEVALUE("30 Jun "&amp;A343),A343)</f>
        <v>41047</v>
      </c>
      <c r="F343" s="148" t="str">
        <f t="shared" si="23"/>
        <v>2011-12</v>
      </c>
      <c r="G343" s="1"/>
      <c r="H343" s="163"/>
      <c r="I343" s="37"/>
      <c r="J343" s="138">
        <f t="shared" si="24"/>
        <v>0.77968490742404351</v>
      </c>
      <c r="K343" s="114"/>
      <c r="L343" s="37">
        <v>113.74986485399999</v>
      </c>
      <c r="M343" s="37" t="s">
        <v>142</v>
      </c>
      <c r="N343" s="37">
        <v>621.96155034146341</v>
      </c>
      <c r="O343" s="132">
        <f t="shared" si="25"/>
        <v>70748.042295725783</v>
      </c>
      <c r="P343" s="134">
        <f t="shared" si="26"/>
        <v>13569.007307766329</v>
      </c>
      <c r="Q343" s="261">
        <v>0.24598834015267676</v>
      </c>
      <c r="R343" s="94"/>
    </row>
    <row r="344" spans="1:18" x14ac:dyDescent="0.25">
      <c r="A344" s="367">
        <v>41047</v>
      </c>
      <c r="B344" s="367" t="s">
        <v>279</v>
      </c>
      <c r="C344" s="279" t="s">
        <v>474</v>
      </c>
      <c r="D344" s="159" t="s">
        <v>956</v>
      </c>
      <c r="E344" s="45">
        <f t="shared" si="27"/>
        <v>41047</v>
      </c>
      <c r="F344" s="148" t="str">
        <f t="shared" ref="F344:F407" si="28">IF(E344="","-",IF(OR(E344&lt;$E$15,E344&gt;$E$16),"ERROR - date outside of range",IF(MONTH(E344)&gt;=7,YEAR(E344)&amp;"-"&amp;IF(YEAR(E344)=1999,"00",IF(AND(YEAR(E344)&gt;=2000,YEAR(E344)&lt;2009),"0","")&amp;RIGHT(YEAR(E344),2)+1),RIGHT(YEAR(E344),4)-1&amp;"-"&amp;RIGHT(YEAR(E344),2))))</f>
        <v>2011-12</v>
      </c>
      <c r="G344" s="1"/>
      <c r="H344" s="163"/>
      <c r="I344" s="37"/>
      <c r="J344" s="138">
        <f t="shared" ref="J344:J407" si="29">J343</f>
        <v>0.77968490742404351</v>
      </c>
      <c r="K344" s="114"/>
      <c r="L344" s="37">
        <v>105.019084479</v>
      </c>
      <c r="M344" s="37" t="s">
        <v>142</v>
      </c>
      <c r="N344" s="37">
        <v>621.96155034146341</v>
      </c>
      <c r="O344" s="132">
        <f t="shared" si="25"/>
        <v>65317.832597999957</v>
      </c>
      <c r="P344" s="134">
        <f t="shared" si="26"/>
        <v>12527.52894765633</v>
      </c>
      <c r="Q344" s="261">
        <v>0.24598834015267676</v>
      </c>
      <c r="R344" s="94"/>
    </row>
    <row r="345" spans="1:18" x14ac:dyDescent="0.25">
      <c r="A345" s="367">
        <v>41047</v>
      </c>
      <c r="B345" s="367" t="s">
        <v>279</v>
      </c>
      <c r="C345" s="279" t="s">
        <v>474</v>
      </c>
      <c r="D345" s="159" t="s">
        <v>956</v>
      </c>
      <c r="E345" s="45">
        <f t="shared" si="27"/>
        <v>41047</v>
      </c>
      <c r="F345" s="148" t="str">
        <f t="shared" si="28"/>
        <v>2011-12</v>
      </c>
      <c r="G345" s="1"/>
      <c r="H345" s="163"/>
      <c r="I345" s="37"/>
      <c r="J345" s="138">
        <f t="shared" si="29"/>
        <v>0.77968490742404351</v>
      </c>
      <c r="K345" s="114"/>
      <c r="L345" s="37">
        <v>8.0030302629599994</v>
      </c>
      <c r="M345" s="37" t="s">
        <v>142</v>
      </c>
      <c r="N345" s="37">
        <v>470.74786858536584</v>
      </c>
      <c r="O345" s="132">
        <f t="shared" si="25"/>
        <v>3767.4094385125995</v>
      </c>
      <c r="P345" s="134">
        <f t="shared" si="26"/>
        <v>722.56425116110529</v>
      </c>
      <c r="Q345" s="261">
        <v>0.24598834015267676</v>
      </c>
      <c r="R345" s="94"/>
    </row>
    <row r="346" spans="1:18" x14ac:dyDescent="0.25">
      <c r="A346" s="367">
        <v>41047</v>
      </c>
      <c r="B346" s="367" t="s">
        <v>279</v>
      </c>
      <c r="C346" s="279" t="s">
        <v>474</v>
      </c>
      <c r="D346" s="159" t="s">
        <v>956</v>
      </c>
      <c r="E346" s="45">
        <f t="shared" si="27"/>
        <v>41047</v>
      </c>
      <c r="F346" s="148" t="str">
        <f t="shared" si="28"/>
        <v>2011-12</v>
      </c>
      <c r="G346" s="1"/>
      <c r="H346" s="163"/>
      <c r="I346" s="37"/>
      <c r="J346" s="138">
        <f t="shared" si="29"/>
        <v>0.77968490742404351</v>
      </c>
      <c r="K346" s="114"/>
      <c r="L346" s="37">
        <v>9.9772895345899997</v>
      </c>
      <c r="M346" s="37" t="s">
        <v>142</v>
      </c>
      <c r="N346" s="37">
        <v>470.74786858536584</v>
      </c>
      <c r="O346" s="132">
        <f t="shared" si="25"/>
        <v>4696.7877826673193</v>
      </c>
      <c r="P346" s="134">
        <f t="shared" si="26"/>
        <v>900.81288015923997</v>
      </c>
      <c r="Q346" s="261">
        <v>0.24598834015267676</v>
      </c>
      <c r="R346" s="94"/>
    </row>
    <row r="347" spans="1:18" x14ac:dyDescent="0.25">
      <c r="A347" s="367">
        <v>40975</v>
      </c>
      <c r="B347" s="367" t="s">
        <v>279</v>
      </c>
      <c r="C347" s="279" t="s">
        <v>475</v>
      </c>
      <c r="D347" s="159" t="s">
        <v>957</v>
      </c>
      <c r="E347" s="45">
        <f t="shared" si="27"/>
        <v>40975</v>
      </c>
      <c r="F347" s="148" t="str">
        <f t="shared" si="28"/>
        <v>2011-12</v>
      </c>
      <c r="G347" s="1"/>
      <c r="H347" s="163"/>
      <c r="I347" s="37"/>
      <c r="J347" s="138">
        <f t="shared" si="29"/>
        <v>0.77968490742404351</v>
      </c>
      <c r="K347" s="114"/>
      <c r="L347" s="37">
        <v>87.722546014399995</v>
      </c>
      <c r="M347" s="37" t="s">
        <v>142</v>
      </c>
      <c r="N347" s="37">
        <v>514.18436487804865</v>
      </c>
      <c r="O347" s="132">
        <f t="shared" si="25"/>
        <v>45105.561607899661</v>
      </c>
      <c r="P347" s="134">
        <f t="shared" si="26"/>
        <v>9716.8103718414914</v>
      </c>
      <c r="Q347" s="261">
        <v>0.27629594124577861</v>
      </c>
      <c r="R347" s="94"/>
    </row>
    <row r="348" spans="1:18" x14ac:dyDescent="0.25">
      <c r="A348" s="367">
        <v>40975</v>
      </c>
      <c r="B348" s="367" t="s">
        <v>279</v>
      </c>
      <c r="C348" s="279" t="s">
        <v>475</v>
      </c>
      <c r="D348" s="159" t="s">
        <v>957</v>
      </c>
      <c r="E348" s="45">
        <f t="shared" si="27"/>
        <v>40975</v>
      </c>
      <c r="F348" s="148" t="str">
        <f t="shared" si="28"/>
        <v>2011-12</v>
      </c>
      <c r="G348" s="1"/>
      <c r="H348" s="163"/>
      <c r="I348" s="37"/>
      <c r="J348" s="138">
        <f t="shared" si="29"/>
        <v>0.77968490742404351</v>
      </c>
      <c r="K348" s="114"/>
      <c r="L348" s="37">
        <v>2.6995116229299998</v>
      </c>
      <c r="M348" s="37" t="s">
        <v>142</v>
      </c>
      <c r="N348" s="37">
        <v>514.18436487804865</v>
      </c>
      <c r="O348" s="132">
        <f t="shared" si="25"/>
        <v>1388.0466693171722</v>
      </c>
      <c r="P348" s="134">
        <f t="shared" si="26"/>
        <v>299.01825389663242</v>
      </c>
      <c r="Q348" s="261">
        <v>0.27629594124577861</v>
      </c>
      <c r="R348" s="94"/>
    </row>
    <row r="349" spans="1:18" x14ac:dyDescent="0.25">
      <c r="A349" s="367">
        <v>40975</v>
      </c>
      <c r="B349" s="367" t="s">
        <v>279</v>
      </c>
      <c r="C349" s="279" t="s">
        <v>475</v>
      </c>
      <c r="D349" s="159" t="s">
        <v>957</v>
      </c>
      <c r="E349" s="45">
        <f t="shared" si="27"/>
        <v>40975</v>
      </c>
      <c r="F349" s="148" t="str">
        <f t="shared" si="28"/>
        <v>2011-12</v>
      </c>
      <c r="G349" s="1"/>
      <c r="H349" s="163"/>
      <c r="I349" s="37"/>
      <c r="J349" s="138">
        <f t="shared" si="29"/>
        <v>0.77968490742404351</v>
      </c>
      <c r="K349" s="114"/>
      <c r="L349" s="37">
        <v>9.9793234740599992</v>
      </c>
      <c r="M349" s="37" t="s">
        <v>142</v>
      </c>
      <c r="N349" s="37">
        <v>514.18436487804865</v>
      </c>
      <c r="O349" s="132">
        <f t="shared" si="25"/>
        <v>5131.2121024221424</v>
      </c>
      <c r="P349" s="134">
        <f t="shared" si="26"/>
        <v>1105.3850833375257</v>
      </c>
      <c r="Q349" s="261">
        <v>0.27629594124577861</v>
      </c>
      <c r="R349" s="94"/>
    </row>
    <row r="350" spans="1:18" x14ac:dyDescent="0.25">
      <c r="A350" s="367">
        <v>40975</v>
      </c>
      <c r="B350" s="367" t="s">
        <v>279</v>
      </c>
      <c r="C350" s="279" t="s">
        <v>475</v>
      </c>
      <c r="D350" s="159" t="s">
        <v>957</v>
      </c>
      <c r="E350" s="45">
        <f t="shared" si="27"/>
        <v>40975</v>
      </c>
      <c r="F350" s="148" t="str">
        <f t="shared" si="28"/>
        <v>2011-12</v>
      </c>
      <c r="G350" s="1"/>
      <c r="H350" s="163"/>
      <c r="I350" s="37"/>
      <c r="J350" s="138">
        <f t="shared" si="29"/>
        <v>0.77968490742404351</v>
      </c>
      <c r="K350" s="114"/>
      <c r="L350" s="37">
        <v>2.9996219761799998</v>
      </c>
      <c r="M350" s="37" t="s">
        <v>142</v>
      </c>
      <c r="N350" s="37">
        <v>514.18436487804865</v>
      </c>
      <c r="O350" s="132">
        <f t="shared" ref="O350:O413" si="30">IF(N350="","-",L350*N350)</f>
        <v>1542.3587206963505</v>
      </c>
      <c r="P350" s="134">
        <f t="shared" ref="P350:P413" si="31">IF(O350="-","-",IF(OR(E350&lt;$E$15,E350&gt;$E$16),0,O350*J350))*Q350</f>
        <v>332.26073859011052</v>
      </c>
      <c r="Q350" s="261">
        <v>0.27629594124577861</v>
      </c>
      <c r="R350" s="94"/>
    </row>
    <row r="351" spans="1:18" x14ac:dyDescent="0.25">
      <c r="A351" s="367">
        <v>40975</v>
      </c>
      <c r="B351" s="367" t="s">
        <v>279</v>
      </c>
      <c r="C351" s="279" t="s">
        <v>475</v>
      </c>
      <c r="D351" s="159" t="s">
        <v>958</v>
      </c>
      <c r="E351" s="45">
        <f t="shared" si="27"/>
        <v>40975</v>
      </c>
      <c r="F351" s="148" t="str">
        <f t="shared" si="28"/>
        <v>2011-12</v>
      </c>
      <c r="G351" s="1"/>
      <c r="H351" s="163"/>
      <c r="I351" s="37"/>
      <c r="J351" s="138">
        <f t="shared" si="29"/>
        <v>0.77968490742404351</v>
      </c>
      <c r="K351" s="114"/>
      <c r="L351" s="37">
        <v>27.3982664177</v>
      </c>
      <c r="M351" s="37" t="s">
        <v>142</v>
      </c>
      <c r="N351" s="37">
        <v>514.18436487804865</v>
      </c>
      <c r="O351" s="132">
        <f t="shared" si="30"/>
        <v>14087.760216744644</v>
      </c>
      <c r="P351" s="134">
        <f t="shared" si="31"/>
        <v>3034.8384924245374</v>
      </c>
      <c r="Q351" s="261">
        <v>0.27629594124577861</v>
      </c>
      <c r="R351" s="94"/>
    </row>
    <row r="352" spans="1:18" x14ac:dyDescent="0.25">
      <c r="A352" s="367">
        <v>40975</v>
      </c>
      <c r="B352" s="367" t="s">
        <v>279</v>
      </c>
      <c r="C352" s="279" t="s">
        <v>475</v>
      </c>
      <c r="D352" s="159" t="s">
        <v>957</v>
      </c>
      <c r="E352" s="45">
        <f t="shared" si="27"/>
        <v>40975</v>
      </c>
      <c r="F352" s="148" t="str">
        <f t="shared" si="28"/>
        <v>2011-12</v>
      </c>
      <c r="G352" s="1"/>
      <c r="H352" s="163"/>
      <c r="I352" s="37"/>
      <c r="J352" s="138">
        <f t="shared" si="29"/>
        <v>0.77968490742404351</v>
      </c>
      <c r="K352" s="114"/>
      <c r="L352" s="37">
        <v>2.9996219776199999</v>
      </c>
      <c r="M352" s="37" t="s">
        <v>142</v>
      </c>
      <c r="N352" s="37">
        <v>514.18436487804865</v>
      </c>
      <c r="O352" s="132">
        <f t="shared" si="30"/>
        <v>1542.358721436776</v>
      </c>
      <c r="P352" s="134">
        <f t="shared" si="31"/>
        <v>332.26073874961577</v>
      </c>
      <c r="Q352" s="261">
        <v>0.27629594124577861</v>
      </c>
      <c r="R352" s="94"/>
    </row>
    <row r="353" spans="1:18" x14ac:dyDescent="0.25">
      <c r="A353" s="367">
        <v>40975</v>
      </c>
      <c r="B353" s="367" t="s">
        <v>279</v>
      </c>
      <c r="C353" s="279" t="s">
        <v>475</v>
      </c>
      <c r="D353" s="159" t="s">
        <v>958</v>
      </c>
      <c r="E353" s="45">
        <f t="shared" si="27"/>
        <v>40975</v>
      </c>
      <c r="F353" s="148" t="str">
        <f t="shared" si="28"/>
        <v>2011-12</v>
      </c>
      <c r="G353" s="1"/>
      <c r="H353" s="163"/>
      <c r="I353" s="37"/>
      <c r="J353" s="138">
        <f t="shared" si="29"/>
        <v>0.77968490742404351</v>
      </c>
      <c r="K353" s="114"/>
      <c r="L353" s="37">
        <v>3.79904672253</v>
      </c>
      <c r="M353" s="37" t="s">
        <v>142</v>
      </c>
      <c r="N353" s="37">
        <v>514.18436487804865</v>
      </c>
      <c r="O353" s="132">
        <f t="shared" si="30"/>
        <v>1953.4104261661203</v>
      </c>
      <c r="P353" s="134">
        <f t="shared" si="31"/>
        <v>420.81104885544761</v>
      </c>
      <c r="Q353" s="261">
        <v>0.27629594124577861</v>
      </c>
      <c r="R353" s="94"/>
    </row>
    <row r="354" spans="1:18" x14ac:dyDescent="0.25">
      <c r="A354" s="367">
        <v>41179</v>
      </c>
      <c r="B354" s="367" t="s">
        <v>279</v>
      </c>
      <c r="C354" s="279" t="s">
        <v>476</v>
      </c>
      <c r="D354" s="159" t="s">
        <v>959</v>
      </c>
      <c r="E354" s="45">
        <f t="shared" si="27"/>
        <v>41179</v>
      </c>
      <c r="F354" s="148" t="str">
        <f t="shared" si="28"/>
        <v>2012-13</v>
      </c>
      <c r="G354" s="1"/>
      <c r="H354" s="163"/>
      <c r="I354" s="37"/>
      <c r="J354" s="138">
        <f t="shared" si="29"/>
        <v>0.77968490742404351</v>
      </c>
      <c r="K354" s="114"/>
      <c r="L354" s="37">
        <v>71.192401135500006</v>
      </c>
      <c r="M354" s="37" t="s">
        <v>142</v>
      </c>
      <c r="N354" s="37">
        <v>470.74786858536584</v>
      </c>
      <c r="O354" s="132">
        <f t="shared" si="30"/>
        <v>33513.671094011006</v>
      </c>
      <c r="P354" s="134">
        <f t="shared" si="31"/>
        <v>19095.973355073664</v>
      </c>
      <c r="Q354" s="261">
        <v>0.73080358532238965</v>
      </c>
      <c r="R354" s="94"/>
    </row>
    <row r="355" spans="1:18" x14ac:dyDescent="0.25">
      <c r="A355" s="367">
        <v>41179</v>
      </c>
      <c r="B355" s="367" t="s">
        <v>279</v>
      </c>
      <c r="C355" s="279" t="s">
        <v>476</v>
      </c>
      <c r="D355" s="159" t="s">
        <v>959</v>
      </c>
      <c r="E355" s="45">
        <f t="shared" si="27"/>
        <v>41179</v>
      </c>
      <c r="F355" s="148" t="str">
        <f t="shared" si="28"/>
        <v>2012-13</v>
      </c>
      <c r="G355" s="1"/>
      <c r="H355" s="163"/>
      <c r="I355" s="37"/>
      <c r="J355" s="138">
        <f t="shared" si="29"/>
        <v>0.77968490742404351</v>
      </c>
      <c r="K355" s="114"/>
      <c r="L355" s="37">
        <v>2.0000849981900002</v>
      </c>
      <c r="M355" s="37" t="s">
        <v>142</v>
      </c>
      <c r="N355" s="37">
        <v>470.74786858536584</v>
      </c>
      <c r="O355" s="132">
        <f t="shared" si="30"/>
        <v>941.5357498875079</v>
      </c>
      <c r="P355" s="134">
        <f t="shared" si="31"/>
        <v>536.48379917156115</v>
      </c>
      <c r="Q355" s="261">
        <v>0.73080358532238965</v>
      </c>
      <c r="R355" s="94"/>
    </row>
    <row r="356" spans="1:18" x14ac:dyDescent="0.25">
      <c r="A356" s="367">
        <v>41103</v>
      </c>
      <c r="B356" s="367" t="s">
        <v>279</v>
      </c>
      <c r="C356" s="279" t="s">
        <v>477</v>
      </c>
      <c r="D356" s="159" t="s">
        <v>960</v>
      </c>
      <c r="E356" s="45">
        <f t="shared" si="27"/>
        <v>41103</v>
      </c>
      <c r="F356" s="148" t="str">
        <f t="shared" si="28"/>
        <v>2012-13</v>
      </c>
      <c r="G356" s="1"/>
      <c r="H356" s="163"/>
      <c r="I356" s="37"/>
      <c r="J356" s="138">
        <f t="shared" si="29"/>
        <v>0.77968490742404351</v>
      </c>
      <c r="K356" s="114"/>
      <c r="L356" s="37">
        <v>59.465098259999998</v>
      </c>
      <c r="M356" s="37" t="s">
        <v>142</v>
      </c>
      <c r="N356" s="37">
        <v>470.74786858536584</v>
      </c>
      <c r="O356" s="132">
        <f t="shared" si="30"/>
        <v>27993.068261114346</v>
      </c>
      <c r="P356" s="134">
        <f t="shared" si="31"/>
        <v>2162.4330662583552</v>
      </c>
      <c r="Q356" s="261">
        <v>9.9077044489490007E-2</v>
      </c>
      <c r="R356" s="94"/>
    </row>
    <row r="357" spans="1:18" x14ac:dyDescent="0.25">
      <c r="A357" s="367">
        <v>41103</v>
      </c>
      <c r="B357" s="367" t="s">
        <v>279</v>
      </c>
      <c r="C357" s="279" t="s">
        <v>477</v>
      </c>
      <c r="D357" s="159" t="s">
        <v>960</v>
      </c>
      <c r="E357" s="45">
        <f t="shared" si="27"/>
        <v>41103</v>
      </c>
      <c r="F357" s="148" t="str">
        <f t="shared" si="28"/>
        <v>2012-13</v>
      </c>
      <c r="G357" s="1"/>
      <c r="H357" s="163"/>
      <c r="I357" s="37"/>
      <c r="J357" s="138">
        <f t="shared" si="29"/>
        <v>0.77968490742404351</v>
      </c>
      <c r="K357" s="114"/>
      <c r="L357" s="37">
        <v>6.4193246896999998</v>
      </c>
      <c r="M357" s="37" t="s">
        <v>142</v>
      </c>
      <c r="N357" s="37">
        <v>514.18436487804865</v>
      </c>
      <c r="O357" s="132">
        <f t="shared" si="30"/>
        <v>3300.7163885193713</v>
      </c>
      <c r="P357" s="134">
        <f t="shared" si="31"/>
        <v>254.97663186818576</v>
      </c>
      <c r="Q357" s="261">
        <v>9.9077044489490007E-2</v>
      </c>
      <c r="R357" s="94"/>
    </row>
    <row r="358" spans="1:18" x14ac:dyDescent="0.25">
      <c r="A358" s="367">
        <v>41103</v>
      </c>
      <c r="B358" s="367" t="s">
        <v>279</v>
      </c>
      <c r="C358" s="279" t="s">
        <v>477</v>
      </c>
      <c r="D358" s="159" t="s">
        <v>960</v>
      </c>
      <c r="E358" s="45">
        <f t="shared" si="27"/>
        <v>41103</v>
      </c>
      <c r="F358" s="148" t="str">
        <f t="shared" si="28"/>
        <v>2012-13</v>
      </c>
      <c r="G358" s="1"/>
      <c r="H358" s="163"/>
      <c r="I358" s="37"/>
      <c r="J358" s="138">
        <f t="shared" si="29"/>
        <v>0.77968490742404351</v>
      </c>
      <c r="K358" s="114"/>
      <c r="L358" s="37">
        <v>25.890773992300002</v>
      </c>
      <c r="M358" s="37" t="s">
        <v>142</v>
      </c>
      <c r="N358" s="37">
        <v>470.74786858536584</v>
      </c>
      <c r="O358" s="132">
        <f t="shared" si="30"/>
        <v>12188.026672900649</v>
      </c>
      <c r="P358" s="134">
        <f t="shared" si="31"/>
        <v>941.51136431623161</v>
      </c>
      <c r="Q358" s="261">
        <v>9.9077044489490007E-2</v>
      </c>
      <c r="R358" s="94"/>
    </row>
    <row r="359" spans="1:18" x14ac:dyDescent="0.25">
      <c r="A359" s="367">
        <v>41103</v>
      </c>
      <c r="B359" s="367" t="s">
        <v>279</v>
      </c>
      <c r="C359" s="279" t="s">
        <v>477</v>
      </c>
      <c r="D359" s="159" t="s">
        <v>960</v>
      </c>
      <c r="E359" s="45">
        <f t="shared" si="27"/>
        <v>41103</v>
      </c>
      <c r="F359" s="148" t="str">
        <f t="shared" si="28"/>
        <v>2012-13</v>
      </c>
      <c r="G359" s="1"/>
      <c r="H359" s="163"/>
      <c r="I359" s="37"/>
      <c r="J359" s="138">
        <f t="shared" si="29"/>
        <v>0.77968490742404351</v>
      </c>
      <c r="K359" s="114"/>
      <c r="L359" s="37">
        <v>29.275667042399999</v>
      </c>
      <c r="M359" s="37" t="s">
        <v>142</v>
      </c>
      <c r="N359" s="37">
        <v>514.18436487804865</v>
      </c>
      <c r="O359" s="132">
        <f t="shared" si="30"/>
        <v>15053.090264577664</v>
      </c>
      <c r="P359" s="134">
        <f t="shared" si="31"/>
        <v>1162.8343071885422</v>
      </c>
      <c r="Q359" s="261">
        <v>9.9077044489490007E-2</v>
      </c>
      <c r="R359" s="94"/>
    </row>
    <row r="360" spans="1:18" x14ac:dyDescent="0.25">
      <c r="A360" s="367">
        <v>41103</v>
      </c>
      <c r="B360" s="367" t="s">
        <v>279</v>
      </c>
      <c r="C360" s="279" t="s">
        <v>477</v>
      </c>
      <c r="D360" s="159" t="s">
        <v>960</v>
      </c>
      <c r="E360" s="45">
        <f t="shared" si="27"/>
        <v>41103</v>
      </c>
      <c r="F360" s="148" t="str">
        <f t="shared" si="28"/>
        <v>2012-13</v>
      </c>
      <c r="G360" s="1"/>
      <c r="H360" s="163"/>
      <c r="I360" s="37"/>
      <c r="J360" s="138">
        <f t="shared" si="29"/>
        <v>0.77968490742404351</v>
      </c>
      <c r="K360" s="114"/>
      <c r="L360" s="37">
        <v>35.691021193200001</v>
      </c>
      <c r="M360" s="37" t="s">
        <v>142</v>
      </c>
      <c r="N360" s="37">
        <v>470.74786858536584</v>
      </c>
      <c r="O360" s="132">
        <f t="shared" si="30"/>
        <v>16801.47215433402</v>
      </c>
      <c r="P360" s="134">
        <f t="shared" si="31"/>
        <v>1297.8948434466677</v>
      </c>
      <c r="Q360" s="261">
        <v>9.9077044489490007E-2</v>
      </c>
      <c r="R360" s="94"/>
    </row>
    <row r="361" spans="1:18" x14ac:dyDescent="0.25">
      <c r="A361" s="367">
        <v>41103</v>
      </c>
      <c r="B361" s="367" t="s">
        <v>279</v>
      </c>
      <c r="C361" s="279" t="s">
        <v>477</v>
      </c>
      <c r="D361" s="159" t="s">
        <v>960</v>
      </c>
      <c r="E361" s="45">
        <f t="shared" si="27"/>
        <v>41103</v>
      </c>
      <c r="F361" s="148" t="str">
        <f t="shared" si="28"/>
        <v>2012-13</v>
      </c>
      <c r="G361" s="1"/>
      <c r="H361" s="163"/>
      <c r="I361" s="37"/>
      <c r="J361" s="138">
        <f t="shared" si="29"/>
        <v>0.77968490742404351</v>
      </c>
      <c r="K361" s="114"/>
      <c r="L361" s="37">
        <v>108.300164305</v>
      </c>
      <c r="M361" s="37" t="s">
        <v>142</v>
      </c>
      <c r="N361" s="37">
        <v>470.74786858536584</v>
      </c>
      <c r="O361" s="132">
        <f t="shared" si="30"/>
        <v>50982.071514023664</v>
      </c>
      <c r="P361" s="134">
        <f t="shared" si="31"/>
        <v>3938.3077338977018</v>
      </c>
      <c r="Q361" s="261">
        <v>9.9077044489490007E-2</v>
      </c>
      <c r="R361" s="94"/>
    </row>
    <row r="362" spans="1:18" x14ac:dyDescent="0.25">
      <c r="A362" s="367">
        <v>41103</v>
      </c>
      <c r="B362" s="367" t="s">
        <v>279</v>
      </c>
      <c r="C362" s="279" t="s">
        <v>477</v>
      </c>
      <c r="D362" s="159" t="s">
        <v>960</v>
      </c>
      <c r="E362" s="45">
        <f t="shared" si="27"/>
        <v>41103</v>
      </c>
      <c r="F362" s="148" t="str">
        <f t="shared" si="28"/>
        <v>2012-13</v>
      </c>
      <c r="G362" s="1"/>
      <c r="H362" s="163"/>
      <c r="I362" s="37"/>
      <c r="J362" s="138">
        <f t="shared" si="29"/>
        <v>0.77968490742404351</v>
      </c>
      <c r="K362" s="114"/>
      <c r="L362" s="37">
        <v>7.0996347361299996</v>
      </c>
      <c r="M362" s="37" t="s">
        <v>142</v>
      </c>
      <c r="N362" s="37">
        <v>470.74786858536584</v>
      </c>
      <c r="O362" s="132">
        <f t="shared" si="30"/>
        <v>3342.1379197678234</v>
      </c>
      <c r="P362" s="134">
        <f t="shared" si="31"/>
        <v>258.1763986101235</v>
      </c>
      <c r="Q362" s="261">
        <v>9.9077044489490007E-2</v>
      </c>
      <c r="R362" s="94"/>
    </row>
    <row r="363" spans="1:18" x14ac:dyDescent="0.25">
      <c r="A363" s="367">
        <v>41103</v>
      </c>
      <c r="B363" s="367" t="s">
        <v>279</v>
      </c>
      <c r="C363" s="279" t="s">
        <v>477</v>
      </c>
      <c r="D363" s="159" t="s">
        <v>960</v>
      </c>
      <c r="E363" s="45">
        <f t="shared" si="27"/>
        <v>41103</v>
      </c>
      <c r="F363" s="148" t="str">
        <f t="shared" si="28"/>
        <v>2012-13</v>
      </c>
      <c r="G363" s="1"/>
      <c r="H363" s="163"/>
      <c r="I363" s="37"/>
      <c r="J363" s="138">
        <f t="shared" si="29"/>
        <v>0.77968490742404351</v>
      </c>
      <c r="K363" s="114"/>
      <c r="L363" s="37">
        <v>8.9984192878199991</v>
      </c>
      <c r="M363" s="37" t="s">
        <v>142</v>
      </c>
      <c r="N363" s="37">
        <v>470.74786858536584</v>
      </c>
      <c r="O363" s="132">
        <f t="shared" si="30"/>
        <v>4235.9867003787103</v>
      </c>
      <c r="P363" s="134">
        <f t="shared" si="31"/>
        <v>327.22521245925418</v>
      </c>
      <c r="Q363" s="261">
        <v>9.9077044489490007E-2</v>
      </c>
      <c r="R363" s="94"/>
    </row>
    <row r="364" spans="1:18" x14ac:dyDescent="0.25">
      <c r="A364" s="367">
        <v>41103</v>
      </c>
      <c r="B364" s="367" t="s">
        <v>279</v>
      </c>
      <c r="C364" s="279" t="s">
        <v>477</v>
      </c>
      <c r="D364" s="159" t="s">
        <v>960</v>
      </c>
      <c r="E364" s="45">
        <f t="shared" si="27"/>
        <v>41103</v>
      </c>
      <c r="F364" s="148" t="str">
        <f t="shared" si="28"/>
        <v>2012-13</v>
      </c>
      <c r="G364" s="1"/>
      <c r="H364" s="163"/>
      <c r="I364" s="37"/>
      <c r="J364" s="138">
        <f t="shared" si="29"/>
        <v>0.77968490742404351</v>
      </c>
      <c r="K364" s="114"/>
      <c r="L364" s="37">
        <v>29.237805622100002</v>
      </c>
      <c r="M364" s="37" t="s">
        <v>142</v>
      </c>
      <c r="N364" s="37">
        <v>470.74786858536584</v>
      </c>
      <c r="O364" s="132">
        <f t="shared" si="30"/>
        <v>13763.634678716802</v>
      </c>
      <c r="P364" s="134">
        <f t="shared" si="31"/>
        <v>1063.2253121927909</v>
      </c>
      <c r="Q364" s="261">
        <v>9.9077044489490007E-2</v>
      </c>
      <c r="R364" s="94"/>
    </row>
    <row r="365" spans="1:18" x14ac:dyDescent="0.25">
      <c r="A365" s="367">
        <v>41103</v>
      </c>
      <c r="B365" s="367" t="s">
        <v>279</v>
      </c>
      <c r="C365" s="279" t="s">
        <v>477</v>
      </c>
      <c r="D365" s="159" t="s">
        <v>960</v>
      </c>
      <c r="E365" s="45">
        <f t="shared" si="27"/>
        <v>41103</v>
      </c>
      <c r="F365" s="148" t="str">
        <f t="shared" si="28"/>
        <v>2012-13</v>
      </c>
      <c r="G365" s="1"/>
      <c r="H365" s="163"/>
      <c r="I365" s="37"/>
      <c r="J365" s="138">
        <f t="shared" si="29"/>
        <v>0.77968490742404351</v>
      </c>
      <c r="K365" s="114"/>
      <c r="L365" s="37">
        <v>25.3510666564</v>
      </c>
      <c r="M365" s="37" t="s">
        <v>142</v>
      </c>
      <c r="N365" s="37">
        <v>470.74786858536584</v>
      </c>
      <c r="O365" s="132">
        <f t="shared" si="30"/>
        <v>11933.960594865837</v>
      </c>
      <c r="P365" s="134">
        <f t="shared" si="31"/>
        <v>921.88504529209536</v>
      </c>
      <c r="Q365" s="261">
        <v>9.9077044489490007E-2</v>
      </c>
      <c r="R365" s="94"/>
    </row>
    <row r="366" spans="1:18" x14ac:dyDescent="0.25">
      <c r="A366" s="367">
        <v>41103</v>
      </c>
      <c r="B366" s="367" t="s">
        <v>279</v>
      </c>
      <c r="C366" s="279" t="s">
        <v>477</v>
      </c>
      <c r="D366" s="159" t="s">
        <v>960</v>
      </c>
      <c r="E366" s="45">
        <f t="shared" si="27"/>
        <v>41103</v>
      </c>
      <c r="F366" s="148" t="str">
        <f t="shared" si="28"/>
        <v>2012-13</v>
      </c>
      <c r="G366" s="1"/>
      <c r="H366" s="163"/>
      <c r="I366" s="37"/>
      <c r="J366" s="138">
        <f t="shared" si="29"/>
        <v>0.77968490742404351</v>
      </c>
      <c r="K366" s="114"/>
      <c r="L366" s="37">
        <v>7.7837038098800004</v>
      </c>
      <c r="M366" s="37" t="s">
        <v>142</v>
      </c>
      <c r="N366" s="37">
        <v>470.74786858536584</v>
      </c>
      <c r="O366" s="132">
        <f t="shared" si="30"/>
        <v>3664.161978200802</v>
      </c>
      <c r="P366" s="134">
        <f t="shared" si="31"/>
        <v>283.05239525296042</v>
      </c>
      <c r="Q366" s="261">
        <v>9.9077044489490007E-2</v>
      </c>
      <c r="R366" s="94"/>
    </row>
    <row r="367" spans="1:18" x14ac:dyDescent="0.25">
      <c r="A367" s="367">
        <v>41103</v>
      </c>
      <c r="B367" s="367" t="s">
        <v>279</v>
      </c>
      <c r="C367" s="279" t="s">
        <v>477</v>
      </c>
      <c r="D367" s="159" t="s">
        <v>960</v>
      </c>
      <c r="E367" s="45">
        <f t="shared" si="27"/>
        <v>41103</v>
      </c>
      <c r="F367" s="148" t="str">
        <f t="shared" si="28"/>
        <v>2012-13</v>
      </c>
      <c r="G367" s="1"/>
      <c r="H367" s="163"/>
      <c r="I367" s="37"/>
      <c r="J367" s="138">
        <f t="shared" si="29"/>
        <v>0.77968490742404351</v>
      </c>
      <c r="K367" s="114"/>
      <c r="L367" s="37">
        <v>33.738936988500001</v>
      </c>
      <c r="M367" s="37" t="s">
        <v>142</v>
      </c>
      <c r="N367" s="37">
        <v>470.74786858536584</v>
      </c>
      <c r="O367" s="132">
        <f t="shared" si="30"/>
        <v>15882.532675672337</v>
      </c>
      <c r="P367" s="134">
        <f t="shared" si="31"/>
        <v>1226.907801368518</v>
      </c>
      <c r="Q367" s="261">
        <v>9.9077044489490007E-2</v>
      </c>
      <c r="R367" s="94"/>
    </row>
    <row r="368" spans="1:18" x14ac:dyDescent="0.25">
      <c r="A368" s="367">
        <v>41103</v>
      </c>
      <c r="B368" s="367" t="s">
        <v>279</v>
      </c>
      <c r="C368" s="279" t="s">
        <v>477</v>
      </c>
      <c r="D368" s="159" t="s">
        <v>960</v>
      </c>
      <c r="E368" s="45">
        <f t="shared" si="27"/>
        <v>41103</v>
      </c>
      <c r="F368" s="148" t="str">
        <f t="shared" si="28"/>
        <v>2012-13</v>
      </c>
      <c r="G368" s="1"/>
      <c r="H368" s="163"/>
      <c r="I368" s="37"/>
      <c r="J368" s="138">
        <f t="shared" si="29"/>
        <v>0.77968490742404351</v>
      </c>
      <c r="K368" s="114"/>
      <c r="L368" s="37">
        <v>67.444116464199993</v>
      </c>
      <c r="M368" s="37" t="s">
        <v>142</v>
      </c>
      <c r="N368" s="37">
        <v>470.74786858536584</v>
      </c>
      <c r="O368" s="132">
        <f t="shared" si="30"/>
        <v>31749.174074145325</v>
      </c>
      <c r="P368" s="134">
        <f t="shared" si="31"/>
        <v>2452.5880194310403</v>
      </c>
      <c r="Q368" s="261">
        <v>9.9077044489490007E-2</v>
      </c>
      <c r="R368" s="94"/>
    </row>
    <row r="369" spans="1:18" x14ac:dyDescent="0.25">
      <c r="A369" s="367">
        <v>41103</v>
      </c>
      <c r="B369" s="367" t="s">
        <v>279</v>
      </c>
      <c r="C369" s="279" t="s">
        <v>477</v>
      </c>
      <c r="D369" s="159" t="s">
        <v>960</v>
      </c>
      <c r="E369" s="45">
        <f t="shared" si="27"/>
        <v>41103</v>
      </c>
      <c r="F369" s="148" t="str">
        <f t="shared" si="28"/>
        <v>2012-13</v>
      </c>
      <c r="G369" s="1"/>
      <c r="H369" s="163"/>
      <c r="I369" s="37"/>
      <c r="J369" s="138">
        <f t="shared" si="29"/>
        <v>0.77968490742404351</v>
      </c>
      <c r="K369" s="114"/>
      <c r="L369" s="37">
        <v>6.0004228183899997</v>
      </c>
      <c r="M369" s="37" t="s">
        <v>142</v>
      </c>
      <c r="N369" s="37">
        <v>470.74786858536584</v>
      </c>
      <c r="O369" s="132">
        <f t="shared" si="30"/>
        <v>2824.6862523680861</v>
      </c>
      <c r="P369" s="134">
        <f t="shared" si="31"/>
        <v>218.2038387843015</v>
      </c>
      <c r="Q369" s="261">
        <v>9.9077044489490007E-2</v>
      </c>
      <c r="R369" s="94"/>
    </row>
    <row r="370" spans="1:18" x14ac:dyDescent="0.25">
      <c r="A370" s="367">
        <v>41103</v>
      </c>
      <c r="B370" s="367" t="s">
        <v>279</v>
      </c>
      <c r="C370" s="279" t="s">
        <v>477</v>
      </c>
      <c r="D370" s="159" t="s">
        <v>960</v>
      </c>
      <c r="E370" s="45">
        <f t="shared" si="27"/>
        <v>41103</v>
      </c>
      <c r="F370" s="148" t="str">
        <f t="shared" si="28"/>
        <v>2012-13</v>
      </c>
      <c r="G370" s="1"/>
      <c r="H370" s="163"/>
      <c r="I370" s="37"/>
      <c r="J370" s="138">
        <f t="shared" si="29"/>
        <v>0.77968490742404351</v>
      </c>
      <c r="K370" s="114"/>
      <c r="L370" s="37">
        <v>205.14573050999999</v>
      </c>
      <c r="M370" s="37" t="s">
        <v>142</v>
      </c>
      <c r="N370" s="37">
        <v>470.74786858536584</v>
      </c>
      <c r="O370" s="132">
        <f t="shared" si="30"/>
        <v>96571.915386970344</v>
      </c>
      <c r="P370" s="134">
        <f t="shared" si="31"/>
        <v>7460.0719419806683</v>
      </c>
      <c r="Q370" s="261">
        <v>9.9077044489490007E-2</v>
      </c>
      <c r="R370" s="94"/>
    </row>
    <row r="371" spans="1:18" x14ac:dyDescent="0.25">
      <c r="A371" s="367">
        <v>41103</v>
      </c>
      <c r="B371" s="367" t="s">
        <v>279</v>
      </c>
      <c r="C371" s="279" t="s">
        <v>477</v>
      </c>
      <c r="D371" s="159" t="s">
        <v>960</v>
      </c>
      <c r="E371" s="45">
        <f t="shared" si="27"/>
        <v>41103</v>
      </c>
      <c r="F371" s="148" t="str">
        <f t="shared" si="28"/>
        <v>2012-13</v>
      </c>
      <c r="G371" s="1"/>
      <c r="H371" s="163"/>
      <c r="I371" s="37"/>
      <c r="J371" s="138">
        <f t="shared" si="29"/>
        <v>0.77968490742404351</v>
      </c>
      <c r="K371" s="114"/>
      <c r="L371" s="37">
        <v>189.57021298699999</v>
      </c>
      <c r="M371" s="37" t="s">
        <v>142</v>
      </c>
      <c r="N371" s="37">
        <v>470.74786858536584</v>
      </c>
      <c r="O371" s="132">
        <f t="shared" si="30"/>
        <v>89239.77371090409</v>
      </c>
      <c r="P371" s="134">
        <f t="shared" si="31"/>
        <v>6893.6722369207746</v>
      </c>
      <c r="Q371" s="261">
        <v>9.9077044489490007E-2</v>
      </c>
      <c r="R371" s="94"/>
    </row>
    <row r="372" spans="1:18" x14ac:dyDescent="0.25">
      <c r="A372" s="367">
        <v>41103</v>
      </c>
      <c r="B372" s="367" t="s">
        <v>279</v>
      </c>
      <c r="C372" s="279" t="s">
        <v>477</v>
      </c>
      <c r="D372" s="159" t="s">
        <v>960</v>
      </c>
      <c r="E372" s="45">
        <f t="shared" si="27"/>
        <v>41103</v>
      </c>
      <c r="F372" s="148" t="str">
        <f t="shared" si="28"/>
        <v>2012-13</v>
      </c>
      <c r="G372" s="1"/>
      <c r="H372" s="163"/>
      <c r="I372" s="37"/>
      <c r="J372" s="138">
        <f t="shared" si="29"/>
        <v>0.77968490742404351</v>
      </c>
      <c r="K372" s="114"/>
      <c r="L372" s="37">
        <v>6.4678093139500001</v>
      </c>
      <c r="M372" s="37" t="s">
        <v>142</v>
      </c>
      <c r="N372" s="37">
        <v>470.74786858536584</v>
      </c>
      <c r="O372" s="132">
        <f t="shared" si="30"/>
        <v>3044.7074489585398</v>
      </c>
      <c r="P372" s="134">
        <f t="shared" si="31"/>
        <v>235.20022897443451</v>
      </c>
      <c r="Q372" s="261">
        <v>9.9077044489490007E-2</v>
      </c>
      <c r="R372" s="94"/>
    </row>
    <row r="373" spans="1:18" x14ac:dyDescent="0.25">
      <c r="A373" s="367">
        <v>41103</v>
      </c>
      <c r="B373" s="367" t="s">
        <v>279</v>
      </c>
      <c r="C373" s="279" t="s">
        <v>477</v>
      </c>
      <c r="D373" s="159" t="s">
        <v>960</v>
      </c>
      <c r="E373" s="45">
        <f t="shared" si="27"/>
        <v>41103</v>
      </c>
      <c r="F373" s="148" t="str">
        <f t="shared" si="28"/>
        <v>2012-13</v>
      </c>
      <c r="G373" s="1"/>
      <c r="H373" s="163"/>
      <c r="I373" s="37"/>
      <c r="J373" s="138">
        <f t="shared" si="29"/>
        <v>0.77968490742404351</v>
      </c>
      <c r="K373" s="114"/>
      <c r="L373" s="37">
        <v>20.7003654297</v>
      </c>
      <c r="M373" s="37" t="s">
        <v>142</v>
      </c>
      <c r="N373" s="37">
        <v>470.74786858536584</v>
      </c>
      <c r="O373" s="132">
        <f t="shared" si="30"/>
        <v>9744.6529049694655</v>
      </c>
      <c r="P373" s="134">
        <f t="shared" si="31"/>
        <v>752.76348645883195</v>
      </c>
      <c r="Q373" s="261">
        <v>9.9077044489490007E-2</v>
      </c>
      <c r="R373" s="94"/>
    </row>
    <row r="374" spans="1:18" x14ac:dyDescent="0.25">
      <c r="A374" s="367">
        <v>41103</v>
      </c>
      <c r="B374" s="367" t="s">
        <v>279</v>
      </c>
      <c r="C374" s="279" t="s">
        <v>477</v>
      </c>
      <c r="D374" s="159" t="s">
        <v>960</v>
      </c>
      <c r="E374" s="45">
        <f t="shared" si="27"/>
        <v>41103</v>
      </c>
      <c r="F374" s="148" t="str">
        <f t="shared" si="28"/>
        <v>2012-13</v>
      </c>
      <c r="G374" s="1"/>
      <c r="H374" s="163"/>
      <c r="I374" s="37"/>
      <c r="J374" s="138">
        <f t="shared" si="29"/>
        <v>0.77968490742404351</v>
      </c>
      <c r="K374" s="114"/>
      <c r="L374" s="37">
        <v>257.62578610200001</v>
      </c>
      <c r="M374" s="37" t="s">
        <v>142</v>
      </c>
      <c r="N374" s="37">
        <v>470.74786858536584</v>
      </c>
      <c r="O374" s="132">
        <f t="shared" si="30"/>
        <v>121276.78970014586</v>
      </c>
      <c r="P374" s="134">
        <f t="shared" si="31"/>
        <v>9368.4957208337255</v>
      </c>
      <c r="Q374" s="261">
        <v>9.9077044489490007E-2</v>
      </c>
      <c r="R374" s="94"/>
    </row>
    <row r="375" spans="1:18" x14ac:dyDescent="0.25">
      <c r="A375" s="367">
        <v>41103</v>
      </c>
      <c r="B375" s="367" t="s">
        <v>279</v>
      </c>
      <c r="C375" s="279" t="s">
        <v>477</v>
      </c>
      <c r="D375" s="159" t="s">
        <v>960</v>
      </c>
      <c r="E375" s="45">
        <f t="shared" si="27"/>
        <v>41103</v>
      </c>
      <c r="F375" s="148" t="str">
        <f t="shared" si="28"/>
        <v>2012-13</v>
      </c>
      <c r="G375" s="1"/>
      <c r="H375" s="163"/>
      <c r="I375" s="37"/>
      <c r="J375" s="138">
        <f t="shared" si="29"/>
        <v>0.77968490742404351</v>
      </c>
      <c r="K375" s="114"/>
      <c r="L375" s="37">
        <v>80.622877901500004</v>
      </c>
      <c r="M375" s="37" t="s">
        <v>142</v>
      </c>
      <c r="N375" s="37">
        <v>514.18436487804865</v>
      </c>
      <c r="O375" s="132">
        <f t="shared" si="30"/>
        <v>41455.023268423247</v>
      </c>
      <c r="P375" s="134">
        <f t="shared" si="31"/>
        <v>3202.3539628442077</v>
      </c>
      <c r="Q375" s="261">
        <v>9.9077044489490007E-2</v>
      </c>
      <c r="R375" s="94"/>
    </row>
    <row r="376" spans="1:18" x14ac:dyDescent="0.25">
      <c r="A376" s="367">
        <v>41178</v>
      </c>
      <c r="B376" s="367" t="s">
        <v>279</v>
      </c>
      <c r="C376" s="279" t="s">
        <v>478</v>
      </c>
      <c r="D376" s="159" t="s">
        <v>960</v>
      </c>
      <c r="E376" s="45">
        <f t="shared" si="27"/>
        <v>41178</v>
      </c>
      <c r="F376" s="148" t="str">
        <f t="shared" si="28"/>
        <v>2012-13</v>
      </c>
      <c r="G376" s="1"/>
      <c r="H376" s="163"/>
      <c r="I376" s="37"/>
      <c r="J376" s="138">
        <f t="shared" si="29"/>
        <v>0.77968490742404351</v>
      </c>
      <c r="K376" s="114"/>
      <c r="L376" s="37">
        <v>5.2240031968</v>
      </c>
      <c r="M376" s="37" t="s">
        <v>142</v>
      </c>
      <c r="N376" s="37">
        <v>514.18436487804865</v>
      </c>
      <c r="O376" s="132">
        <f t="shared" si="30"/>
        <v>2686.1007658675039</v>
      </c>
      <c r="P376" s="134">
        <f t="shared" si="31"/>
        <v>475.50127223423533</v>
      </c>
      <c r="Q376" s="261">
        <v>0.22704411792641213</v>
      </c>
      <c r="R376" s="94"/>
    </row>
    <row r="377" spans="1:18" x14ac:dyDescent="0.25">
      <c r="A377" s="367">
        <v>41178</v>
      </c>
      <c r="B377" s="367" t="s">
        <v>279</v>
      </c>
      <c r="C377" s="279" t="s">
        <v>478</v>
      </c>
      <c r="D377" s="159" t="s">
        <v>960</v>
      </c>
      <c r="E377" s="45">
        <f t="shared" si="27"/>
        <v>41178</v>
      </c>
      <c r="F377" s="148" t="str">
        <f t="shared" si="28"/>
        <v>2012-13</v>
      </c>
      <c r="G377" s="1"/>
      <c r="H377" s="163"/>
      <c r="I377" s="37"/>
      <c r="J377" s="138">
        <f t="shared" si="29"/>
        <v>0.77968490742404351</v>
      </c>
      <c r="K377" s="114"/>
      <c r="L377" s="37">
        <v>82.7869011194</v>
      </c>
      <c r="M377" s="37" t="s">
        <v>142</v>
      </c>
      <c r="N377" s="37">
        <v>514.18436487804865</v>
      </c>
      <c r="O377" s="132">
        <f t="shared" si="30"/>
        <v>42567.730172300508</v>
      </c>
      <c r="P377" s="134">
        <f t="shared" si="31"/>
        <v>7535.4618524579037</v>
      </c>
      <c r="Q377" s="261">
        <v>0.22704411792641213</v>
      </c>
      <c r="R377" s="94"/>
    </row>
    <row r="378" spans="1:18" x14ac:dyDescent="0.25">
      <c r="A378" s="367">
        <v>41178</v>
      </c>
      <c r="B378" s="367" t="s">
        <v>279</v>
      </c>
      <c r="C378" s="279" t="s">
        <v>478</v>
      </c>
      <c r="D378" s="159" t="s">
        <v>960</v>
      </c>
      <c r="E378" s="45">
        <f t="shared" si="27"/>
        <v>41178</v>
      </c>
      <c r="F378" s="148" t="str">
        <f t="shared" si="28"/>
        <v>2012-13</v>
      </c>
      <c r="G378" s="1"/>
      <c r="H378" s="163"/>
      <c r="I378" s="37"/>
      <c r="J378" s="138">
        <f t="shared" si="29"/>
        <v>0.77968490742404351</v>
      </c>
      <c r="K378" s="114"/>
      <c r="L378" s="37">
        <v>18.637054303900001</v>
      </c>
      <c r="M378" s="37" t="s">
        <v>142</v>
      </c>
      <c r="N378" s="37">
        <v>514.18436487804865</v>
      </c>
      <c r="O378" s="132">
        <f t="shared" si="30"/>
        <v>9582.881930448526</v>
      </c>
      <c r="P378" s="134">
        <f t="shared" si="31"/>
        <v>1696.389282003393</v>
      </c>
      <c r="Q378" s="261">
        <v>0.22704411792641213</v>
      </c>
      <c r="R378" s="94"/>
    </row>
    <row r="379" spans="1:18" x14ac:dyDescent="0.25">
      <c r="A379" s="367">
        <v>41178</v>
      </c>
      <c r="B379" s="367" t="s">
        <v>279</v>
      </c>
      <c r="C379" s="279" t="s">
        <v>478</v>
      </c>
      <c r="D379" s="159" t="s">
        <v>960</v>
      </c>
      <c r="E379" s="45">
        <f t="shared" si="27"/>
        <v>41178</v>
      </c>
      <c r="F379" s="148" t="str">
        <f t="shared" si="28"/>
        <v>2012-13</v>
      </c>
      <c r="G379" s="1"/>
      <c r="H379" s="163"/>
      <c r="I379" s="37"/>
      <c r="J379" s="138">
        <f t="shared" si="29"/>
        <v>0.77968490742404351</v>
      </c>
      <c r="K379" s="114"/>
      <c r="L379" s="37">
        <v>6.5233111990800001</v>
      </c>
      <c r="M379" s="37" t="s">
        <v>142</v>
      </c>
      <c r="N379" s="37">
        <v>514.18436487804865</v>
      </c>
      <c r="O379" s="132">
        <f t="shared" si="30"/>
        <v>3354.1846258008118</v>
      </c>
      <c r="P379" s="134">
        <f t="shared" si="31"/>
        <v>593.7673959009885</v>
      </c>
      <c r="Q379" s="261">
        <v>0.22704411792641213</v>
      </c>
      <c r="R379" s="94"/>
    </row>
    <row r="380" spans="1:18" x14ac:dyDescent="0.25">
      <c r="A380" s="367">
        <v>41178</v>
      </c>
      <c r="B380" s="367" t="s">
        <v>279</v>
      </c>
      <c r="C380" s="279" t="s">
        <v>478</v>
      </c>
      <c r="D380" s="159" t="s">
        <v>960</v>
      </c>
      <c r="E380" s="45">
        <f t="shared" si="27"/>
        <v>41178</v>
      </c>
      <c r="F380" s="148" t="str">
        <f t="shared" si="28"/>
        <v>2012-13</v>
      </c>
      <c r="G380" s="1"/>
      <c r="H380" s="163"/>
      <c r="I380" s="37"/>
      <c r="J380" s="138">
        <f t="shared" si="29"/>
        <v>0.77968490742404351</v>
      </c>
      <c r="K380" s="114"/>
      <c r="L380" s="37">
        <v>1.5106455573699999</v>
      </c>
      <c r="M380" s="37" t="s">
        <v>142</v>
      </c>
      <c r="N380" s="37">
        <v>470.74786858536584</v>
      </c>
      <c r="O380" s="132">
        <f t="shared" si="30"/>
        <v>711.13317631987945</v>
      </c>
      <c r="P380" s="134">
        <f t="shared" si="31"/>
        <v>125.88683729400903</v>
      </c>
      <c r="Q380" s="261">
        <v>0.22704411792641213</v>
      </c>
      <c r="R380" s="94"/>
    </row>
    <row r="381" spans="1:18" x14ac:dyDescent="0.25">
      <c r="A381" s="367">
        <v>41178</v>
      </c>
      <c r="B381" s="367" t="s">
        <v>279</v>
      </c>
      <c r="C381" s="279" t="s">
        <v>478</v>
      </c>
      <c r="D381" s="159" t="s">
        <v>960</v>
      </c>
      <c r="E381" s="45">
        <f t="shared" si="27"/>
        <v>41178</v>
      </c>
      <c r="F381" s="148" t="str">
        <f t="shared" si="28"/>
        <v>2012-13</v>
      </c>
      <c r="G381" s="1"/>
      <c r="H381" s="163"/>
      <c r="I381" s="37"/>
      <c r="J381" s="138">
        <f t="shared" si="29"/>
        <v>0.77968490742404351</v>
      </c>
      <c r="K381" s="114"/>
      <c r="L381" s="37">
        <v>9.3738941813800007</v>
      </c>
      <c r="M381" s="37" t="s">
        <v>142</v>
      </c>
      <c r="N381" s="37">
        <v>470.74786858536584</v>
      </c>
      <c r="O381" s="132">
        <f t="shared" si="30"/>
        <v>4412.7407062293978</v>
      </c>
      <c r="P381" s="134">
        <f t="shared" si="31"/>
        <v>781.15603350204958</v>
      </c>
      <c r="Q381" s="261">
        <v>0.22704411792641213</v>
      </c>
      <c r="R381" s="94"/>
    </row>
    <row r="382" spans="1:18" x14ac:dyDescent="0.25">
      <c r="A382" s="367">
        <v>41178</v>
      </c>
      <c r="B382" s="367" t="s">
        <v>279</v>
      </c>
      <c r="C382" s="279" t="s">
        <v>478</v>
      </c>
      <c r="D382" s="159" t="s">
        <v>960</v>
      </c>
      <c r="E382" s="45">
        <f t="shared" si="27"/>
        <v>41178</v>
      </c>
      <c r="F382" s="148" t="str">
        <f t="shared" si="28"/>
        <v>2012-13</v>
      </c>
      <c r="G382" s="1"/>
      <c r="H382" s="163"/>
      <c r="I382" s="37"/>
      <c r="J382" s="138">
        <f t="shared" si="29"/>
        <v>0.77968490742404351</v>
      </c>
      <c r="K382" s="114"/>
      <c r="L382" s="37">
        <v>27.830145163600001</v>
      </c>
      <c r="M382" s="37" t="s">
        <v>142</v>
      </c>
      <c r="N382" s="37">
        <v>514.18436487804865</v>
      </c>
      <c r="O382" s="132">
        <f t="shared" si="30"/>
        <v>14309.825515409564</v>
      </c>
      <c r="P382" s="134">
        <f t="shared" si="31"/>
        <v>2533.1664115101198</v>
      </c>
      <c r="Q382" s="261">
        <v>0.22704411792641213</v>
      </c>
      <c r="R382" s="94"/>
    </row>
    <row r="383" spans="1:18" x14ac:dyDescent="0.25">
      <c r="A383" s="367">
        <v>41178</v>
      </c>
      <c r="B383" s="367" t="s">
        <v>279</v>
      </c>
      <c r="C383" s="279" t="s">
        <v>478</v>
      </c>
      <c r="D383" s="159" t="s">
        <v>960</v>
      </c>
      <c r="E383" s="45">
        <f t="shared" si="27"/>
        <v>41178</v>
      </c>
      <c r="F383" s="148" t="str">
        <f t="shared" si="28"/>
        <v>2012-13</v>
      </c>
      <c r="G383" s="1"/>
      <c r="H383" s="163"/>
      <c r="I383" s="37"/>
      <c r="J383" s="138">
        <f t="shared" si="29"/>
        <v>0.77968490742404351</v>
      </c>
      <c r="K383" s="114"/>
      <c r="L383" s="37">
        <v>42.562534383299997</v>
      </c>
      <c r="M383" s="37" t="s">
        <v>142</v>
      </c>
      <c r="N383" s="37">
        <v>470.74786858536584</v>
      </c>
      <c r="O383" s="132">
        <f t="shared" si="30"/>
        <v>20036.222342529822</v>
      </c>
      <c r="P383" s="134">
        <f t="shared" si="31"/>
        <v>3546.8696244401754</v>
      </c>
      <c r="Q383" s="261">
        <v>0.22704411792641213</v>
      </c>
      <c r="R383" s="94"/>
    </row>
    <row r="384" spans="1:18" x14ac:dyDescent="0.25">
      <c r="A384" s="367">
        <v>41178</v>
      </c>
      <c r="B384" s="367" t="s">
        <v>279</v>
      </c>
      <c r="C384" s="279" t="s">
        <v>478</v>
      </c>
      <c r="D384" s="159" t="s">
        <v>960</v>
      </c>
      <c r="E384" s="45">
        <f t="shared" si="27"/>
        <v>41178</v>
      </c>
      <c r="F384" s="148" t="str">
        <f t="shared" si="28"/>
        <v>2012-13</v>
      </c>
      <c r="G384" s="1"/>
      <c r="H384" s="163"/>
      <c r="I384" s="37"/>
      <c r="J384" s="138">
        <f t="shared" si="29"/>
        <v>0.77968490742404351</v>
      </c>
      <c r="K384" s="114"/>
      <c r="L384" s="37">
        <v>2.5215032829499999</v>
      </c>
      <c r="M384" s="37" t="s">
        <v>142</v>
      </c>
      <c r="N384" s="37">
        <v>470.74786858536584</v>
      </c>
      <c r="O384" s="132">
        <f t="shared" si="30"/>
        <v>1186.9922960797151</v>
      </c>
      <c r="P384" s="134">
        <f t="shared" si="31"/>
        <v>210.12478537299273</v>
      </c>
      <c r="Q384" s="261">
        <v>0.22704411792641213</v>
      </c>
      <c r="R384" s="94"/>
    </row>
    <row r="385" spans="1:18" x14ac:dyDescent="0.25">
      <c r="A385" s="367">
        <v>41178</v>
      </c>
      <c r="B385" s="367" t="s">
        <v>279</v>
      </c>
      <c r="C385" s="279" t="s">
        <v>478</v>
      </c>
      <c r="D385" s="159" t="s">
        <v>960</v>
      </c>
      <c r="E385" s="45">
        <f t="shared" si="27"/>
        <v>41178</v>
      </c>
      <c r="F385" s="148" t="str">
        <f t="shared" si="28"/>
        <v>2012-13</v>
      </c>
      <c r="G385" s="1"/>
      <c r="H385" s="163"/>
      <c r="I385" s="37"/>
      <c r="J385" s="138">
        <f t="shared" si="29"/>
        <v>0.77968490742404351</v>
      </c>
      <c r="K385" s="114"/>
      <c r="L385" s="37">
        <v>76.9185018533</v>
      </c>
      <c r="M385" s="37" t="s">
        <v>142</v>
      </c>
      <c r="N385" s="37">
        <v>514.18436487804865</v>
      </c>
      <c r="O385" s="132">
        <f t="shared" si="30"/>
        <v>39550.291022810066</v>
      </c>
      <c r="P385" s="134">
        <f t="shared" si="31"/>
        <v>7001.3061079288227</v>
      </c>
      <c r="Q385" s="261">
        <v>0.22704411792641213</v>
      </c>
      <c r="R385" s="94"/>
    </row>
    <row r="386" spans="1:18" x14ac:dyDescent="0.25">
      <c r="A386" s="367">
        <v>41178</v>
      </c>
      <c r="B386" s="367" t="s">
        <v>279</v>
      </c>
      <c r="C386" s="279" t="s">
        <v>478</v>
      </c>
      <c r="D386" s="159" t="s">
        <v>960</v>
      </c>
      <c r="E386" s="45">
        <f t="shared" si="27"/>
        <v>41178</v>
      </c>
      <c r="F386" s="148" t="str">
        <f t="shared" si="28"/>
        <v>2012-13</v>
      </c>
      <c r="G386" s="1"/>
      <c r="H386" s="163"/>
      <c r="I386" s="37"/>
      <c r="J386" s="138">
        <f t="shared" si="29"/>
        <v>0.77968490742404351</v>
      </c>
      <c r="K386" s="114"/>
      <c r="L386" s="37">
        <v>1.46377115698</v>
      </c>
      <c r="M386" s="37" t="s">
        <v>142</v>
      </c>
      <c r="N386" s="37">
        <v>470.74786858536584</v>
      </c>
      <c r="O386" s="132">
        <f t="shared" si="30"/>
        <v>689.06715224507002</v>
      </c>
      <c r="P386" s="134">
        <f t="shared" si="31"/>
        <v>121.98064633719488</v>
      </c>
      <c r="Q386" s="261">
        <v>0.22704411792641213</v>
      </c>
      <c r="R386" s="94"/>
    </row>
    <row r="387" spans="1:18" x14ac:dyDescent="0.25">
      <c r="A387" s="367">
        <v>41178</v>
      </c>
      <c r="B387" s="367" t="s">
        <v>279</v>
      </c>
      <c r="C387" s="279" t="s">
        <v>478</v>
      </c>
      <c r="D387" s="159" t="s">
        <v>960</v>
      </c>
      <c r="E387" s="45">
        <f t="shared" si="27"/>
        <v>41178</v>
      </c>
      <c r="F387" s="148" t="str">
        <f t="shared" si="28"/>
        <v>2012-13</v>
      </c>
      <c r="G387" s="1"/>
      <c r="H387" s="163"/>
      <c r="I387" s="37"/>
      <c r="J387" s="138">
        <f t="shared" si="29"/>
        <v>0.77968490742404351</v>
      </c>
      <c r="K387" s="114"/>
      <c r="L387" s="37">
        <v>30.464502837200001</v>
      </c>
      <c r="M387" s="37" t="s">
        <v>142</v>
      </c>
      <c r="N387" s="37">
        <v>514.18436487804865</v>
      </c>
      <c r="O387" s="132">
        <f t="shared" si="30"/>
        <v>15664.371042671193</v>
      </c>
      <c r="P387" s="134">
        <f t="shared" si="31"/>
        <v>2772.9519510909786</v>
      </c>
      <c r="Q387" s="261">
        <v>0.22704411792641213</v>
      </c>
      <c r="R387" s="94"/>
    </row>
    <row r="388" spans="1:18" x14ac:dyDescent="0.25">
      <c r="A388" s="367">
        <v>41178</v>
      </c>
      <c r="B388" s="367" t="s">
        <v>279</v>
      </c>
      <c r="C388" s="279" t="s">
        <v>478</v>
      </c>
      <c r="D388" s="159" t="s">
        <v>961</v>
      </c>
      <c r="E388" s="45">
        <f t="shared" si="27"/>
        <v>41178</v>
      </c>
      <c r="F388" s="148" t="str">
        <f t="shared" si="28"/>
        <v>2012-13</v>
      </c>
      <c r="G388" s="1"/>
      <c r="H388" s="163"/>
      <c r="I388" s="37"/>
      <c r="J388" s="138">
        <f t="shared" si="29"/>
        <v>0.77968490742404351</v>
      </c>
      <c r="K388" s="114"/>
      <c r="L388" s="37">
        <v>8.6647928638499998</v>
      </c>
      <c r="M388" s="37" t="s">
        <v>142</v>
      </c>
      <c r="N388" s="37">
        <v>798.44393414634135</v>
      </c>
      <c r="O388" s="132">
        <f t="shared" si="30"/>
        <v>6918.351302775538</v>
      </c>
      <c r="P388" s="134">
        <f t="shared" si="31"/>
        <v>1224.7064175832249</v>
      </c>
      <c r="Q388" s="261">
        <v>0.22704411792641213</v>
      </c>
      <c r="R388" s="94"/>
    </row>
    <row r="389" spans="1:18" x14ac:dyDescent="0.25">
      <c r="A389" s="367">
        <v>41178</v>
      </c>
      <c r="B389" s="367" t="s">
        <v>279</v>
      </c>
      <c r="C389" s="279" t="s">
        <v>478</v>
      </c>
      <c r="D389" s="159" t="s">
        <v>961</v>
      </c>
      <c r="E389" s="45">
        <f t="shared" si="27"/>
        <v>41178</v>
      </c>
      <c r="F389" s="148" t="str">
        <f t="shared" si="28"/>
        <v>2012-13</v>
      </c>
      <c r="G389" s="1"/>
      <c r="H389" s="163"/>
      <c r="I389" s="37"/>
      <c r="J389" s="138">
        <f t="shared" si="29"/>
        <v>0.77968490742404351</v>
      </c>
      <c r="K389" s="114"/>
      <c r="L389" s="37">
        <v>0.80005312363000003</v>
      </c>
      <c r="M389" s="37" t="s">
        <v>142</v>
      </c>
      <c r="N389" s="37">
        <v>514.18436487804865</v>
      </c>
      <c r="O389" s="132">
        <f t="shared" si="30"/>
        <v>411.37480724239049</v>
      </c>
      <c r="P389" s="134">
        <f t="shared" si="31"/>
        <v>72.822749873903547</v>
      </c>
      <c r="Q389" s="261">
        <v>0.22704411792641213</v>
      </c>
      <c r="R389" s="94"/>
    </row>
    <row r="390" spans="1:18" x14ac:dyDescent="0.25">
      <c r="A390" s="367">
        <v>41178</v>
      </c>
      <c r="B390" s="367" t="s">
        <v>279</v>
      </c>
      <c r="C390" s="279" t="s">
        <v>478</v>
      </c>
      <c r="D390" s="159" t="s">
        <v>961</v>
      </c>
      <c r="E390" s="45">
        <f t="shared" si="27"/>
        <v>41178</v>
      </c>
      <c r="F390" s="148" t="str">
        <f t="shared" si="28"/>
        <v>2012-13</v>
      </c>
      <c r="G390" s="1"/>
      <c r="H390" s="163"/>
      <c r="I390" s="37"/>
      <c r="J390" s="138">
        <f t="shared" si="29"/>
        <v>0.77968490742404351</v>
      </c>
      <c r="K390" s="114"/>
      <c r="L390" s="37">
        <v>0.79880535801899999</v>
      </c>
      <c r="M390" s="37" t="s">
        <v>142</v>
      </c>
      <c r="N390" s="37">
        <v>514.18436487804865</v>
      </c>
      <c r="O390" s="132">
        <f t="shared" si="30"/>
        <v>410.73322567418177</v>
      </c>
      <c r="P390" s="134">
        <f t="shared" si="31"/>
        <v>72.709175262034222</v>
      </c>
      <c r="Q390" s="261">
        <v>0.22704411792641213</v>
      </c>
      <c r="R390" s="94"/>
    </row>
    <row r="391" spans="1:18" x14ac:dyDescent="0.25">
      <c r="A391" s="367">
        <v>41178</v>
      </c>
      <c r="B391" s="367" t="s">
        <v>279</v>
      </c>
      <c r="C391" s="279" t="s">
        <v>478</v>
      </c>
      <c r="D391" s="159" t="s">
        <v>961</v>
      </c>
      <c r="E391" s="45">
        <f t="shared" si="27"/>
        <v>41178</v>
      </c>
      <c r="F391" s="148" t="str">
        <f t="shared" si="28"/>
        <v>2012-13</v>
      </c>
      <c r="G391" s="1"/>
      <c r="H391" s="163"/>
      <c r="I391" s="37"/>
      <c r="J391" s="138">
        <f t="shared" si="29"/>
        <v>0.77968490742404351</v>
      </c>
      <c r="K391" s="114"/>
      <c r="L391" s="37">
        <v>0.78344878581800004</v>
      </c>
      <c r="M391" s="37" t="s">
        <v>142</v>
      </c>
      <c r="N391" s="37">
        <v>514.18436487804865</v>
      </c>
      <c r="O391" s="132">
        <f t="shared" si="30"/>
        <v>402.8371163503067</v>
      </c>
      <c r="P391" s="134">
        <f t="shared" si="31"/>
        <v>71.311383311369795</v>
      </c>
      <c r="Q391" s="261">
        <v>0.22704411792641213</v>
      </c>
      <c r="R391" s="94"/>
    </row>
    <row r="392" spans="1:18" x14ac:dyDescent="0.25">
      <c r="A392" s="367">
        <v>41178</v>
      </c>
      <c r="B392" s="367" t="s">
        <v>279</v>
      </c>
      <c r="C392" s="279" t="s">
        <v>478</v>
      </c>
      <c r="D392" s="159" t="s">
        <v>961</v>
      </c>
      <c r="E392" s="45">
        <f t="shared" si="27"/>
        <v>41178</v>
      </c>
      <c r="F392" s="148" t="str">
        <f t="shared" si="28"/>
        <v>2012-13</v>
      </c>
      <c r="G392" s="1"/>
      <c r="H392" s="163"/>
      <c r="I392" s="37"/>
      <c r="J392" s="138">
        <f t="shared" si="29"/>
        <v>0.77968490742404351</v>
      </c>
      <c r="K392" s="114"/>
      <c r="L392" s="37">
        <v>0.79956488166999995</v>
      </c>
      <c r="M392" s="37" t="s">
        <v>142</v>
      </c>
      <c r="N392" s="37">
        <v>514.18436487804865</v>
      </c>
      <c r="O392" s="132">
        <f t="shared" si="30"/>
        <v>411.12376086028104</v>
      </c>
      <c r="P392" s="134">
        <f t="shared" si="31"/>
        <v>72.778308922320605</v>
      </c>
      <c r="Q392" s="261">
        <v>0.22704411792641213</v>
      </c>
      <c r="R392" s="94"/>
    </row>
    <row r="393" spans="1:18" x14ac:dyDescent="0.25">
      <c r="A393" s="367">
        <v>41178</v>
      </c>
      <c r="B393" s="367" t="s">
        <v>279</v>
      </c>
      <c r="C393" s="279" t="s">
        <v>478</v>
      </c>
      <c r="D393" s="159" t="s">
        <v>961</v>
      </c>
      <c r="E393" s="45">
        <f t="shared" si="27"/>
        <v>41178</v>
      </c>
      <c r="F393" s="148" t="str">
        <f t="shared" si="28"/>
        <v>2012-13</v>
      </c>
      <c r="G393" s="1"/>
      <c r="H393" s="163"/>
      <c r="I393" s="37"/>
      <c r="J393" s="138">
        <f t="shared" si="29"/>
        <v>0.77968490742404351</v>
      </c>
      <c r="K393" s="114"/>
      <c r="L393" s="37">
        <v>18.890249481800002</v>
      </c>
      <c r="M393" s="37" t="s">
        <v>142</v>
      </c>
      <c r="N393" s="37">
        <v>514.18436487804865</v>
      </c>
      <c r="O393" s="132">
        <f t="shared" si="30"/>
        <v>9713.0709321872218</v>
      </c>
      <c r="P393" s="134">
        <f t="shared" si="31"/>
        <v>1719.4357130026642</v>
      </c>
      <c r="Q393" s="261">
        <v>0.22704411792641213</v>
      </c>
      <c r="R393" s="94"/>
    </row>
    <row r="394" spans="1:18" x14ac:dyDescent="0.25">
      <c r="A394" s="367">
        <v>41178</v>
      </c>
      <c r="B394" s="367" t="s">
        <v>279</v>
      </c>
      <c r="C394" s="279" t="s">
        <v>478</v>
      </c>
      <c r="D394" s="159" t="s">
        <v>960</v>
      </c>
      <c r="E394" s="45">
        <f t="shared" si="27"/>
        <v>41178</v>
      </c>
      <c r="F394" s="148" t="str">
        <f t="shared" si="28"/>
        <v>2012-13</v>
      </c>
      <c r="G394" s="1"/>
      <c r="H394" s="163"/>
      <c r="I394" s="37"/>
      <c r="J394" s="138">
        <f t="shared" si="29"/>
        <v>0.77968490742404351</v>
      </c>
      <c r="K394" s="114"/>
      <c r="L394" s="37">
        <v>1.4606084123900001</v>
      </c>
      <c r="M394" s="37" t="s">
        <v>142</v>
      </c>
      <c r="N394" s="37">
        <v>470.74786858536584</v>
      </c>
      <c r="O394" s="132">
        <f t="shared" si="30"/>
        <v>687.57829697044758</v>
      </c>
      <c r="P394" s="134">
        <f t="shared" si="31"/>
        <v>121.71708490038968</v>
      </c>
      <c r="Q394" s="261">
        <v>0.22704411792641213</v>
      </c>
      <c r="R394" s="94"/>
    </row>
    <row r="395" spans="1:18" x14ac:dyDescent="0.25">
      <c r="A395" s="367">
        <v>41103</v>
      </c>
      <c r="B395" s="367" t="s">
        <v>279</v>
      </c>
      <c r="C395" s="279" t="s">
        <v>477</v>
      </c>
      <c r="D395" s="159" t="s">
        <v>960</v>
      </c>
      <c r="E395" s="45">
        <f t="shared" si="27"/>
        <v>41103</v>
      </c>
      <c r="F395" s="148" t="str">
        <f t="shared" si="28"/>
        <v>2012-13</v>
      </c>
      <c r="G395" s="1"/>
      <c r="H395" s="163"/>
      <c r="I395" s="37"/>
      <c r="J395" s="138">
        <f t="shared" si="29"/>
        <v>0.77968490742404351</v>
      </c>
      <c r="K395" s="114"/>
      <c r="L395" s="37">
        <v>13.3732411318</v>
      </c>
      <c r="M395" s="37" t="s">
        <v>142</v>
      </c>
      <c r="N395" s="37">
        <v>470.74786858536584</v>
      </c>
      <c r="O395" s="132">
        <f t="shared" si="30"/>
        <v>6295.4247588729959</v>
      </c>
      <c r="P395" s="134">
        <f t="shared" si="31"/>
        <v>486.31448820632335</v>
      </c>
      <c r="Q395" s="261">
        <v>9.9077044489490007E-2</v>
      </c>
      <c r="R395" s="94"/>
    </row>
    <row r="396" spans="1:18" x14ac:dyDescent="0.25">
      <c r="A396" s="367">
        <v>41103</v>
      </c>
      <c r="B396" s="367" t="s">
        <v>279</v>
      </c>
      <c r="C396" s="279" t="s">
        <v>477</v>
      </c>
      <c r="D396" s="159" t="s">
        <v>960</v>
      </c>
      <c r="E396" s="45">
        <f t="shared" si="27"/>
        <v>41103</v>
      </c>
      <c r="F396" s="148" t="str">
        <f t="shared" si="28"/>
        <v>2012-13</v>
      </c>
      <c r="G396" s="1"/>
      <c r="H396" s="163"/>
      <c r="I396" s="37"/>
      <c r="J396" s="138">
        <f t="shared" si="29"/>
        <v>0.77968490742404351</v>
      </c>
      <c r="K396" s="114"/>
      <c r="L396" s="37">
        <v>31.961690194399999</v>
      </c>
      <c r="M396" s="37" t="s">
        <v>142</v>
      </c>
      <c r="N396" s="37">
        <v>470.74786858536584</v>
      </c>
      <c r="O396" s="132">
        <f t="shared" si="30"/>
        <v>15045.897535399587</v>
      </c>
      <c r="P396" s="134">
        <f t="shared" si="31"/>
        <v>1162.2786769422887</v>
      </c>
      <c r="Q396" s="261">
        <v>9.9077044489490007E-2</v>
      </c>
      <c r="R396" s="94"/>
    </row>
    <row r="397" spans="1:18" x14ac:dyDescent="0.25">
      <c r="A397" s="367">
        <v>41178</v>
      </c>
      <c r="B397" s="367" t="s">
        <v>279</v>
      </c>
      <c r="C397" s="279" t="s">
        <v>478</v>
      </c>
      <c r="D397" s="159" t="s">
        <v>960</v>
      </c>
      <c r="E397" s="45">
        <f t="shared" si="27"/>
        <v>41178</v>
      </c>
      <c r="F397" s="148" t="str">
        <f t="shared" si="28"/>
        <v>2012-13</v>
      </c>
      <c r="G397" s="1"/>
      <c r="H397" s="163"/>
      <c r="I397" s="37"/>
      <c r="J397" s="138">
        <f t="shared" si="29"/>
        <v>0.77968490742404351</v>
      </c>
      <c r="K397" s="114"/>
      <c r="L397" s="37">
        <v>2.33064905123</v>
      </c>
      <c r="M397" s="37" t="s">
        <v>142</v>
      </c>
      <c r="N397" s="37">
        <v>470.74786858536584</v>
      </c>
      <c r="O397" s="132">
        <f t="shared" si="30"/>
        <v>1097.1480732870275</v>
      </c>
      <c r="P397" s="134">
        <f t="shared" si="31"/>
        <v>194.22030301563714</v>
      </c>
      <c r="Q397" s="261">
        <v>0.22704411792641213</v>
      </c>
      <c r="R397" s="94"/>
    </row>
    <row r="398" spans="1:18" x14ac:dyDescent="0.25">
      <c r="A398" s="367">
        <v>41103</v>
      </c>
      <c r="B398" s="367" t="s">
        <v>279</v>
      </c>
      <c r="C398" s="279" t="s">
        <v>477</v>
      </c>
      <c r="D398" s="159" t="s">
        <v>960</v>
      </c>
      <c r="E398" s="45">
        <f t="shared" si="27"/>
        <v>41103</v>
      </c>
      <c r="F398" s="148" t="str">
        <f t="shared" si="28"/>
        <v>2012-13</v>
      </c>
      <c r="G398" s="1"/>
      <c r="H398" s="163"/>
      <c r="I398" s="37"/>
      <c r="J398" s="138">
        <f t="shared" si="29"/>
        <v>0.77968490742404351</v>
      </c>
      <c r="K398" s="114"/>
      <c r="L398" s="37">
        <v>167.84409090099999</v>
      </c>
      <c r="M398" s="37" t="s">
        <v>142</v>
      </c>
      <c r="N398" s="37">
        <v>514.18436487804865</v>
      </c>
      <c r="O398" s="132">
        <f t="shared" si="30"/>
        <v>86302.807278464141</v>
      </c>
      <c r="P398" s="134">
        <f t="shared" si="31"/>
        <v>6666.7948803995796</v>
      </c>
      <c r="Q398" s="261">
        <v>9.9077044489490007E-2</v>
      </c>
      <c r="R398" s="94"/>
    </row>
    <row r="399" spans="1:18" x14ac:dyDescent="0.25">
      <c r="A399" s="367">
        <v>41178</v>
      </c>
      <c r="B399" s="367" t="s">
        <v>279</v>
      </c>
      <c r="C399" s="279" t="s">
        <v>478</v>
      </c>
      <c r="D399" s="159" t="s">
        <v>960</v>
      </c>
      <c r="E399" s="45">
        <f t="shared" si="27"/>
        <v>41178</v>
      </c>
      <c r="F399" s="148" t="str">
        <f t="shared" si="28"/>
        <v>2012-13</v>
      </c>
      <c r="G399" s="1"/>
      <c r="H399" s="163"/>
      <c r="I399" s="37"/>
      <c r="J399" s="138">
        <f t="shared" si="29"/>
        <v>0.77968490742404351</v>
      </c>
      <c r="K399" s="114"/>
      <c r="L399" s="37">
        <v>67.800091659700001</v>
      </c>
      <c r="M399" s="37" t="s">
        <v>142</v>
      </c>
      <c r="N399" s="37">
        <v>621.96155034146341</v>
      </c>
      <c r="O399" s="132">
        <f t="shared" si="30"/>
        <v>42169.050121960339</v>
      </c>
      <c r="P399" s="134">
        <f t="shared" si="31"/>
        <v>7464.8863649110208</v>
      </c>
      <c r="Q399" s="261">
        <v>0.22704411792641213</v>
      </c>
      <c r="R399" s="94"/>
    </row>
    <row r="400" spans="1:18" x14ac:dyDescent="0.25">
      <c r="A400" s="367">
        <v>41178</v>
      </c>
      <c r="B400" s="367" t="s">
        <v>279</v>
      </c>
      <c r="C400" s="279" t="s">
        <v>478</v>
      </c>
      <c r="D400" s="159" t="s">
        <v>960</v>
      </c>
      <c r="E400" s="45">
        <f t="shared" si="27"/>
        <v>41178</v>
      </c>
      <c r="F400" s="148" t="str">
        <f t="shared" si="28"/>
        <v>2012-13</v>
      </c>
      <c r="G400" s="1"/>
      <c r="H400" s="163"/>
      <c r="I400" s="37"/>
      <c r="J400" s="138">
        <f t="shared" si="29"/>
        <v>0.77968490742404351</v>
      </c>
      <c r="K400" s="114"/>
      <c r="L400" s="37">
        <v>10.4198610529</v>
      </c>
      <c r="M400" s="37" t="s">
        <v>142</v>
      </c>
      <c r="N400" s="37">
        <v>470.74786858536584</v>
      </c>
      <c r="O400" s="132">
        <f t="shared" si="30"/>
        <v>4905.1273816083412</v>
      </c>
      <c r="P400" s="134">
        <f t="shared" si="31"/>
        <v>868.31973694496867</v>
      </c>
      <c r="Q400" s="261">
        <v>0.22704411792641213</v>
      </c>
      <c r="R400" s="94"/>
    </row>
    <row r="401" spans="1:18" x14ac:dyDescent="0.25">
      <c r="A401" s="367">
        <v>41178</v>
      </c>
      <c r="B401" s="367" t="s">
        <v>279</v>
      </c>
      <c r="C401" s="279" t="s">
        <v>478</v>
      </c>
      <c r="D401" s="159" t="s">
        <v>960</v>
      </c>
      <c r="E401" s="45">
        <f t="shared" si="27"/>
        <v>41178</v>
      </c>
      <c r="F401" s="148" t="str">
        <f t="shared" si="28"/>
        <v>2012-13</v>
      </c>
      <c r="G401" s="1"/>
      <c r="H401" s="163"/>
      <c r="I401" s="37"/>
      <c r="J401" s="138">
        <f t="shared" si="29"/>
        <v>0.77968490742404351</v>
      </c>
      <c r="K401" s="114"/>
      <c r="L401" s="37">
        <v>2.47102620249</v>
      </c>
      <c r="M401" s="37" t="s">
        <v>142</v>
      </c>
      <c r="N401" s="37">
        <v>621.96155034146341</v>
      </c>
      <c r="O401" s="132">
        <f t="shared" si="30"/>
        <v>1536.8832878350593</v>
      </c>
      <c r="P401" s="134">
        <f t="shared" si="31"/>
        <v>272.06349364376473</v>
      </c>
      <c r="Q401" s="261">
        <v>0.22704411792641213</v>
      </c>
      <c r="R401" s="94"/>
    </row>
    <row r="402" spans="1:18" x14ac:dyDescent="0.25">
      <c r="A402" s="367">
        <v>41178</v>
      </c>
      <c r="B402" s="367" t="s">
        <v>279</v>
      </c>
      <c r="C402" s="279" t="s">
        <v>478</v>
      </c>
      <c r="D402" s="159" t="s">
        <v>960</v>
      </c>
      <c r="E402" s="45">
        <f t="shared" si="27"/>
        <v>41178</v>
      </c>
      <c r="F402" s="148" t="str">
        <f t="shared" si="28"/>
        <v>2012-13</v>
      </c>
      <c r="G402" s="1"/>
      <c r="H402" s="163"/>
      <c r="I402" s="37"/>
      <c r="J402" s="138">
        <f t="shared" si="29"/>
        <v>0.77968490742404351</v>
      </c>
      <c r="K402" s="114"/>
      <c r="L402" s="37">
        <v>4.6483257200799999</v>
      </c>
      <c r="M402" s="37" t="s">
        <v>142</v>
      </c>
      <c r="N402" s="37">
        <v>621.96155034146341</v>
      </c>
      <c r="O402" s="132">
        <f t="shared" si="30"/>
        <v>2891.0798713530562</v>
      </c>
      <c r="P402" s="134">
        <f t="shared" si="31"/>
        <v>511.78726220093614</v>
      </c>
      <c r="Q402" s="261">
        <v>0.22704411792641213</v>
      </c>
      <c r="R402" s="94"/>
    </row>
    <row r="403" spans="1:18" x14ac:dyDescent="0.25">
      <c r="A403" s="367">
        <v>41178</v>
      </c>
      <c r="B403" s="367" t="s">
        <v>279</v>
      </c>
      <c r="C403" s="279" t="s">
        <v>478</v>
      </c>
      <c r="D403" s="159" t="s">
        <v>960</v>
      </c>
      <c r="E403" s="45">
        <f t="shared" si="27"/>
        <v>41178</v>
      </c>
      <c r="F403" s="148" t="str">
        <f t="shared" si="28"/>
        <v>2012-13</v>
      </c>
      <c r="G403" s="1"/>
      <c r="H403" s="163"/>
      <c r="I403" s="37"/>
      <c r="J403" s="138">
        <f t="shared" si="29"/>
        <v>0.77968490742404351</v>
      </c>
      <c r="K403" s="114"/>
      <c r="L403" s="37">
        <v>1.5291386464300001</v>
      </c>
      <c r="M403" s="37" t="s">
        <v>142</v>
      </c>
      <c r="N403" s="37">
        <v>470.74786858536584</v>
      </c>
      <c r="O403" s="132">
        <f t="shared" si="30"/>
        <v>719.83875857843384</v>
      </c>
      <c r="P403" s="134">
        <f t="shared" si="31"/>
        <v>127.42792446843062</v>
      </c>
      <c r="Q403" s="261">
        <v>0.22704411792641213</v>
      </c>
      <c r="R403" s="94"/>
    </row>
    <row r="404" spans="1:18" x14ac:dyDescent="0.25">
      <c r="A404" s="367">
        <v>41103</v>
      </c>
      <c r="B404" s="367" t="s">
        <v>279</v>
      </c>
      <c r="C404" s="279" t="s">
        <v>477</v>
      </c>
      <c r="D404" s="159" t="s">
        <v>960</v>
      </c>
      <c r="E404" s="45">
        <f t="shared" si="27"/>
        <v>41103</v>
      </c>
      <c r="F404" s="148" t="str">
        <f t="shared" si="28"/>
        <v>2012-13</v>
      </c>
      <c r="G404" s="1"/>
      <c r="H404" s="163"/>
      <c r="I404" s="37"/>
      <c r="J404" s="138">
        <f t="shared" si="29"/>
        <v>0.77968490742404351</v>
      </c>
      <c r="K404" s="114"/>
      <c r="L404" s="37">
        <v>38.444376298999998</v>
      </c>
      <c r="M404" s="37" t="s">
        <v>142</v>
      </c>
      <c r="N404" s="37">
        <v>470.74786858536584</v>
      </c>
      <c r="O404" s="132">
        <f t="shared" si="30"/>
        <v>18097.608201848005</v>
      </c>
      <c r="P404" s="134">
        <f t="shared" si="31"/>
        <v>1398.0198965980251</v>
      </c>
      <c r="Q404" s="261">
        <v>9.9077044489490007E-2</v>
      </c>
      <c r="R404" s="94"/>
    </row>
    <row r="405" spans="1:18" x14ac:dyDescent="0.25">
      <c r="A405" s="367">
        <v>41103</v>
      </c>
      <c r="B405" s="367" t="s">
        <v>279</v>
      </c>
      <c r="C405" s="279" t="s">
        <v>477</v>
      </c>
      <c r="D405" s="159" t="s">
        <v>960</v>
      </c>
      <c r="E405" s="45">
        <f t="shared" si="27"/>
        <v>41103</v>
      </c>
      <c r="F405" s="148" t="str">
        <f t="shared" si="28"/>
        <v>2012-13</v>
      </c>
      <c r="G405" s="1"/>
      <c r="H405" s="163"/>
      <c r="I405" s="37"/>
      <c r="J405" s="138">
        <f t="shared" si="29"/>
        <v>0.77968490742404351</v>
      </c>
      <c r="K405" s="114"/>
      <c r="L405" s="37">
        <v>19.590219362100001</v>
      </c>
      <c r="M405" s="37" t="s">
        <v>142</v>
      </c>
      <c r="N405" s="37">
        <v>470.74786858536584</v>
      </c>
      <c r="O405" s="132">
        <f t="shared" si="30"/>
        <v>9222.05400982834</v>
      </c>
      <c r="P405" s="134">
        <f t="shared" si="31"/>
        <v>712.39330907413012</v>
      </c>
      <c r="Q405" s="261">
        <v>9.9077044489490007E-2</v>
      </c>
      <c r="R405" s="94"/>
    </row>
    <row r="406" spans="1:18" x14ac:dyDescent="0.25">
      <c r="A406" s="367">
        <v>41103</v>
      </c>
      <c r="B406" s="367" t="s">
        <v>279</v>
      </c>
      <c r="C406" s="279" t="s">
        <v>477</v>
      </c>
      <c r="D406" s="159" t="s">
        <v>960</v>
      </c>
      <c r="E406" s="45">
        <f t="shared" si="27"/>
        <v>41103</v>
      </c>
      <c r="F406" s="148" t="str">
        <f t="shared" si="28"/>
        <v>2012-13</v>
      </c>
      <c r="G406" s="1"/>
      <c r="H406" s="163"/>
      <c r="I406" s="37"/>
      <c r="J406" s="138">
        <f t="shared" si="29"/>
        <v>0.77968490742404351</v>
      </c>
      <c r="K406" s="114"/>
      <c r="L406" s="37">
        <v>16.891198453800001</v>
      </c>
      <c r="M406" s="37" t="s">
        <v>142</v>
      </c>
      <c r="N406" s="37">
        <v>514.18436487804865</v>
      </c>
      <c r="O406" s="132">
        <f t="shared" si="30"/>
        <v>8685.1901489962311</v>
      </c>
      <c r="P406" s="134">
        <f t="shared" si="31"/>
        <v>670.9211791199034</v>
      </c>
      <c r="Q406" s="261">
        <v>9.9077044489490007E-2</v>
      </c>
      <c r="R406" s="94"/>
    </row>
    <row r="407" spans="1:18" x14ac:dyDescent="0.25">
      <c r="A407" s="367">
        <v>41103</v>
      </c>
      <c r="B407" s="367" t="s">
        <v>279</v>
      </c>
      <c r="C407" s="279" t="s">
        <v>477</v>
      </c>
      <c r="D407" s="159" t="s">
        <v>960</v>
      </c>
      <c r="E407" s="45">
        <f t="shared" ref="E407:E470" si="32">IF(A407&lt;2022,DATEVALUE("30 Jun "&amp;A407),A407)</f>
        <v>41103</v>
      </c>
      <c r="F407" s="148" t="str">
        <f t="shared" si="28"/>
        <v>2012-13</v>
      </c>
      <c r="G407" s="1"/>
      <c r="H407" s="163"/>
      <c r="I407" s="37"/>
      <c r="J407" s="138">
        <f t="shared" si="29"/>
        <v>0.77968490742404351</v>
      </c>
      <c r="K407" s="114"/>
      <c r="L407" s="37">
        <v>7.3988805910100002</v>
      </c>
      <c r="M407" s="37" t="s">
        <v>142</v>
      </c>
      <c r="N407" s="37">
        <v>514.18436487804865</v>
      </c>
      <c r="O407" s="132">
        <f t="shared" si="30"/>
        <v>3804.3887174969982</v>
      </c>
      <c r="P407" s="134">
        <f t="shared" si="31"/>
        <v>293.88475328528477</v>
      </c>
      <c r="Q407" s="261">
        <v>9.9077044489490007E-2</v>
      </c>
      <c r="R407" s="94"/>
    </row>
    <row r="408" spans="1:18" x14ac:dyDescent="0.25">
      <c r="A408" s="367">
        <v>41103</v>
      </c>
      <c r="B408" s="367" t="s">
        <v>279</v>
      </c>
      <c r="C408" s="279" t="s">
        <v>477</v>
      </c>
      <c r="D408" s="159" t="s">
        <v>960</v>
      </c>
      <c r="E408" s="45">
        <f t="shared" si="32"/>
        <v>41103</v>
      </c>
      <c r="F408" s="148" t="str">
        <f t="shared" ref="F408:F471" si="33">IF(E408="","-",IF(OR(E408&lt;$E$15,E408&gt;$E$16),"ERROR - date outside of range",IF(MONTH(E408)&gt;=7,YEAR(E408)&amp;"-"&amp;IF(YEAR(E408)=1999,"00",IF(AND(YEAR(E408)&gt;=2000,YEAR(E408)&lt;2009),"0","")&amp;RIGHT(YEAR(E408),2)+1),RIGHT(YEAR(E408),4)-1&amp;"-"&amp;RIGHT(YEAR(E408),2))))</f>
        <v>2012-13</v>
      </c>
      <c r="G408" s="1"/>
      <c r="H408" s="163"/>
      <c r="I408" s="37"/>
      <c r="J408" s="138">
        <f t="shared" ref="J408:J471" si="34">J407</f>
        <v>0.77968490742404351</v>
      </c>
      <c r="K408" s="114"/>
      <c r="L408" s="37">
        <v>21.424056245300001</v>
      </c>
      <c r="M408" s="37" t="s">
        <v>142</v>
      </c>
      <c r="N408" s="37">
        <v>621.96155034146341</v>
      </c>
      <c r="O408" s="132">
        <f t="shared" si="30"/>
        <v>13324.9392369295</v>
      </c>
      <c r="P408" s="134">
        <f t="shared" si="31"/>
        <v>1029.3365822940584</v>
      </c>
      <c r="Q408" s="261">
        <v>9.9077044489490007E-2</v>
      </c>
      <c r="R408" s="94"/>
    </row>
    <row r="409" spans="1:18" x14ac:dyDescent="0.25">
      <c r="A409" s="367">
        <v>41103</v>
      </c>
      <c r="B409" s="367" t="s">
        <v>279</v>
      </c>
      <c r="C409" s="279" t="s">
        <v>477</v>
      </c>
      <c r="D409" s="159" t="s">
        <v>960</v>
      </c>
      <c r="E409" s="45">
        <f t="shared" si="32"/>
        <v>41103</v>
      </c>
      <c r="F409" s="148" t="str">
        <f t="shared" si="33"/>
        <v>2012-13</v>
      </c>
      <c r="G409" s="1"/>
      <c r="H409" s="163"/>
      <c r="I409" s="37"/>
      <c r="J409" s="138">
        <f t="shared" si="34"/>
        <v>0.77968490742404351</v>
      </c>
      <c r="K409" s="114"/>
      <c r="L409" s="37">
        <v>16.298087771300001</v>
      </c>
      <c r="M409" s="37" t="s">
        <v>142</v>
      </c>
      <c r="N409" s="37">
        <v>514.18436487804865</v>
      </c>
      <c r="O409" s="132">
        <f t="shared" si="30"/>
        <v>8380.221909412583</v>
      </c>
      <c r="P409" s="134">
        <f t="shared" si="31"/>
        <v>647.36272531688223</v>
      </c>
      <c r="Q409" s="261">
        <v>9.9077044489490007E-2</v>
      </c>
      <c r="R409" s="94"/>
    </row>
    <row r="410" spans="1:18" x14ac:dyDescent="0.25">
      <c r="A410" s="367">
        <v>41103</v>
      </c>
      <c r="B410" s="367" t="s">
        <v>279</v>
      </c>
      <c r="C410" s="279" t="s">
        <v>477</v>
      </c>
      <c r="D410" s="159" t="s">
        <v>960</v>
      </c>
      <c r="E410" s="45">
        <f t="shared" si="32"/>
        <v>41103</v>
      </c>
      <c r="F410" s="148" t="str">
        <f t="shared" si="33"/>
        <v>2012-13</v>
      </c>
      <c r="G410" s="1"/>
      <c r="H410" s="163"/>
      <c r="I410" s="37"/>
      <c r="J410" s="138">
        <f t="shared" si="34"/>
        <v>0.77968490742404351</v>
      </c>
      <c r="K410" s="114"/>
      <c r="L410" s="37">
        <v>10.8022413156</v>
      </c>
      <c r="M410" s="37" t="s">
        <v>142</v>
      </c>
      <c r="N410" s="37">
        <v>621.96155034146341</v>
      </c>
      <c r="O410" s="132">
        <f t="shared" si="30"/>
        <v>6718.5787558131851</v>
      </c>
      <c r="P410" s="134">
        <f t="shared" si="31"/>
        <v>519.00265895514963</v>
      </c>
      <c r="Q410" s="261">
        <v>9.9077044489490007E-2</v>
      </c>
      <c r="R410" s="94"/>
    </row>
    <row r="411" spans="1:18" x14ac:dyDescent="0.25">
      <c r="A411" s="367">
        <v>41103</v>
      </c>
      <c r="B411" s="367" t="s">
        <v>279</v>
      </c>
      <c r="C411" s="279" t="s">
        <v>477</v>
      </c>
      <c r="D411" s="159" t="s">
        <v>960</v>
      </c>
      <c r="E411" s="45">
        <f t="shared" si="32"/>
        <v>41103</v>
      </c>
      <c r="F411" s="148" t="str">
        <f t="shared" si="33"/>
        <v>2012-13</v>
      </c>
      <c r="G411" s="1"/>
      <c r="H411" s="163"/>
      <c r="I411" s="37"/>
      <c r="J411" s="138">
        <f t="shared" si="34"/>
        <v>0.77968490742404351</v>
      </c>
      <c r="K411" s="114"/>
      <c r="L411" s="37">
        <v>8.4948997311200003</v>
      </c>
      <c r="M411" s="37" t="s">
        <v>142</v>
      </c>
      <c r="N411" s="37">
        <v>514.18436487804865</v>
      </c>
      <c r="O411" s="132">
        <f t="shared" si="30"/>
        <v>4367.9446229486439</v>
      </c>
      <c r="P411" s="134">
        <f t="shared" si="31"/>
        <v>337.41881369146955</v>
      </c>
      <c r="Q411" s="261">
        <v>9.9077044489490007E-2</v>
      </c>
      <c r="R411" s="94"/>
    </row>
    <row r="412" spans="1:18" x14ac:dyDescent="0.25">
      <c r="A412" s="367">
        <v>41103</v>
      </c>
      <c r="B412" s="367" t="s">
        <v>279</v>
      </c>
      <c r="C412" s="279" t="s">
        <v>477</v>
      </c>
      <c r="D412" s="159" t="s">
        <v>960</v>
      </c>
      <c r="E412" s="45">
        <f t="shared" si="32"/>
        <v>41103</v>
      </c>
      <c r="F412" s="148" t="str">
        <f t="shared" si="33"/>
        <v>2012-13</v>
      </c>
      <c r="G412" s="1"/>
      <c r="H412" s="163"/>
      <c r="I412" s="37"/>
      <c r="J412" s="138">
        <f t="shared" si="34"/>
        <v>0.77968490742404351</v>
      </c>
      <c r="K412" s="114"/>
      <c r="L412" s="37">
        <v>14.8934780622</v>
      </c>
      <c r="M412" s="37" t="s">
        <v>142</v>
      </c>
      <c r="N412" s="37">
        <v>514.18436487804865</v>
      </c>
      <c r="O412" s="132">
        <f t="shared" si="30"/>
        <v>7657.9935582374574</v>
      </c>
      <c r="P412" s="134">
        <f t="shared" si="31"/>
        <v>591.57139678503177</v>
      </c>
      <c r="Q412" s="261">
        <v>9.9077044489490007E-2</v>
      </c>
      <c r="R412" s="94"/>
    </row>
    <row r="413" spans="1:18" x14ac:dyDescent="0.25">
      <c r="A413" s="367">
        <v>41103</v>
      </c>
      <c r="B413" s="367" t="s">
        <v>279</v>
      </c>
      <c r="C413" s="279" t="s">
        <v>477</v>
      </c>
      <c r="D413" s="159" t="s">
        <v>960</v>
      </c>
      <c r="E413" s="45">
        <f t="shared" si="32"/>
        <v>41103</v>
      </c>
      <c r="F413" s="148" t="str">
        <f t="shared" si="33"/>
        <v>2012-13</v>
      </c>
      <c r="G413" s="1"/>
      <c r="H413" s="163"/>
      <c r="I413" s="37"/>
      <c r="J413" s="138">
        <f t="shared" si="34"/>
        <v>0.77968490742404351</v>
      </c>
      <c r="K413" s="114"/>
      <c r="L413" s="37">
        <v>20.099537981200001</v>
      </c>
      <c r="M413" s="37" t="s">
        <v>142</v>
      </c>
      <c r="N413" s="37">
        <v>470.74786858536584</v>
      </c>
      <c r="O413" s="132">
        <f t="shared" si="30"/>
        <v>9461.8146642005067</v>
      </c>
      <c r="P413" s="134">
        <f t="shared" si="31"/>
        <v>730.91455019589478</v>
      </c>
      <c r="Q413" s="261">
        <v>9.9077044489490007E-2</v>
      </c>
      <c r="R413" s="94"/>
    </row>
    <row r="414" spans="1:18" x14ac:dyDescent="0.25">
      <c r="A414" s="367">
        <v>41103</v>
      </c>
      <c r="B414" s="367" t="s">
        <v>279</v>
      </c>
      <c r="C414" s="279" t="s">
        <v>477</v>
      </c>
      <c r="D414" s="159" t="s">
        <v>960</v>
      </c>
      <c r="E414" s="45">
        <f t="shared" si="32"/>
        <v>41103</v>
      </c>
      <c r="F414" s="148" t="str">
        <f t="shared" si="33"/>
        <v>2012-13</v>
      </c>
      <c r="G414" s="1"/>
      <c r="H414" s="163"/>
      <c r="I414" s="37"/>
      <c r="J414" s="138">
        <f t="shared" si="34"/>
        <v>0.77968490742404351</v>
      </c>
      <c r="K414" s="114"/>
      <c r="L414" s="37">
        <v>86.745025380100003</v>
      </c>
      <c r="M414" s="37" t="s">
        <v>142</v>
      </c>
      <c r="N414" s="37">
        <v>514.18436487804865</v>
      </c>
      <c r="O414" s="132">
        <f t="shared" ref="O414:O477" si="35">IF(N414="","-",L414*N414)</f>
        <v>44602.935781396933</v>
      </c>
      <c r="P414" s="134">
        <f t="shared" ref="P414:P477" si="36">IF(O414="-","-",IF(OR(E414&lt;$E$15,E414&gt;$E$16),0,O414*J414))*Q414</f>
        <v>3445.5266670382193</v>
      </c>
      <c r="Q414" s="261">
        <v>9.9077044489490007E-2</v>
      </c>
      <c r="R414" s="94"/>
    </row>
    <row r="415" spans="1:18" x14ac:dyDescent="0.25">
      <c r="A415" s="367">
        <v>41341</v>
      </c>
      <c r="B415" s="367" t="s">
        <v>279</v>
      </c>
      <c r="C415" s="279" t="s">
        <v>479</v>
      </c>
      <c r="D415" s="159" t="s">
        <v>956</v>
      </c>
      <c r="E415" s="45">
        <f t="shared" si="32"/>
        <v>41341</v>
      </c>
      <c r="F415" s="148" t="str">
        <f t="shared" si="33"/>
        <v>2012-13</v>
      </c>
      <c r="G415" s="1"/>
      <c r="H415" s="163"/>
      <c r="I415" s="37"/>
      <c r="J415" s="138">
        <f t="shared" si="34"/>
        <v>0.77968490742404351</v>
      </c>
      <c r="K415" s="114"/>
      <c r="L415" s="37">
        <v>201.74629470599999</v>
      </c>
      <c r="M415" s="37" t="s">
        <v>142</v>
      </c>
      <c r="N415" s="37">
        <v>514.18436487804865</v>
      </c>
      <c r="O415" s="132">
        <f t="shared" si="35"/>
        <v>103734.79040990424</v>
      </c>
      <c r="P415" s="134">
        <f t="shared" si="36"/>
        <v>79789.163689448877</v>
      </c>
      <c r="Q415" s="261">
        <v>0.98650740986507413</v>
      </c>
      <c r="R415" s="94"/>
    </row>
    <row r="416" spans="1:18" x14ac:dyDescent="0.25">
      <c r="A416" s="367">
        <v>41341</v>
      </c>
      <c r="B416" s="367" t="s">
        <v>279</v>
      </c>
      <c r="C416" s="279" t="s">
        <v>479</v>
      </c>
      <c r="D416" s="159" t="s">
        <v>956</v>
      </c>
      <c r="E416" s="45">
        <f t="shared" si="32"/>
        <v>41341</v>
      </c>
      <c r="F416" s="148" t="str">
        <f t="shared" si="33"/>
        <v>2012-13</v>
      </c>
      <c r="G416" s="1"/>
      <c r="H416" s="163"/>
      <c r="I416" s="37"/>
      <c r="J416" s="138">
        <f t="shared" si="34"/>
        <v>0.77968490742404351</v>
      </c>
      <c r="K416" s="114"/>
      <c r="L416" s="37">
        <v>7.2426975281399999</v>
      </c>
      <c r="M416" s="37" t="s">
        <v>142</v>
      </c>
      <c r="N416" s="37">
        <v>514.18436487804865</v>
      </c>
      <c r="O416" s="132">
        <f t="shared" si="35"/>
        <v>3724.0818285104788</v>
      </c>
      <c r="P416" s="134">
        <f t="shared" si="36"/>
        <v>2864.4331707210417</v>
      </c>
      <c r="Q416" s="261">
        <v>0.98650740986507413</v>
      </c>
      <c r="R416" s="94"/>
    </row>
    <row r="417" spans="1:18" x14ac:dyDescent="0.25">
      <c r="A417" s="367">
        <v>41341</v>
      </c>
      <c r="B417" s="367" t="s">
        <v>279</v>
      </c>
      <c r="C417" s="279" t="s">
        <v>479</v>
      </c>
      <c r="D417" s="159" t="s">
        <v>956</v>
      </c>
      <c r="E417" s="45">
        <f t="shared" si="32"/>
        <v>41341</v>
      </c>
      <c r="F417" s="148" t="str">
        <f t="shared" si="33"/>
        <v>2012-13</v>
      </c>
      <c r="G417" s="1"/>
      <c r="H417" s="163"/>
      <c r="I417" s="37"/>
      <c r="J417" s="138">
        <f t="shared" si="34"/>
        <v>0.77968490742404351</v>
      </c>
      <c r="K417" s="114"/>
      <c r="L417" s="37">
        <v>18.435272381000001</v>
      </c>
      <c r="M417" s="37" t="s">
        <v>142</v>
      </c>
      <c r="N417" s="37">
        <v>514.18436487804865</v>
      </c>
      <c r="O417" s="132">
        <f t="shared" si="35"/>
        <v>9479.1288205783167</v>
      </c>
      <c r="P417" s="134">
        <f t="shared" si="36"/>
        <v>7291.0135366339346</v>
      </c>
      <c r="Q417" s="261">
        <v>0.98650740986507413</v>
      </c>
      <c r="R417" s="94"/>
    </row>
    <row r="418" spans="1:18" x14ac:dyDescent="0.25">
      <c r="A418" s="367">
        <v>41368</v>
      </c>
      <c r="B418" s="367" t="s">
        <v>279</v>
      </c>
      <c r="C418" s="279" t="s">
        <v>480</v>
      </c>
      <c r="D418" s="159" t="s">
        <v>945</v>
      </c>
      <c r="E418" s="45">
        <f t="shared" si="32"/>
        <v>41368</v>
      </c>
      <c r="F418" s="148" t="str">
        <f t="shared" si="33"/>
        <v>2012-13</v>
      </c>
      <c r="G418" s="1"/>
      <c r="H418" s="163"/>
      <c r="I418" s="37"/>
      <c r="J418" s="138">
        <f t="shared" si="34"/>
        <v>0.77968490742404351</v>
      </c>
      <c r="K418" s="114"/>
      <c r="L418" s="37">
        <v>189.17716533999999</v>
      </c>
      <c r="M418" s="37" t="s">
        <v>142</v>
      </c>
      <c r="N418" s="37">
        <v>621.96155034146341</v>
      </c>
      <c r="O418" s="132">
        <f t="shared" si="35"/>
        <v>117660.92304406974</v>
      </c>
      <c r="P418" s="134">
        <f t="shared" si="36"/>
        <v>51429.113806776091</v>
      </c>
      <c r="Q418" s="261">
        <v>0.56060589763922986</v>
      </c>
      <c r="R418" s="94"/>
    </row>
    <row r="419" spans="1:18" x14ac:dyDescent="0.25">
      <c r="A419" s="367">
        <v>41368</v>
      </c>
      <c r="B419" s="367" t="s">
        <v>279</v>
      </c>
      <c r="C419" s="279" t="s">
        <v>480</v>
      </c>
      <c r="D419" s="159" t="s">
        <v>945</v>
      </c>
      <c r="E419" s="45">
        <f t="shared" si="32"/>
        <v>41368</v>
      </c>
      <c r="F419" s="148" t="str">
        <f t="shared" si="33"/>
        <v>2012-13</v>
      </c>
      <c r="G419" s="1"/>
      <c r="H419" s="163"/>
      <c r="I419" s="37"/>
      <c r="J419" s="138">
        <f t="shared" si="34"/>
        <v>0.77968490742404351</v>
      </c>
      <c r="K419" s="114"/>
      <c r="L419" s="37">
        <v>8.9221488839099994</v>
      </c>
      <c r="M419" s="37" t="s">
        <v>142</v>
      </c>
      <c r="N419" s="37">
        <v>621.96155034146341</v>
      </c>
      <c r="O419" s="132">
        <f t="shared" si="35"/>
        <v>5549.2335522140211</v>
      </c>
      <c r="P419" s="134">
        <f t="shared" si="36"/>
        <v>2425.547552353486</v>
      </c>
      <c r="Q419" s="261">
        <v>0.56060589763922986</v>
      </c>
      <c r="R419" s="94"/>
    </row>
    <row r="420" spans="1:18" x14ac:dyDescent="0.25">
      <c r="A420" s="367">
        <v>41368</v>
      </c>
      <c r="B420" s="367" t="s">
        <v>279</v>
      </c>
      <c r="C420" s="279" t="s">
        <v>480</v>
      </c>
      <c r="D420" s="159" t="s">
        <v>945</v>
      </c>
      <c r="E420" s="45">
        <f t="shared" si="32"/>
        <v>41368</v>
      </c>
      <c r="F420" s="148" t="str">
        <f t="shared" si="33"/>
        <v>2012-13</v>
      </c>
      <c r="G420" s="1"/>
      <c r="H420" s="163"/>
      <c r="I420" s="37"/>
      <c r="J420" s="138">
        <f t="shared" si="34"/>
        <v>0.77968490742404351</v>
      </c>
      <c r="K420" s="114"/>
      <c r="L420" s="37">
        <v>42.858858194600003</v>
      </c>
      <c r="M420" s="37" t="s">
        <v>142</v>
      </c>
      <c r="N420" s="37">
        <v>621.96155034146341</v>
      </c>
      <c r="O420" s="132">
        <f t="shared" si="35"/>
        <v>26656.561888578351</v>
      </c>
      <c r="P420" s="134">
        <f t="shared" si="36"/>
        <v>11651.47543973957</v>
      </c>
      <c r="Q420" s="261">
        <v>0.56060589763922986</v>
      </c>
      <c r="R420" s="94"/>
    </row>
    <row r="421" spans="1:18" x14ac:dyDescent="0.25">
      <c r="A421" s="367">
        <v>41368</v>
      </c>
      <c r="B421" s="367" t="s">
        <v>279</v>
      </c>
      <c r="C421" s="279" t="s">
        <v>480</v>
      </c>
      <c r="D421" s="159" t="s">
        <v>945</v>
      </c>
      <c r="E421" s="45">
        <f t="shared" si="32"/>
        <v>41368</v>
      </c>
      <c r="F421" s="148" t="str">
        <f t="shared" si="33"/>
        <v>2012-13</v>
      </c>
      <c r="G421" s="1"/>
      <c r="H421" s="163"/>
      <c r="I421" s="37"/>
      <c r="J421" s="138">
        <f t="shared" si="34"/>
        <v>0.77968490742404351</v>
      </c>
      <c r="K421" s="114"/>
      <c r="L421" s="37">
        <v>13.090679294799999</v>
      </c>
      <c r="M421" s="37" t="s">
        <v>142</v>
      </c>
      <c r="N421" s="37">
        <v>621.96155034146341</v>
      </c>
      <c r="O421" s="132">
        <f t="shared" si="35"/>
        <v>8141.8991892167023</v>
      </c>
      <c r="P421" s="134">
        <f t="shared" si="36"/>
        <v>3558.7912211829985</v>
      </c>
      <c r="Q421" s="261">
        <v>0.56060589763922986</v>
      </c>
      <c r="R421" s="94"/>
    </row>
    <row r="422" spans="1:18" x14ac:dyDescent="0.25">
      <c r="A422" s="367">
        <v>41368</v>
      </c>
      <c r="B422" s="367" t="s">
        <v>279</v>
      </c>
      <c r="C422" s="279" t="s">
        <v>480</v>
      </c>
      <c r="D422" s="159" t="s">
        <v>945</v>
      </c>
      <c r="E422" s="45">
        <f t="shared" si="32"/>
        <v>41368</v>
      </c>
      <c r="F422" s="148" t="str">
        <f t="shared" si="33"/>
        <v>2012-13</v>
      </c>
      <c r="G422" s="1"/>
      <c r="H422" s="163"/>
      <c r="I422" s="37"/>
      <c r="J422" s="138">
        <f t="shared" si="34"/>
        <v>0.77968490742404351</v>
      </c>
      <c r="K422" s="114"/>
      <c r="L422" s="37">
        <v>9.3546697255800009</v>
      </c>
      <c r="M422" s="37" t="s">
        <v>142</v>
      </c>
      <c r="N422" s="37">
        <v>621.96155034146341</v>
      </c>
      <c r="O422" s="132">
        <f t="shared" si="35"/>
        <v>5818.2448854540889</v>
      </c>
      <c r="P422" s="134">
        <f t="shared" si="36"/>
        <v>2543.1313186081002</v>
      </c>
      <c r="Q422" s="261">
        <v>0.56060589763922986</v>
      </c>
      <c r="R422" s="94"/>
    </row>
    <row r="423" spans="1:18" x14ac:dyDescent="0.25">
      <c r="A423" s="367">
        <v>41368</v>
      </c>
      <c r="B423" s="367" t="s">
        <v>279</v>
      </c>
      <c r="C423" s="279" t="s">
        <v>480</v>
      </c>
      <c r="D423" s="159" t="s">
        <v>945</v>
      </c>
      <c r="E423" s="45">
        <f t="shared" si="32"/>
        <v>41368</v>
      </c>
      <c r="F423" s="148" t="str">
        <f t="shared" si="33"/>
        <v>2012-13</v>
      </c>
      <c r="G423" s="1"/>
      <c r="H423" s="163"/>
      <c r="I423" s="37"/>
      <c r="J423" s="138">
        <f t="shared" si="34"/>
        <v>0.77968490742404351</v>
      </c>
      <c r="K423" s="114"/>
      <c r="L423" s="37">
        <v>4.2363164880399999</v>
      </c>
      <c r="M423" s="37" t="s">
        <v>142</v>
      </c>
      <c r="N423" s="37">
        <v>470.74786858536584</v>
      </c>
      <c r="O423" s="132">
        <f t="shared" si="35"/>
        <v>1994.2369573978724</v>
      </c>
      <c r="P423" s="134">
        <f t="shared" si="36"/>
        <v>871.67291218070477</v>
      </c>
      <c r="Q423" s="261">
        <v>0.56060589763922986</v>
      </c>
      <c r="R423" s="94"/>
    </row>
    <row r="424" spans="1:18" x14ac:dyDescent="0.25">
      <c r="A424" s="367">
        <v>41338</v>
      </c>
      <c r="B424" s="367" t="s">
        <v>279</v>
      </c>
      <c r="C424" s="279" t="s">
        <v>481</v>
      </c>
      <c r="D424" s="159" t="s">
        <v>962</v>
      </c>
      <c r="E424" s="45">
        <f t="shared" si="32"/>
        <v>41338</v>
      </c>
      <c r="F424" s="148" t="str">
        <f t="shared" si="33"/>
        <v>2012-13</v>
      </c>
      <c r="G424" s="1"/>
      <c r="H424" s="163"/>
      <c r="I424" s="37"/>
      <c r="J424" s="138">
        <f t="shared" si="34"/>
        <v>0.77968490742404351</v>
      </c>
      <c r="K424" s="114"/>
      <c r="L424" s="37">
        <v>81.659507366300005</v>
      </c>
      <c r="M424" s="37" t="s">
        <v>142</v>
      </c>
      <c r="N424" s="37">
        <v>514.18436487804865</v>
      </c>
      <c r="O424" s="132">
        <f t="shared" si="35"/>
        <v>41988.041931395303</v>
      </c>
      <c r="P424" s="134">
        <f t="shared" si="36"/>
        <v>24978.853063497296</v>
      </c>
      <c r="Q424" s="261">
        <v>0.76300563178472625</v>
      </c>
      <c r="R424" s="94"/>
    </row>
    <row r="425" spans="1:18" x14ac:dyDescent="0.25">
      <c r="A425" s="367">
        <v>41338</v>
      </c>
      <c r="B425" s="367" t="s">
        <v>279</v>
      </c>
      <c r="C425" s="279" t="s">
        <v>481</v>
      </c>
      <c r="D425" s="159" t="s">
        <v>962</v>
      </c>
      <c r="E425" s="45">
        <f t="shared" si="32"/>
        <v>41338</v>
      </c>
      <c r="F425" s="148" t="str">
        <f t="shared" si="33"/>
        <v>2012-13</v>
      </c>
      <c r="G425" s="1"/>
      <c r="H425" s="163"/>
      <c r="I425" s="37"/>
      <c r="J425" s="138">
        <f t="shared" si="34"/>
        <v>0.77968490742404351</v>
      </c>
      <c r="K425" s="114"/>
      <c r="L425" s="37">
        <v>6.4578332279500001</v>
      </c>
      <c r="M425" s="37" t="s">
        <v>142</v>
      </c>
      <c r="N425" s="37">
        <v>798.44393414634135</v>
      </c>
      <c r="O425" s="132">
        <f t="shared" si="35"/>
        <v>5156.2177685853649</v>
      </c>
      <c r="P425" s="134">
        <f t="shared" si="36"/>
        <v>3067.4544484672447</v>
      </c>
      <c r="Q425" s="261">
        <v>0.76300563178472625</v>
      </c>
      <c r="R425" s="94"/>
    </row>
    <row r="426" spans="1:18" x14ac:dyDescent="0.25">
      <c r="A426" s="367">
        <v>41338</v>
      </c>
      <c r="B426" s="367" t="s">
        <v>279</v>
      </c>
      <c r="C426" s="279" t="s">
        <v>481</v>
      </c>
      <c r="D426" s="159" t="s">
        <v>962</v>
      </c>
      <c r="E426" s="45">
        <f t="shared" si="32"/>
        <v>41338</v>
      </c>
      <c r="F426" s="148" t="str">
        <f t="shared" si="33"/>
        <v>2012-13</v>
      </c>
      <c r="G426" s="1"/>
      <c r="H426" s="163"/>
      <c r="I426" s="37"/>
      <c r="J426" s="138">
        <f t="shared" si="34"/>
        <v>0.77968490742404351</v>
      </c>
      <c r="K426" s="114"/>
      <c r="L426" s="37">
        <v>4.47820472053</v>
      </c>
      <c r="M426" s="37" t="s">
        <v>142</v>
      </c>
      <c r="N426" s="37">
        <v>514.18436487804865</v>
      </c>
      <c r="O426" s="132">
        <f t="shared" si="35"/>
        <v>2302.6228500195975</v>
      </c>
      <c r="P426" s="134">
        <f t="shared" si="36"/>
        <v>1369.8394872823151</v>
      </c>
      <c r="Q426" s="261">
        <v>0.76300563178472625</v>
      </c>
      <c r="R426" s="94"/>
    </row>
    <row r="427" spans="1:18" x14ac:dyDescent="0.25">
      <c r="A427" s="367">
        <v>41338</v>
      </c>
      <c r="B427" s="367" t="s">
        <v>279</v>
      </c>
      <c r="C427" s="279" t="s">
        <v>481</v>
      </c>
      <c r="D427" s="159" t="s">
        <v>962</v>
      </c>
      <c r="E427" s="45">
        <f t="shared" si="32"/>
        <v>41338</v>
      </c>
      <c r="F427" s="148" t="str">
        <f t="shared" si="33"/>
        <v>2012-13</v>
      </c>
      <c r="G427" s="1"/>
      <c r="H427" s="163"/>
      <c r="I427" s="37"/>
      <c r="J427" s="138">
        <f t="shared" si="34"/>
        <v>0.77968490742404351</v>
      </c>
      <c r="K427" s="114"/>
      <c r="L427" s="37">
        <v>6.8484331837000001</v>
      </c>
      <c r="M427" s="37" t="s">
        <v>142</v>
      </c>
      <c r="N427" s="37">
        <v>514.18436487804865</v>
      </c>
      <c r="O427" s="132">
        <f t="shared" si="35"/>
        <v>3521.3572669705372</v>
      </c>
      <c r="P427" s="134">
        <f t="shared" si="36"/>
        <v>2094.8694368614129</v>
      </c>
      <c r="Q427" s="261">
        <v>0.76300563178472625</v>
      </c>
      <c r="R427" s="94"/>
    </row>
    <row r="428" spans="1:18" x14ac:dyDescent="0.25">
      <c r="A428" s="367">
        <v>41611</v>
      </c>
      <c r="B428" s="367" t="s">
        <v>279</v>
      </c>
      <c r="C428" s="279" t="s">
        <v>482</v>
      </c>
      <c r="D428" s="159" t="s">
        <v>963</v>
      </c>
      <c r="E428" s="45">
        <f t="shared" si="32"/>
        <v>41611</v>
      </c>
      <c r="F428" s="148" t="str">
        <f t="shared" si="33"/>
        <v>2013-14</v>
      </c>
      <c r="G428" s="1"/>
      <c r="H428" s="163"/>
      <c r="I428" s="37"/>
      <c r="J428" s="138">
        <f t="shared" si="34"/>
        <v>0.77968490742404351</v>
      </c>
      <c r="K428" s="114"/>
      <c r="L428" s="37">
        <v>74.4837469502</v>
      </c>
      <c r="M428" s="37" t="s">
        <v>142</v>
      </c>
      <c r="N428" s="37">
        <v>621.96155034146341</v>
      </c>
      <c r="O428" s="132">
        <f t="shared" si="35"/>
        <v>46326.026728387638</v>
      </c>
      <c r="P428" s="134">
        <f t="shared" si="36"/>
        <v>31133.884440191847</v>
      </c>
      <c r="Q428" s="261">
        <v>0.86196400058994405</v>
      </c>
      <c r="R428" s="94"/>
    </row>
    <row r="429" spans="1:18" x14ac:dyDescent="0.25">
      <c r="A429" s="367">
        <v>41611</v>
      </c>
      <c r="B429" s="367" t="s">
        <v>279</v>
      </c>
      <c r="C429" s="279" t="s">
        <v>482</v>
      </c>
      <c r="D429" s="159" t="s">
        <v>963</v>
      </c>
      <c r="E429" s="45">
        <f t="shared" si="32"/>
        <v>41611</v>
      </c>
      <c r="F429" s="148" t="str">
        <f t="shared" si="33"/>
        <v>2013-14</v>
      </c>
      <c r="G429" s="1"/>
      <c r="H429" s="163"/>
      <c r="I429" s="37"/>
      <c r="J429" s="138">
        <f t="shared" si="34"/>
        <v>0.77968490742404351</v>
      </c>
      <c r="K429" s="114"/>
      <c r="L429" s="37">
        <v>14.510853662000001</v>
      </c>
      <c r="M429" s="37" t="s">
        <v>142</v>
      </c>
      <c r="N429" s="37">
        <v>916.52160117073151</v>
      </c>
      <c r="O429" s="132">
        <f t="shared" si="35"/>
        <v>13299.510832650414</v>
      </c>
      <c r="P429" s="134">
        <f t="shared" si="36"/>
        <v>8938.0735326711456</v>
      </c>
      <c r="Q429" s="261">
        <v>0.86196400058994405</v>
      </c>
      <c r="R429" s="94"/>
    </row>
    <row r="430" spans="1:18" x14ac:dyDescent="0.25">
      <c r="A430" s="367">
        <v>41611</v>
      </c>
      <c r="B430" s="367" t="s">
        <v>279</v>
      </c>
      <c r="C430" s="279" t="s">
        <v>482</v>
      </c>
      <c r="D430" s="159" t="s">
        <v>963</v>
      </c>
      <c r="E430" s="45">
        <f t="shared" si="32"/>
        <v>41611</v>
      </c>
      <c r="F430" s="148" t="str">
        <f t="shared" si="33"/>
        <v>2013-14</v>
      </c>
      <c r="G430" s="1"/>
      <c r="H430" s="163"/>
      <c r="I430" s="37"/>
      <c r="J430" s="138">
        <f t="shared" si="34"/>
        <v>0.77968490742404351</v>
      </c>
      <c r="K430" s="114"/>
      <c r="L430" s="37">
        <v>6.5273918987600004</v>
      </c>
      <c r="M430" s="37" t="s">
        <v>142</v>
      </c>
      <c r="N430" s="37">
        <v>514.18436487804865</v>
      </c>
      <c r="O430" s="132">
        <f t="shared" si="35"/>
        <v>3356.2828577740311</v>
      </c>
      <c r="P430" s="134">
        <f t="shared" si="36"/>
        <v>2255.6245381281897</v>
      </c>
      <c r="Q430" s="261">
        <v>0.86196400058994405</v>
      </c>
      <c r="R430" s="94"/>
    </row>
    <row r="431" spans="1:18" x14ac:dyDescent="0.25">
      <c r="A431" s="367">
        <v>41611</v>
      </c>
      <c r="B431" s="367" t="s">
        <v>279</v>
      </c>
      <c r="C431" s="279" t="s">
        <v>482</v>
      </c>
      <c r="D431" s="159" t="s">
        <v>963</v>
      </c>
      <c r="E431" s="45">
        <f t="shared" si="32"/>
        <v>41611</v>
      </c>
      <c r="F431" s="148" t="str">
        <f t="shared" si="33"/>
        <v>2013-14</v>
      </c>
      <c r="G431" s="1"/>
      <c r="H431" s="163"/>
      <c r="I431" s="37"/>
      <c r="J431" s="138">
        <f t="shared" si="34"/>
        <v>0.77968490742404351</v>
      </c>
      <c r="K431" s="114"/>
      <c r="L431" s="37">
        <v>3.3519398378999998</v>
      </c>
      <c r="M431" s="37" t="s">
        <v>142</v>
      </c>
      <c r="N431" s="37">
        <v>514.18436487804865</v>
      </c>
      <c r="O431" s="132">
        <f t="shared" si="35"/>
        <v>1723.5150566600407</v>
      </c>
      <c r="P431" s="134">
        <f t="shared" si="36"/>
        <v>1158.3060839556706</v>
      </c>
      <c r="Q431" s="261">
        <v>0.86196400058994405</v>
      </c>
      <c r="R431" s="94"/>
    </row>
    <row r="432" spans="1:18" x14ac:dyDescent="0.25">
      <c r="A432" s="367">
        <v>41556</v>
      </c>
      <c r="B432" s="367" t="s">
        <v>279</v>
      </c>
      <c r="C432" s="279" t="s">
        <v>483</v>
      </c>
      <c r="D432" s="159" t="s">
        <v>964</v>
      </c>
      <c r="E432" s="45">
        <f t="shared" si="32"/>
        <v>41556</v>
      </c>
      <c r="F432" s="148" t="str">
        <f t="shared" si="33"/>
        <v>2013-14</v>
      </c>
      <c r="G432" s="1"/>
      <c r="H432" s="163"/>
      <c r="I432" s="37"/>
      <c r="J432" s="138">
        <f t="shared" si="34"/>
        <v>0.77968490742404351</v>
      </c>
      <c r="K432" s="114"/>
      <c r="L432" s="37">
        <v>57.536410146900003</v>
      </c>
      <c r="M432" s="37" t="s">
        <v>142</v>
      </c>
      <c r="N432" s="37">
        <v>514.18436487804865</v>
      </c>
      <c r="O432" s="132">
        <f t="shared" si="35"/>
        <v>29584.322508746693</v>
      </c>
      <c r="P432" s="134">
        <f t="shared" si="36"/>
        <v>1583.1087322710471</v>
      </c>
      <c r="Q432" s="261">
        <v>6.8632526851228254E-2</v>
      </c>
      <c r="R432" s="94"/>
    </row>
    <row r="433" spans="1:18" x14ac:dyDescent="0.25">
      <c r="A433" s="367">
        <v>41556</v>
      </c>
      <c r="B433" s="367" t="s">
        <v>279</v>
      </c>
      <c r="C433" s="279" t="s">
        <v>483</v>
      </c>
      <c r="D433" s="159" t="s">
        <v>964</v>
      </c>
      <c r="E433" s="45">
        <f t="shared" si="32"/>
        <v>41556</v>
      </c>
      <c r="F433" s="148" t="str">
        <f t="shared" si="33"/>
        <v>2013-14</v>
      </c>
      <c r="G433" s="1"/>
      <c r="H433" s="163"/>
      <c r="I433" s="37"/>
      <c r="J433" s="138">
        <f t="shared" si="34"/>
        <v>0.77968490742404351</v>
      </c>
      <c r="K433" s="114"/>
      <c r="L433" s="37">
        <v>57.239004144299997</v>
      </c>
      <c r="M433" s="37" t="s">
        <v>142</v>
      </c>
      <c r="N433" s="37">
        <v>514.18436487804865</v>
      </c>
      <c r="O433" s="132">
        <f t="shared" si="35"/>
        <v>29431.40099218889</v>
      </c>
      <c r="P433" s="134">
        <f t="shared" si="36"/>
        <v>1574.925635019345</v>
      </c>
      <c r="Q433" s="261">
        <v>6.8632526851228254E-2</v>
      </c>
      <c r="R433" s="94"/>
    </row>
    <row r="434" spans="1:18" x14ac:dyDescent="0.25">
      <c r="A434" s="367">
        <v>41556</v>
      </c>
      <c r="B434" s="367" t="s">
        <v>279</v>
      </c>
      <c r="C434" s="279" t="s">
        <v>483</v>
      </c>
      <c r="D434" s="159" t="s">
        <v>964</v>
      </c>
      <c r="E434" s="45">
        <f t="shared" si="32"/>
        <v>41556</v>
      </c>
      <c r="F434" s="148" t="str">
        <f t="shared" si="33"/>
        <v>2013-14</v>
      </c>
      <c r="G434" s="1"/>
      <c r="H434" s="163"/>
      <c r="I434" s="37"/>
      <c r="J434" s="138">
        <f t="shared" si="34"/>
        <v>0.77968490742404351</v>
      </c>
      <c r="K434" s="114"/>
      <c r="L434" s="37">
        <v>28.930617061700001</v>
      </c>
      <c r="M434" s="37" t="s">
        <v>142</v>
      </c>
      <c r="N434" s="37">
        <v>514.18436487804865</v>
      </c>
      <c r="O434" s="132">
        <f t="shared" si="35"/>
        <v>14875.670959400253</v>
      </c>
      <c r="P434" s="134">
        <f t="shared" si="36"/>
        <v>796.02311620469914</v>
      </c>
      <c r="Q434" s="261">
        <v>6.8632526851228254E-2</v>
      </c>
      <c r="R434" s="94"/>
    </row>
    <row r="435" spans="1:18" x14ac:dyDescent="0.25">
      <c r="A435" s="367">
        <v>41556</v>
      </c>
      <c r="B435" s="367" t="s">
        <v>279</v>
      </c>
      <c r="C435" s="279" t="s">
        <v>483</v>
      </c>
      <c r="D435" s="159" t="s">
        <v>964</v>
      </c>
      <c r="E435" s="45">
        <f t="shared" si="32"/>
        <v>41556</v>
      </c>
      <c r="F435" s="148" t="str">
        <f t="shared" si="33"/>
        <v>2013-14</v>
      </c>
      <c r="G435" s="1"/>
      <c r="H435" s="163"/>
      <c r="I435" s="37"/>
      <c r="J435" s="138">
        <f t="shared" si="34"/>
        <v>0.77968490742404351</v>
      </c>
      <c r="K435" s="114"/>
      <c r="L435" s="37">
        <v>21.4041754402</v>
      </c>
      <c r="M435" s="37" t="s">
        <v>142</v>
      </c>
      <c r="N435" s="37">
        <v>470.74786858536584</v>
      </c>
      <c r="O435" s="132">
        <f t="shared" si="35"/>
        <v>10075.969967301384</v>
      </c>
      <c r="P435" s="134">
        <f t="shared" si="36"/>
        <v>539.1827389868256</v>
      </c>
      <c r="Q435" s="261">
        <v>6.8632526851228254E-2</v>
      </c>
      <c r="R435" s="94"/>
    </row>
    <row r="436" spans="1:18" x14ac:dyDescent="0.25">
      <c r="A436" s="367">
        <v>41556</v>
      </c>
      <c r="B436" s="367" t="s">
        <v>279</v>
      </c>
      <c r="C436" s="279" t="s">
        <v>483</v>
      </c>
      <c r="D436" s="159" t="s">
        <v>964</v>
      </c>
      <c r="E436" s="45">
        <f t="shared" si="32"/>
        <v>41556</v>
      </c>
      <c r="F436" s="148" t="str">
        <f t="shared" si="33"/>
        <v>2013-14</v>
      </c>
      <c r="G436" s="1"/>
      <c r="H436" s="163"/>
      <c r="I436" s="37"/>
      <c r="J436" s="138">
        <f t="shared" si="34"/>
        <v>0.77968490742404351</v>
      </c>
      <c r="K436" s="114"/>
      <c r="L436" s="37">
        <v>23.9988385029</v>
      </c>
      <c r="M436" s="37" t="s">
        <v>142</v>
      </c>
      <c r="N436" s="37">
        <v>514.18436487804865</v>
      </c>
      <c r="O436" s="132">
        <f t="shared" si="35"/>
        <v>12339.827533424497</v>
      </c>
      <c r="P436" s="134">
        <f t="shared" si="36"/>
        <v>660.32570856092275</v>
      </c>
      <c r="Q436" s="261">
        <v>6.8632526851228254E-2</v>
      </c>
      <c r="R436" s="94"/>
    </row>
    <row r="437" spans="1:18" x14ac:dyDescent="0.25">
      <c r="A437" s="367">
        <v>41556</v>
      </c>
      <c r="B437" s="367" t="s">
        <v>279</v>
      </c>
      <c r="C437" s="279" t="s">
        <v>483</v>
      </c>
      <c r="D437" s="159" t="s">
        <v>964</v>
      </c>
      <c r="E437" s="45">
        <f t="shared" si="32"/>
        <v>41556</v>
      </c>
      <c r="F437" s="148" t="str">
        <f t="shared" si="33"/>
        <v>2013-14</v>
      </c>
      <c r="G437" s="1"/>
      <c r="H437" s="163"/>
      <c r="I437" s="37"/>
      <c r="J437" s="138">
        <f t="shared" si="34"/>
        <v>0.77968490742404351</v>
      </c>
      <c r="K437" s="114"/>
      <c r="L437" s="37">
        <v>9.2390342027700001</v>
      </c>
      <c r="M437" s="37" t="s">
        <v>142</v>
      </c>
      <c r="N437" s="37">
        <v>514.18436487804865</v>
      </c>
      <c r="O437" s="132">
        <f t="shared" si="35"/>
        <v>4750.5669336378614</v>
      </c>
      <c r="P437" s="134">
        <f t="shared" si="36"/>
        <v>254.21112799377721</v>
      </c>
      <c r="Q437" s="261">
        <v>6.8632526851228254E-2</v>
      </c>
      <c r="R437" s="94"/>
    </row>
    <row r="438" spans="1:18" x14ac:dyDescent="0.25">
      <c r="A438" s="367">
        <v>41556</v>
      </c>
      <c r="B438" s="367" t="s">
        <v>279</v>
      </c>
      <c r="C438" s="279" t="s">
        <v>483</v>
      </c>
      <c r="D438" s="159" t="s">
        <v>964</v>
      </c>
      <c r="E438" s="45">
        <f t="shared" si="32"/>
        <v>41556</v>
      </c>
      <c r="F438" s="148" t="str">
        <f t="shared" si="33"/>
        <v>2013-14</v>
      </c>
      <c r="G438" s="1"/>
      <c r="H438" s="163"/>
      <c r="I438" s="37"/>
      <c r="J438" s="138">
        <f t="shared" si="34"/>
        <v>0.77968490742404351</v>
      </c>
      <c r="K438" s="114"/>
      <c r="L438" s="37">
        <v>13.7297708374</v>
      </c>
      <c r="M438" s="37" t="s">
        <v>142</v>
      </c>
      <c r="N438" s="37">
        <v>514.18436487804865</v>
      </c>
      <c r="O438" s="132">
        <f t="shared" si="35"/>
        <v>7059.6334979496733</v>
      </c>
      <c r="P438" s="134">
        <f t="shared" si="36"/>
        <v>377.77330996621805</v>
      </c>
      <c r="Q438" s="261">
        <v>6.8632526851228254E-2</v>
      </c>
      <c r="R438" s="94"/>
    </row>
    <row r="439" spans="1:18" x14ac:dyDescent="0.25">
      <c r="A439" s="367">
        <v>41556</v>
      </c>
      <c r="B439" s="367" t="s">
        <v>279</v>
      </c>
      <c r="C439" s="279" t="s">
        <v>483</v>
      </c>
      <c r="D439" s="159" t="s">
        <v>964</v>
      </c>
      <c r="E439" s="45">
        <f t="shared" si="32"/>
        <v>41556</v>
      </c>
      <c r="F439" s="148" t="str">
        <f t="shared" si="33"/>
        <v>2013-14</v>
      </c>
      <c r="G439" s="1"/>
      <c r="H439" s="163"/>
      <c r="I439" s="37"/>
      <c r="J439" s="138">
        <f t="shared" si="34"/>
        <v>0.77968490742404351</v>
      </c>
      <c r="K439" s="114"/>
      <c r="L439" s="37">
        <v>26.8373449051</v>
      </c>
      <c r="M439" s="37" t="s">
        <v>142</v>
      </c>
      <c r="N439" s="37">
        <v>514.18436487804865</v>
      </c>
      <c r="O439" s="132">
        <f t="shared" si="35"/>
        <v>13799.343145041979</v>
      </c>
      <c r="P439" s="134">
        <f t="shared" si="36"/>
        <v>738.42693629579571</v>
      </c>
      <c r="Q439" s="261">
        <v>6.8632526851228254E-2</v>
      </c>
      <c r="R439" s="94"/>
    </row>
    <row r="440" spans="1:18" x14ac:dyDescent="0.25">
      <c r="A440" s="367">
        <v>41556</v>
      </c>
      <c r="B440" s="367" t="s">
        <v>279</v>
      </c>
      <c r="C440" s="279" t="s">
        <v>483</v>
      </c>
      <c r="D440" s="159" t="s">
        <v>964</v>
      </c>
      <c r="E440" s="45">
        <f t="shared" si="32"/>
        <v>41556</v>
      </c>
      <c r="F440" s="148" t="str">
        <f t="shared" si="33"/>
        <v>2013-14</v>
      </c>
      <c r="G440" s="1"/>
      <c r="H440" s="163"/>
      <c r="I440" s="37"/>
      <c r="J440" s="138">
        <f t="shared" si="34"/>
        <v>0.77968490742404351</v>
      </c>
      <c r="K440" s="114"/>
      <c r="L440" s="37">
        <v>22.114736073500001</v>
      </c>
      <c r="M440" s="37" t="s">
        <v>142</v>
      </c>
      <c r="N440" s="37">
        <v>514.18436487804865</v>
      </c>
      <c r="O440" s="132">
        <f t="shared" si="35"/>
        <v>11371.051522398269</v>
      </c>
      <c r="P440" s="134">
        <f t="shared" si="36"/>
        <v>608.48481336324187</v>
      </c>
      <c r="Q440" s="261">
        <v>6.8632526851228254E-2</v>
      </c>
      <c r="R440" s="94"/>
    </row>
    <row r="441" spans="1:18" x14ac:dyDescent="0.25">
      <c r="A441" s="367">
        <v>41556</v>
      </c>
      <c r="B441" s="367" t="s">
        <v>279</v>
      </c>
      <c r="C441" s="279" t="s">
        <v>483</v>
      </c>
      <c r="D441" s="159" t="s">
        <v>964</v>
      </c>
      <c r="E441" s="45">
        <f t="shared" si="32"/>
        <v>41556</v>
      </c>
      <c r="F441" s="148" t="str">
        <f t="shared" si="33"/>
        <v>2013-14</v>
      </c>
      <c r="G441" s="1"/>
      <c r="H441" s="163"/>
      <c r="I441" s="37"/>
      <c r="J441" s="138">
        <f t="shared" si="34"/>
        <v>0.77968490742404351</v>
      </c>
      <c r="K441" s="114"/>
      <c r="L441" s="37">
        <v>8.6985384749700003</v>
      </c>
      <c r="M441" s="37" t="s">
        <v>142</v>
      </c>
      <c r="N441" s="37">
        <v>514.18436487804865</v>
      </c>
      <c r="O441" s="132">
        <f t="shared" si="35"/>
        <v>4472.6524811197196</v>
      </c>
      <c r="P441" s="134">
        <f t="shared" si="36"/>
        <v>239.33944058313196</v>
      </c>
      <c r="Q441" s="261">
        <v>6.8632526851228254E-2</v>
      </c>
      <c r="R441" s="94"/>
    </row>
    <row r="442" spans="1:18" x14ac:dyDescent="0.25">
      <c r="A442" s="367">
        <v>41556</v>
      </c>
      <c r="B442" s="367" t="s">
        <v>279</v>
      </c>
      <c r="C442" s="279" t="s">
        <v>483</v>
      </c>
      <c r="D442" s="159" t="s">
        <v>964</v>
      </c>
      <c r="E442" s="45">
        <f t="shared" si="32"/>
        <v>41556</v>
      </c>
      <c r="F442" s="148" t="str">
        <f t="shared" si="33"/>
        <v>2013-14</v>
      </c>
      <c r="G442" s="1"/>
      <c r="H442" s="163"/>
      <c r="I442" s="37"/>
      <c r="J442" s="138">
        <f t="shared" si="34"/>
        <v>0.77968490742404351</v>
      </c>
      <c r="K442" s="114"/>
      <c r="L442" s="37">
        <v>66.010041320300004</v>
      </c>
      <c r="M442" s="37" t="s">
        <v>142</v>
      </c>
      <c r="N442" s="37">
        <v>514.18436487804865</v>
      </c>
      <c r="O442" s="132">
        <f t="shared" si="35"/>
        <v>33941.331171852209</v>
      </c>
      <c r="P442" s="134">
        <f t="shared" si="36"/>
        <v>1816.2598703139631</v>
      </c>
      <c r="Q442" s="261">
        <v>6.8632526851228254E-2</v>
      </c>
      <c r="R442" s="94"/>
    </row>
    <row r="443" spans="1:18" x14ac:dyDescent="0.25">
      <c r="A443" s="367">
        <v>41556</v>
      </c>
      <c r="B443" s="367" t="s">
        <v>279</v>
      </c>
      <c r="C443" s="279" t="s">
        <v>483</v>
      </c>
      <c r="D443" s="159" t="s">
        <v>965</v>
      </c>
      <c r="E443" s="45">
        <f t="shared" si="32"/>
        <v>41556</v>
      </c>
      <c r="F443" s="148" t="str">
        <f t="shared" si="33"/>
        <v>2013-14</v>
      </c>
      <c r="G443" s="1"/>
      <c r="H443" s="163"/>
      <c r="I443" s="37"/>
      <c r="J443" s="138">
        <f t="shared" si="34"/>
        <v>0.77968490742404351</v>
      </c>
      <c r="K443" s="114"/>
      <c r="L443" s="37">
        <v>27.6884992522</v>
      </c>
      <c r="M443" s="37" t="s">
        <v>142</v>
      </c>
      <c r="N443" s="37">
        <v>514.18436487804865</v>
      </c>
      <c r="O443" s="132">
        <f t="shared" si="35"/>
        <v>14236.993402418782</v>
      </c>
      <c r="P443" s="134">
        <f t="shared" si="36"/>
        <v>761.84636541840098</v>
      </c>
      <c r="Q443" s="261">
        <v>6.8632526851228254E-2</v>
      </c>
      <c r="R443" s="94"/>
    </row>
    <row r="444" spans="1:18" x14ac:dyDescent="0.25">
      <c r="A444" s="367">
        <v>41556</v>
      </c>
      <c r="B444" s="367" t="s">
        <v>279</v>
      </c>
      <c r="C444" s="279" t="s">
        <v>483</v>
      </c>
      <c r="D444" s="159" t="s">
        <v>964</v>
      </c>
      <c r="E444" s="45">
        <f t="shared" si="32"/>
        <v>41556</v>
      </c>
      <c r="F444" s="148" t="str">
        <f t="shared" si="33"/>
        <v>2013-14</v>
      </c>
      <c r="G444" s="1"/>
      <c r="H444" s="163"/>
      <c r="I444" s="37"/>
      <c r="J444" s="138">
        <f t="shared" si="34"/>
        <v>0.77968490742404351</v>
      </c>
      <c r="K444" s="114"/>
      <c r="L444" s="37">
        <v>12.895131833400001</v>
      </c>
      <c r="M444" s="37" t="s">
        <v>142</v>
      </c>
      <c r="N444" s="37">
        <v>514.18436487804865</v>
      </c>
      <c r="O444" s="132">
        <f t="shared" si="35"/>
        <v>6630.4751717754862</v>
      </c>
      <c r="P444" s="134">
        <f t="shared" si="36"/>
        <v>354.80829890360826</v>
      </c>
      <c r="Q444" s="261">
        <v>6.8632526851228254E-2</v>
      </c>
      <c r="R444" s="94"/>
    </row>
    <row r="445" spans="1:18" x14ac:dyDescent="0.25">
      <c r="A445" s="367">
        <v>41556</v>
      </c>
      <c r="B445" s="367" t="s">
        <v>279</v>
      </c>
      <c r="C445" s="279" t="s">
        <v>483</v>
      </c>
      <c r="D445" s="159" t="s">
        <v>964</v>
      </c>
      <c r="E445" s="45">
        <f t="shared" si="32"/>
        <v>41556</v>
      </c>
      <c r="F445" s="148" t="str">
        <f t="shared" si="33"/>
        <v>2013-14</v>
      </c>
      <c r="G445" s="1"/>
      <c r="H445" s="163"/>
      <c r="I445" s="37"/>
      <c r="J445" s="138">
        <f t="shared" si="34"/>
        <v>0.77968490742404351</v>
      </c>
      <c r="K445" s="114"/>
      <c r="L445" s="37">
        <v>28.670442841900002</v>
      </c>
      <c r="M445" s="37" t="s">
        <v>142</v>
      </c>
      <c r="N445" s="37">
        <v>470.74786858536584</v>
      </c>
      <c r="O445" s="132">
        <f t="shared" si="35"/>
        <v>13496.549859222985</v>
      </c>
      <c r="P445" s="134">
        <f t="shared" si="36"/>
        <v>722.22393909309255</v>
      </c>
      <c r="Q445" s="261">
        <v>6.8632526851228254E-2</v>
      </c>
      <c r="R445" s="94"/>
    </row>
    <row r="446" spans="1:18" x14ac:dyDescent="0.25">
      <c r="A446" s="367">
        <v>41556</v>
      </c>
      <c r="B446" s="367" t="s">
        <v>279</v>
      </c>
      <c r="C446" s="279" t="s">
        <v>483</v>
      </c>
      <c r="D446" s="159" t="s">
        <v>964</v>
      </c>
      <c r="E446" s="45">
        <f t="shared" si="32"/>
        <v>41556</v>
      </c>
      <c r="F446" s="148" t="str">
        <f t="shared" si="33"/>
        <v>2013-14</v>
      </c>
      <c r="G446" s="1"/>
      <c r="H446" s="163"/>
      <c r="I446" s="37"/>
      <c r="J446" s="138">
        <f t="shared" si="34"/>
        <v>0.77968490742404351</v>
      </c>
      <c r="K446" s="114"/>
      <c r="L446" s="37">
        <v>22.051388892799999</v>
      </c>
      <c r="M446" s="37" t="s">
        <v>142</v>
      </c>
      <c r="N446" s="37">
        <v>470.74786858536584</v>
      </c>
      <c r="O446" s="132">
        <f t="shared" si="35"/>
        <v>10380.644320632609</v>
      </c>
      <c r="P446" s="134">
        <f t="shared" si="36"/>
        <v>555.48639539521878</v>
      </c>
      <c r="Q446" s="261">
        <v>6.8632526851228254E-2</v>
      </c>
      <c r="R446" s="94"/>
    </row>
    <row r="447" spans="1:18" x14ac:dyDescent="0.25">
      <c r="A447" s="367">
        <v>41556</v>
      </c>
      <c r="B447" s="367" t="s">
        <v>279</v>
      </c>
      <c r="C447" s="279" t="s">
        <v>483</v>
      </c>
      <c r="D447" s="159" t="s">
        <v>964</v>
      </c>
      <c r="E447" s="45">
        <f t="shared" si="32"/>
        <v>41556</v>
      </c>
      <c r="F447" s="148" t="str">
        <f t="shared" si="33"/>
        <v>2013-14</v>
      </c>
      <c r="G447" s="1"/>
      <c r="H447" s="163"/>
      <c r="I447" s="37"/>
      <c r="J447" s="138">
        <f t="shared" si="34"/>
        <v>0.77968490742404351</v>
      </c>
      <c r="K447" s="114"/>
      <c r="L447" s="37">
        <v>27.8486217359</v>
      </c>
      <c r="M447" s="37" t="s">
        <v>142</v>
      </c>
      <c r="N447" s="37">
        <v>514.18436487804865</v>
      </c>
      <c r="O447" s="132">
        <f t="shared" si="35"/>
        <v>14319.325880002762</v>
      </c>
      <c r="P447" s="134">
        <f t="shared" si="36"/>
        <v>766.25211999243845</v>
      </c>
      <c r="Q447" s="261">
        <v>6.8632526851228254E-2</v>
      </c>
      <c r="R447" s="94"/>
    </row>
    <row r="448" spans="1:18" x14ac:dyDescent="0.25">
      <c r="A448" s="367">
        <v>41556</v>
      </c>
      <c r="B448" s="367" t="s">
        <v>279</v>
      </c>
      <c r="C448" s="279" t="s">
        <v>483</v>
      </c>
      <c r="D448" s="159" t="s">
        <v>964</v>
      </c>
      <c r="E448" s="45">
        <f t="shared" si="32"/>
        <v>41556</v>
      </c>
      <c r="F448" s="148" t="str">
        <f t="shared" si="33"/>
        <v>2013-14</v>
      </c>
      <c r="G448" s="1"/>
      <c r="H448" s="163"/>
      <c r="I448" s="37"/>
      <c r="J448" s="138">
        <f t="shared" si="34"/>
        <v>0.77968490742404351</v>
      </c>
      <c r="K448" s="114"/>
      <c r="L448" s="37">
        <v>8.8338450292000008</v>
      </c>
      <c r="M448" s="37" t="s">
        <v>142</v>
      </c>
      <c r="N448" s="37">
        <v>470.74786858536584</v>
      </c>
      <c r="O448" s="132">
        <f t="shared" si="35"/>
        <v>4158.5137189093293</v>
      </c>
      <c r="P448" s="134">
        <f t="shared" si="36"/>
        <v>222.52932713696282</v>
      </c>
      <c r="Q448" s="261">
        <v>6.8632526851228254E-2</v>
      </c>
      <c r="R448" s="94"/>
    </row>
    <row r="449" spans="1:18" x14ac:dyDescent="0.25">
      <c r="A449" s="367">
        <v>41556</v>
      </c>
      <c r="B449" s="367" t="s">
        <v>279</v>
      </c>
      <c r="C449" s="279" t="s">
        <v>483</v>
      </c>
      <c r="D449" s="159" t="s">
        <v>964</v>
      </c>
      <c r="E449" s="45">
        <f t="shared" si="32"/>
        <v>41556</v>
      </c>
      <c r="F449" s="148" t="str">
        <f t="shared" si="33"/>
        <v>2013-14</v>
      </c>
      <c r="G449" s="1"/>
      <c r="H449" s="163"/>
      <c r="I449" s="37"/>
      <c r="J449" s="138">
        <f t="shared" si="34"/>
        <v>0.77968490742404351</v>
      </c>
      <c r="K449" s="114"/>
      <c r="L449" s="37">
        <v>288.59854645899998</v>
      </c>
      <c r="M449" s="37" t="s">
        <v>142</v>
      </c>
      <c r="N449" s="37">
        <v>470.74786858536584</v>
      </c>
      <c r="O449" s="132">
        <f t="shared" si="35"/>
        <v>135857.15062240892</v>
      </c>
      <c r="P449" s="134">
        <f t="shared" si="36"/>
        <v>7269.953247305577</v>
      </c>
      <c r="Q449" s="261">
        <v>6.8632526851228254E-2</v>
      </c>
      <c r="R449" s="94"/>
    </row>
    <row r="450" spans="1:18" x14ac:dyDescent="0.25">
      <c r="A450" s="367">
        <v>41556</v>
      </c>
      <c r="B450" s="367" t="s">
        <v>279</v>
      </c>
      <c r="C450" s="279" t="s">
        <v>483</v>
      </c>
      <c r="D450" s="159" t="s">
        <v>964</v>
      </c>
      <c r="E450" s="45">
        <f t="shared" si="32"/>
        <v>41556</v>
      </c>
      <c r="F450" s="148" t="str">
        <f t="shared" si="33"/>
        <v>2013-14</v>
      </c>
      <c r="G450" s="1"/>
      <c r="H450" s="163"/>
      <c r="I450" s="37"/>
      <c r="J450" s="138">
        <f t="shared" si="34"/>
        <v>0.77968490742404351</v>
      </c>
      <c r="K450" s="114"/>
      <c r="L450" s="37">
        <v>121.672726367</v>
      </c>
      <c r="M450" s="37" t="s">
        <v>142</v>
      </c>
      <c r="N450" s="37">
        <v>514.18436487804865</v>
      </c>
      <c r="O450" s="132">
        <f t="shared" si="35"/>
        <v>62562.213529996494</v>
      </c>
      <c r="P450" s="134">
        <f t="shared" si="36"/>
        <v>3347.8132385915214</v>
      </c>
      <c r="Q450" s="261">
        <v>6.8632526851228254E-2</v>
      </c>
      <c r="R450" s="94"/>
    </row>
    <row r="451" spans="1:18" x14ac:dyDescent="0.25">
      <c r="A451" s="367">
        <v>41556</v>
      </c>
      <c r="B451" s="367" t="s">
        <v>279</v>
      </c>
      <c r="C451" s="279" t="s">
        <v>483</v>
      </c>
      <c r="D451" s="159" t="s">
        <v>964</v>
      </c>
      <c r="E451" s="45">
        <f t="shared" si="32"/>
        <v>41556</v>
      </c>
      <c r="F451" s="148" t="str">
        <f t="shared" si="33"/>
        <v>2013-14</v>
      </c>
      <c r="G451" s="1"/>
      <c r="H451" s="163"/>
      <c r="I451" s="37"/>
      <c r="J451" s="138">
        <f t="shared" si="34"/>
        <v>0.77968490742404351</v>
      </c>
      <c r="K451" s="114"/>
      <c r="L451" s="37">
        <v>16.803184953300001</v>
      </c>
      <c r="M451" s="37" t="s">
        <v>142</v>
      </c>
      <c r="N451" s="37">
        <v>470.74786858536584</v>
      </c>
      <c r="O451" s="132">
        <f t="shared" si="35"/>
        <v>7910.0635022116649</v>
      </c>
      <c r="P451" s="134">
        <f t="shared" si="36"/>
        <v>423.28130378741901</v>
      </c>
      <c r="Q451" s="261">
        <v>6.8632526851228254E-2</v>
      </c>
      <c r="R451" s="94"/>
    </row>
    <row r="452" spans="1:18" x14ac:dyDescent="0.25">
      <c r="A452" s="367">
        <v>41556</v>
      </c>
      <c r="B452" s="367" t="s">
        <v>279</v>
      </c>
      <c r="C452" s="279" t="s">
        <v>483</v>
      </c>
      <c r="D452" s="159" t="s">
        <v>964</v>
      </c>
      <c r="E452" s="45">
        <f t="shared" si="32"/>
        <v>41556</v>
      </c>
      <c r="F452" s="148" t="str">
        <f t="shared" si="33"/>
        <v>2013-14</v>
      </c>
      <c r="G452" s="1"/>
      <c r="H452" s="163"/>
      <c r="I452" s="37"/>
      <c r="J452" s="138">
        <f t="shared" si="34"/>
        <v>0.77968490742404351</v>
      </c>
      <c r="K452" s="114"/>
      <c r="L452" s="37">
        <v>11.8896898996</v>
      </c>
      <c r="M452" s="37" t="s">
        <v>142</v>
      </c>
      <c r="N452" s="37">
        <v>514.18436487804865</v>
      </c>
      <c r="O452" s="132">
        <f t="shared" si="35"/>
        <v>6113.4926496227763</v>
      </c>
      <c r="P452" s="134">
        <f t="shared" si="36"/>
        <v>327.14366183072985</v>
      </c>
      <c r="Q452" s="261">
        <v>6.8632526851228254E-2</v>
      </c>
      <c r="R452" s="94"/>
    </row>
    <row r="453" spans="1:18" x14ac:dyDescent="0.25">
      <c r="A453" s="367">
        <v>41556</v>
      </c>
      <c r="B453" s="367" t="s">
        <v>279</v>
      </c>
      <c r="C453" s="279" t="s">
        <v>483</v>
      </c>
      <c r="D453" s="159" t="s">
        <v>964</v>
      </c>
      <c r="E453" s="45">
        <f t="shared" si="32"/>
        <v>41556</v>
      </c>
      <c r="F453" s="148" t="str">
        <f t="shared" si="33"/>
        <v>2013-14</v>
      </c>
      <c r="G453" s="1"/>
      <c r="H453" s="163"/>
      <c r="I453" s="37"/>
      <c r="J453" s="138">
        <f t="shared" si="34"/>
        <v>0.77968490742404351</v>
      </c>
      <c r="K453" s="114"/>
      <c r="L453" s="37">
        <v>154.47224276899999</v>
      </c>
      <c r="M453" s="37" t="s">
        <v>142</v>
      </c>
      <c r="N453" s="37">
        <v>514.18436487804865</v>
      </c>
      <c r="O453" s="132">
        <f t="shared" si="35"/>
        <v>79427.212039466001</v>
      </c>
      <c r="P453" s="134">
        <f t="shared" si="36"/>
        <v>4250.2887440618824</v>
      </c>
      <c r="Q453" s="261">
        <v>6.8632526851228254E-2</v>
      </c>
      <c r="R453" s="94"/>
    </row>
    <row r="454" spans="1:18" x14ac:dyDescent="0.25">
      <c r="A454" s="367">
        <v>41556</v>
      </c>
      <c r="B454" s="367" t="s">
        <v>279</v>
      </c>
      <c r="C454" s="279" t="s">
        <v>483</v>
      </c>
      <c r="D454" s="159" t="s">
        <v>964</v>
      </c>
      <c r="E454" s="45">
        <f t="shared" si="32"/>
        <v>41556</v>
      </c>
      <c r="F454" s="148" t="str">
        <f t="shared" si="33"/>
        <v>2013-14</v>
      </c>
      <c r="G454" s="1"/>
      <c r="H454" s="163"/>
      <c r="I454" s="37"/>
      <c r="J454" s="138">
        <f t="shared" si="34"/>
        <v>0.77968490742404351</v>
      </c>
      <c r="K454" s="114"/>
      <c r="L454" s="37">
        <v>147.51808712299999</v>
      </c>
      <c r="M454" s="37" t="s">
        <v>142</v>
      </c>
      <c r="N454" s="37">
        <v>470.74786858536584</v>
      </c>
      <c r="O454" s="132">
        <f t="shared" si="35"/>
        <v>69443.825090942541</v>
      </c>
      <c r="P454" s="134">
        <f t="shared" si="36"/>
        <v>3716.0602839991061</v>
      </c>
      <c r="Q454" s="261">
        <v>6.8632526851228254E-2</v>
      </c>
      <c r="R454" s="94"/>
    </row>
    <row r="455" spans="1:18" x14ac:dyDescent="0.25">
      <c r="A455" s="367">
        <v>41556</v>
      </c>
      <c r="B455" s="367" t="s">
        <v>279</v>
      </c>
      <c r="C455" s="279" t="s">
        <v>483</v>
      </c>
      <c r="D455" s="159" t="s">
        <v>964</v>
      </c>
      <c r="E455" s="45">
        <f t="shared" si="32"/>
        <v>41556</v>
      </c>
      <c r="F455" s="148" t="str">
        <f t="shared" si="33"/>
        <v>2013-14</v>
      </c>
      <c r="G455" s="1"/>
      <c r="H455" s="163"/>
      <c r="I455" s="37"/>
      <c r="J455" s="138">
        <f t="shared" si="34"/>
        <v>0.77968490742404351</v>
      </c>
      <c r="K455" s="114"/>
      <c r="L455" s="37">
        <v>115.569115774</v>
      </c>
      <c r="M455" s="37" t="s">
        <v>142</v>
      </c>
      <c r="N455" s="37">
        <v>470.74786858536584</v>
      </c>
      <c r="O455" s="132">
        <f t="shared" si="35"/>
        <v>54403.914924905883</v>
      </c>
      <c r="P455" s="134">
        <f t="shared" si="36"/>
        <v>2911.2484411933333</v>
      </c>
      <c r="Q455" s="261">
        <v>6.8632526851228254E-2</v>
      </c>
      <c r="R455" s="94"/>
    </row>
    <row r="456" spans="1:18" x14ac:dyDescent="0.25">
      <c r="A456" s="367">
        <v>41556</v>
      </c>
      <c r="B456" s="367" t="s">
        <v>279</v>
      </c>
      <c r="C456" s="279" t="s">
        <v>483</v>
      </c>
      <c r="D456" s="159" t="s">
        <v>964</v>
      </c>
      <c r="E456" s="45">
        <f t="shared" si="32"/>
        <v>41556</v>
      </c>
      <c r="F456" s="148" t="str">
        <f t="shared" si="33"/>
        <v>2013-14</v>
      </c>
      <c r="G456" s="1"/>
      <c r="H456" s="163"/>
      <c r="I456" s="37"/>
      <c r="J456" s="138">
        <f t="shared" si="34"/>
        <v>0.77968490742404351</v>
      </c>
      <c r="K456" s="114"/>
      <c r="L456" s="37">
        <v>17.207226238299999</v>
      </c>
      <c r="M456" s="37" t="s">
        <v>142</v>
      </c>
      <c r="N456" s="37">
        <v>470.74786858536584</v>
      </c>
      <c r="O456" s="132">
        <f t="shared" si="35"/>
        <v>8100.2650759459066</v>
      </c>
      <c r="P456" s="134">
        <f t="shared" si="36"/>
        <v>433.45932196516668</v>
      </c>
      <c r="Q456" s="261">
        <v>6.8632526851228254E-2</v>
      </c>
      <c r="R456" s="94"/>
    </row>
    <row r="457" spans="1:18" x14ac:dyDescent="0.25">
      <c r="A457" s="367">
        <v>41556</v>
      </c>
      <c r="B457" s="367" t="s">
        <v>279</v>
      </c>
      <c r="C457" s="279" t="s">
        <v>483</v>
      </c>
      <c r="D457" s="159" t="s">
        <v>964</v>
      </c>
      <c r="E457" s="45">
        <f t="shared" si="32"/>
        <v>41556</v>
      </c>
      <c r="F457" s="148" t="str">
        <f t="shared" si="33"/>
        <v>2013-14</v>
      </c>
      <c r="G457" s="1"/>
      <c r="H457" s="163"/>
      <c r="I457" s="37"/>
      <c r="J457" s="138">
        <f t="shared" si="34"/>
        <v>0.77968490742404351</v>
      </c>
      <c r="K457" s="114"/>
      <c r="L457" s="37">
        <v>63.069429771700001</v>
      </c>
      <c r="M457" s="37" t="s">
        <v>142</v>
      </c>
      <c r="N457" s="37">
        <v>470.74786858536584</v>
      </c>
      <c r="O457" s="132">
        <f t="shared" si="35"/>
        <v>29689.799637922191</v>
      </c>
      <c r="P457" s="134">
        <f t="shared" si="36"/>
        <v>1588.7529975471318</v>
      </c>
      <c r="Q457" s="261">
        <v>6.8632526851228254E-2</v>
      </c>
      <c r="R457" s="94"/>
    </row>
    <row r="458" spans="1:18" x14ac:dyDescent="0.25">
      <c r="A458" s="367">
        <v>41556</v>
      </c>
      <c r="B458" s="367" t="s">
        <v>279</v>
      </c>
      <c r="C458" s="279" t="s">
        <v>483</v>
      </c>
      <c r="D458" s="159" t="s">
        <v>964</v>
      </c>
      <c r="E458" s="45">
        <f t="shared" si="32"/>
        <v>41556</v>
      </c>
      <c r="F458" s="148" t="str">
        <f t="shared" si="33"/>
        <v>2013-14</v>
      </c>
      <c r="G458" s="1"/>
      <c r="H458" s="163"/>
      <c r="I458" s="37"/>
      <c r="J458" s="138">
        <f t="shared" si="34"/>
        <v>0.77968490742404351</v>
      </c>
      <c r="K458" s="114"/>
      <c r="L458" s="37">
        <v>21.372887282499999</v>
      </c>
      <c r="M458" s="37" t="s">
        <v>142</v>
      </c>
      <c r="N458" s="37">
        <v>470.74786858536584</v>
      </c>
      <c r="O458" s="132">
        <f t="shared" si="35"/>
        <v>10061.241133752146</v>
      </c>
      <c r="P458" s="134">
        <f t="shared" si="36"/>
        <v>538.39457339672049</v>
      </c>
      <c r="Q458" s="261">
        <v>6.8632526851228254E-2</v>
      </c>
      <c r="R458" s="94"/>
    </row>
    <row r="459" spans="1:18" x14ac:dyDescent="0.25">
      <c r="A459" s="367">
        <v>41556</v>
      </c>
      <c r="B459" s="367" t="s">
        <v>279</v>
      </c>
      <c r="C459" s="279" t="s">
        <v>483</v>
      </c>
      <c r="D459" s="159" t="s">
        <v>964</v>
      </c>
      <c r="E459" s="45">
        <f t="shared" si="32"/>
        <v>41556</v>
      </c>
      <c r="F459" s="148" t="str">
        <f t="shared" si="33"/>
        <v>2013-14</v>
      </c>
      <c r="G459" s="1"/>
      <c r="H459" s="163"/>
      <c r="I459" s="37"/>
      <c r="J459" s="138">
        <f t="shared" si="34"/>
        <v>0.77968490742404351</v>
      </c>
      <c r="K459" s="114"/>
      <c r="L459" s="37">
        <v>5.6149854863200002</v>
      </c>
      <c r="M459" s="37" t="s">
        <v>142</v>
      </c>
      <c r="N459" s="37">
        <v>470.74786858536584</v>
      </c>
      <c r="O459" s="132">
        <f t="shared" si="35"/>
        <v>2643.2424498229038</v>
      </c>
      <c r="P459" s="134">
        <f t="shared" si="36"/>
        <v>141.44451685810895</v>
      </c>
      <c r="Q459" s="261">
        <v>6.8632526851228254E-2</v>
      </c>
      <c r="R459" s="94"/>
    </row>
    <row r="460" spans="1:18" x14ac:dyDescent="0.25">
      <c r="A460" s="367">
        <v>41556</v>
      </c>
      <c r="B460" s="367" t="s">
        <v>279</v>
      </c>
      <c r="C460" s="279" t="s">
        <v>483</v>
      </c>
      <c r="D460" s="159" t="s">
        <v>964</v>
      </c>
      <c r="E460" s="45">
        <f t="shared" si="32"/>
        <v>41556</v>
      </c>
      <c r="F460" s="148" t="str">
        <f t="shared" si="33"/>
        <v>2013-14</v>
      </c>
      <c r="G460" s="1"/>
      <c r="H460" s="163"/>
      <c r="I460" s="37"/>
      <c r="J460" s="138">
        <f t="shared" si="34"/>
        <v>0.77968490742404351</v>
      </c>
      <c r="K460" s="114"/>
      <c r="L460" s="37">
        <v>39.567358349000003</v>
      </c>
      <c r="M460" s="37" t="s">
        <v>142</v>
      </c>
      <c r="N460" s="37">
        <v>470.74786858536584</v>
      </c>
      <c r="O460" s="132">
        <f t="shared" si="35"/>
        <v>18626.24960834513</v>
      </c>
      <c r="P460" s="134">
        <f t="shared" si="36"/>
        <v>996.72312576072386</v>
      </c>
      <c r="Q460" s="261">
        <v>6.8632526851228254E-2</v>
      </c>
      <c r="R460" s="94"/>
    </row>
    <row r="461" spans="1:18" x14ac:dyDescent="0.25">
      <c r="A461" s="367">
        <v>41503</v>
      </c>
      <c r="B461" s="367" t="s">
        <v>279</v>
      </c>
      <c r="C461" s="279" t="s">
        <v>484</v>
      </c>
      <c r="D461" s="159" t="s">
        <v>966</v>
      </c>
      <c r="E461" s="45">
        <f t="shared" si="32"/>
        <v>41503</v>
      </c>
      <c r="F461" s="148" t="str">
        <f t="shared" si="33"/>
        <v>2013-14</v>
      </c>
      <c r="G461" s="1"/>
      <c r="H461" s="163"/>
      <c r="I461" s="37"/>
      <c r="J461" s="138">
        <f t="shared" si="34"/>
        <v>0.77968490742404351</v>
      </c>
      <c r="K461" s="114"/>
      <c r="L461" s="37">
        <v>130.798346998</v>
      </c>
      <c r="M461" s="37" t="s">
        <v>142</v>
      </c>
      <c r="N461" s="37">
        <v>621.96155034146341</v>
      </c>
      <c r="O461" s="132">
        <f t="shared" si="35"/>
        <v>81351.542680976781</v>
      </c>
      <c r="P461" s="134">
        <f t="shared" si="36"/>
        <v>55795.641196362994</v>
      </c>
      <c r="Q461" s="261">
        <v>0.87966102933162604</v>
      </c>
      <c r="R461" s="94"/>
    </row>
    <row r="462" spans="1:18" x14ac:dyDescent="0.25">
      <c r="A462" s="367">
        <v>41503</v>
      </c>
      <c r="B462" s="367" t="s">
        <v>279</v>
      </c>
      <c r="C462" s="279" t="s">
        <v>484</v>
      </c>
      <c r="D462" s="159" t="s">
        <v>966</v>
      </c>
      <c r="E462" s="45">
        <f t="shared" si="32"/>
        <v>41503</v>
      </c>
      <c r="F462" s="148" t="str">
        <f t="shared" si="33"/>
        <v>2013-14</v>
      </c>
      <c r="G462" s="1"/>
      <c r="H462" s="163"/>
      <c r="I462" s="37"/>
      <c r="J462" s="138">
        <f t="shared" si="34"/>
        <v>0.77968490742404351</v>
      </c>
      <c r="K462" s="114"/>
      <c r="L462" s="37">
        <v>4.5988438764500001</v>
      </c>
      <c r="M462" s="37" t="s">
        <v>142</v>
      </c>
      <c r="N462" s="37">
        <v>621.96155034146341</v>
      </c>
      <c r="O462" s="132">
        <f t="shared" si="35"/>
        <v>2860.3040671751874</v>
      </c>
      <c r="P462" s="134">
        <f t="shared" si="36"/>
        <v>1961.7636517410947</v>
      </c>
      <c r="Q462" s="261">
        <v>0.87966102933162604</v>
      </c>
      <c r="R462" s="94"/>
    </row>
    <row r="463" spans="1:18" x14ac:dyDescent="0.25">
      <c r="A463" s="367">
        <v>41503</v>
      </c>
      <c r="B463" s="367" t="s">
        <v>279</v>
      </c>
      <c r="C463" s="279" t="s">
        <v>484</v>
      </c>
      <c r="D463" s="159" t="s">
        <v>966</v>
      </c>
      <c r="E463" s="45">
        <f t="shared" si="32"/>
        <v>41503</v>
      </c>
      <c r="F463" s="148" t="str">
        <f t="shared" si="33"/>
        <v>2013-14</v>
      </c>
      <c r="G463" s="1"/>
      <c r="H463" s="163"/>
      <c r="I463" s="37"/>
      <c r="J463" s="138">
        <f t="shared" si="34"/>
        <v>0.77968490742404351</v>
      </c>
      <c r="K463" s="114"/>
      <c r="L463" s="37">
        <v>3.37168948862</v>
      </c>
      <c r="M463" s="37" t="s">
        <v>142</v>
      </c>
      <c r="N463" s="37">
        <v>514.18436487804865</v>
      </c>
      <c r="O463" s="132">
        <f t="shared" si="35"/>
        <v>1733.6700182720674</v>
      </c>
      <c r="P463" s="134">
        <f t="shared" si="36"/>
        <v>1189.052193782429</v>
      </c>
      <c r="Q463" s="261">
        <v>0.87966102933162604</v>
      </c>
      <c r="R463" s="94"/>
    </row>
    <row r="464" spans="1:18" x14ac:dyDescent="0.25">
      <c r="A464" s="367">
        <v>41503</v>
      </c>
      <c r="B464" s="367" t="s">
        <v>279</v>
      </c>
      <c r="C464" s="279" t="s">
        <v>484</v>
      </c>
      <c r="D464" s="159" t="s">
        <v>966</v>
      </c>
      <c r="E464" s="45">
        <f t="shared" si="32"/>
        <v>41503</v>
      </c>
      <c r="F464" s="148" t="str">
        <f t="shared" si="33"/>
        <v>2013-14</v>
      </c>
      <c r="G464" s="1"/>
      <c r="H464" s="163"/>
      <c r="I464" s="37"/>
      <c r="J464" s="138">
        <f t="shared" si="34"/>
        <v>0.77968490742404351</v>
      </c>
      <c r="K464" s="114"/>
      <c r="L464" s="37">
        <v>1.9991261657299999</v>
      </c>
      <c r="M464" s="37" t="s">
        <v>142</v>
      </c>
      <c r="N464" s="37">
        <v>514.18436487804865</v>
      </c>
      <c r="O464" s="132">
        <f t="shared" si="35"/>
        <v>1027.9194178369687</v>
      </c>
      <c r="P464" s="134">
        <f t="shared" si="36"/>
        <v>705.00719625341958</v>
      </c>
      <c r="Q464" s="261">
        <v>0.87966102933162604</v>
      </c>
      <c r="R464" s="94"/>
    </row>
    <row r="465" spans="1:18" x14ac:dyDescent="0.25">
      <c r="A465" s="367">
        <v>41503</v>
      </c>
      <c r="B465" s="367" t="s">
        <v>279</v>
      </c>
      <c r="C465" s="279" t="s">
        <v>484</v>
      </c>
      <c r="D465" s="159" t="s">
        <v>966</v>
      </c>
      <c r="E465" s="45">
        <f t="shared" si="32"/>
        <v>41503</v>
      </c>
      <c r="F465" s="148" t="str">
        <f t="shared" si="33"/>
        <v>2013-14</v>
      </c>
      <c r="G465" s="1"/>
      <c r="H465" s="163"/>
      <c r="I465" s="37"/>
      <c r="J465" s="138">
        <f t="shared" si="34"/>
        <v>0.77968490742404351</v>
      </c>
      <c r="K465" s="114"/>
      <c r="L465" s="37">
        <v>1.05729891705</v>
      </c>
      <c r="M465" s="37" t="s">
        <v>142</v>
      </c>
      <c r="N465" s="37">
        <v>470.74786858536584</v>
      </c>
      <c r="O465" s="132">
        <f t="shared" si="35"/>
        <v>497.72121165890303</v>
      </c>
      <c r="P465" s="134">
        <f t="shared" si="36"/>
        <v>341.36628791961539</v>
      </c>
      <c r="Q465" s="261">
        <v>0.87966102933162604</v>
      </c>
      <c r="R465" s="94"/>
    </row>
    <row r="466" spans="1:18" x14ac:dyDescent="0.25">
      <c r="A466" s="367">
        <v>41503</v>
      </c>
      <c r="B466" s="367" t="s">
        <v>279</v>
      </c>
      <c r="C466" s="279" t="s">
        <v>484</v>
      </c>
      <c r="D466" s="159" t="s">
        <v>966</v>
      </c>
      <c r="E466" s="45">
        <f t="shared" si="32"/>
        <v>41503</v>
      </c>
      <c r="F466" s="148" t="str">
        <f t="shared" si="33"/>
        <v>2013-14</v>
      </c>
      <c r="G466" s="1"/>
      <c r="H466" s="163"/>
      <c r="I466" s="37"/>
      <c r="J466" s="138">
        <f t="shared" si="34"/>
        <v>0.77968490742404351</v>
      </c>
      <c r="K466" s="114"/>
      <c r="L466" s="37">
        <v>2.8999054331299998</v>
      </c>
      <c r="M466" s="37" t="s">
        <v>142</v>
      </c>
      <c r="N466" s="37">
        <v>470.74786858536584</v>
      </c>
      <c r="O466" s="132">
        <f t="shared" si="35"/>
        <v>1365.1243017450695</v>
      </c>
      <c r="P466" s="134">
        <f t="shared" si="36"/>
        <v>936.28200791838924</v>
      </c>
      <c r="Q466" s="261">
        <v>0.87966102933162604</v>
      </c>
      <c r="R466" s="94"/>
    </row>
    <row r="467" spans="1:18" x14ac:dyDescent="0.25">
      <c r="A467" s="367">
        <v>41503</v>
      </c>
      <c r="B467" s="367" t="s">
        <v>279</v>
      </c>
      <c r="C467" s="279" t="s">
        <v>484</v>
      </c>
      <c r="D467" s="159" t="s">
        <v>966</v>
      </c>
      <c r="E467" s="45">
        <f t="shared" si="32"/>
        <v>41503</v>
      </c>
      <c r="F467" s="148" t="str">
        <f t="shared" si="33"/>
        <v>2013-14</v>
      </c>
      <c r="G467" s="1"/>
      <c r="H467" s="163"/>
      <c r="I467" s="37"/>
      <c r="J467" s="138">
        <f t="shared" si="34"/>
        <v>0.77968490742404351</v>
      </c>
      <c r="K467" s="114"/>
      <c r="L467" s="37">
        <v>23.951279830299999</v>
      </c>
      <c r="M467" s="37" t="s">
        <v>142</v>
      </c>
      <c r="N467" s="37">
        <v>621.96155034146341</v>
      </c>
      <c r="O467" s="132">
        <f t="shared" si="35"/>
        <v>14896.77513591561</v>
      </c>
      <c r="P467" s="134">
        <f t="shared" si="36"/>
        <v>10217.07878025048</v>
      </c>
      <c r="Q467" s="261">
        <v>0.87966102933162604</v>
      </c>
      <c r="R467" s="94"/>
    </row>
    <row r="468" spans="1:18" x14ac:dyDescent="0.25">
      <c r="A468" s="367">
        <v>41503</v>
      </c>
      <c r="B468" s="367" t="s">
        <v>279</v>
      </c>
      <c r="C468" s="279" t="s">
        <v>484</v>
      </c>
      <c r="D468" s="159" t="s">
        <v>966</v>
      </c>
      <c r="E468" s="45">
        <f t="shared" si="32"/>
        <v>41503</v>
      </c>
      <c r="F468" s="148" t="str">
        <f t="shared" si="33"/>
        <v>2013-14</v>
      </c>
      <c r="G468" s="1"/>
      <c r="H468" s="163"/>
      <c r="I468" s="37"/>
      <c r="J468" s="138">
        <f t="shared" si="34"/>
        <v>0.77968490742404351</v>
      </c>
      <c r="K468" s="114"/>
      <c r="L468" s="37">
        <v>1.8993865089399999</v>
      </c>
      <c r="M468" s="37" t="s">
        <v>142</v>
      </c>
      <c r="N468" s="37">
        <v>470.74786858536584</v>
      </c>
      <c r="O468" s="132">
        <f t="shared" si="35"/>
        <v>894.13215070330386</v>
      </c>
      <c r="P468" s="134">
        <f t="shared" si="36"/>
        <v>613.24807150141316</v>
      </c>
      <c r="Q468" s="261">
        <v>0.87966102933162604</v>
      </c>
      <c r="R468" s="94"/>
    </row>
    <row r="469" spans="1:18" x14ac:dyDescent="0.25">
      <c r="A469" s="367">
        <v>41503</v>
      </c>
      <c r="B469" s="367" t="s">
        <v>279</v>
      </c>
      <c r="C469" s="279" t="s">
        <v>484</v>
      </c>
      <c r="D469" s="159" t="s">
        <v>966</v>
      </c>
      <c r="E469" s="45">
        <f t="shared" si="32"/>
        <v>41503</v>
      </c>
      <c r="F469" s="148" t="str">
        <f t="shared" si="33"/>
        <v>2013-14</v>
      </c>
      <c r="G469" s="1"/>
      <c r="H469" s="163"/>
      <c r="I469" s="37"/>
      <c r="J469" s="138">
        <f t="shared" si="34"/>
        <v>0.77968490742404351</v>
      </c>
      <c r="K469" s="114"/>
      <c r="L469" s="37">
        <v>11.997211842800001</v>
      </c>
      <c r="M469" s="37" t="s">
        <v>142</v>
      </c>
      <c r="N469" s="37">
        <v>621.96155034146341</v>
      </c>
      <c r="O469" s="132">
        <f t="shared" si="35"/>
        <v>7461.8044775228536</v>
      </c>
      <c r="P469" s="134">
        <f t="shared" si="36"/>
        <v>5117.7414906310796</v>
      </c>
      <c r="Q469" s="261">
        <v>0.87966102933162604</v>
      </c>
      <c r="R469" s="94"/>
    </row>
    <row r="470" spans="1:18" x14ac:dyDescent="0.25">
      <c r="A470" s="367">
        <v>41560</v>
      </c>
      <c r="B470" s="367" t="s">
        <v>279</v>
      </c>
      <c r="C470" s="279" t="s">
        <v>485</v>
      </c>
      <c r="D470" s="159" t="s">
        <v>967</v>
      </c>
      <c r="E470" s="45">
        <f t="shared" si="32"/>
        <v>41560</v>
      </c>
      <c r="F470" s="148" t="str">
        <f t="shared" si="33"/>
        <v>2013-14</v>
      </c>
      <c r="G470" s="1"/>
      <c r="H470" s="163"/>
      <c r="I470" s="37"/>
      <c r="J470" s="138">
        <f t="shared" si="34"/>
        <v>0.77968490742404351</v>
      </c>
      <c r="K470" s="114"/>
      <c r="L470" s="37">
        <v>7.8027269672999999</v>
      </c>
      <c r="M470" s="37" t="s">
        <v>142</v>
      </c>
      <c r="N470" s="37">
        <v>621.96155034146341</v>
      </c>
      <c r="O470" s="132">
        <f t="shared" si="35"/>
        <v>4852.9961614730528</v>
      </c>
      <c r="P470" s="134">
        <f t="shared" si="36"/>
        <v>3000.297861601066</v>
      </c>
      <c r="Q470" s="261">
        <v>0.79293081739927274</v>
      </c>
      <c r="R470" s="94"/>
    </row>
    <row r="471" spans="1:18" x14ac:dyDescent="0.25">
      <c r="A471" s="367">
        <v>41560</v>
      </c>
      <c r="B471" s="367" t="s">
        <v>279</v>
      </c>
      <c r="C471" s="279" t="s">
        <v>485</v>
      </c>
      <c r="D471" s="159" t="s">
        <v>967</v>
      </c>
      <c r="E471" s="45">
        <f t="shared" ref="E471:E534" si="37">IF(A471&lt;2022,DATEVALUE("30 Jun "&amp;A471),A471)</f>
        <v>41560</v>
      </c>
      <c r="F471" s="148" t="str">
        <f t="shared" si="33"/>
        <v>2013-14</v>
      </c>
      <c r="G471" s="1"/>
      <c r="H471" s="163"/>
      <c r="I471" s="37"/>
      <c r="J471" s="138">
        <f t="shared" si="34"/>
        <v>0.77968490742404351</v>
      </c>
      <c r="K471" s="114"/>
      <c r="L471" s="37">
        <v>2.9996268101200001</v>
      </c>
      <c r="M471" s="37" t="s">
        <v>142</v>
      </c>
      <c r="N471" s="37">
        <v>621.96155034146341</v>
      </c>
      <c r="O471" s="132">
        <f t="shared" si="35"/>
        <v>1865.6525412680537</v>
      </c>
      <c r="P471" s="134">
        <f t="shared" si="36"/>
        <v>1153.4139207639712</v>
      </c>
      <c r="Q471" s="261">
        <v>0.79293081739927274</v>
      </c>
      <c r="R471" s="94"/>
    </row>
    <row r="472" spans="1:18" x14ac:dyDescent="0.25">
      <c r="A472" s="367">
        <v>41560</v>
      </c>
      <c r="B472" s="367" t="s">
        <v>279</v>
      </c>
      <c r="C472" s="279" t="s">
        <v>485</v>
      </c>
      <c r="D472" s="159" t="s">
        <v>967</v>
      </c>
      <c r="E472" s="45">
        <f t="shared" si="37"/>
        <v>41560</v>
      </c>
      <c r="F472" s="148" t="str">
        <f t="shared" ref="F472:F535" si="38">IF(E472="","-",IF(OR(E472&lt;$E$15,E472&gt;$E$16),"ERROR - date outside of range",IF(MONTH(E472)&gt;=7,YEAR(E472)&amp;"-"&amp;IF(YEAR(E472)=1999,"00",IF(AND(YEAR(E472)&gt;=2000,YEAR(E472)&lt;2009),"0","")&amp;RIGHT(YEAR(E472),2)+1),RIGHT(YEAR(E472),4)-1&amp;"-"&amp;RIGHT(YEAR(E472),2))))</f>
        <v>2013-14</v>
      </c>
      <c r="G472" s="1"/>
      <c r="H472" s="163"/>
      <c r="I472" s="37"/>
      <c r="J472" s="138">
        <f t="shared" ref="J472:J535" si="39">J471</f>
        <v>0.77968490742404351</v>
      </c>
      <c r="K472" s="114"/>
      <c r="L472" s="37">
        <v>145.608628942</v>
      </c>
      <c r="M472" s="37" t="s">
        <v>142</v>
      </c>
      <c r="N472" s="37">
        <v>621.96155034146341</v>
      </c>
      <c r="O472" s="132">
        <f t="shared" si="35"/>
        <v>90562.968599861197</v>
      </c>
      <c r="P472" s="134">
        <f t="shared" si="36"/>
        <v>55989.30474899301</v>
      </c>
      <c r="Q472" s="261">
        <v>0.79293081739927274</v>
      </c>
      <c r="R472" s="94"/>
    </row>
    <row r="473" spans="1:18" x14ac:dyDescent="0.25">
      <c r="A473" s="367">
        <v>41560</v>
      </c>
      <c r="B473" s="367" t="s">
        <v>279</v>
      </c>
      <c r="C473" s="279" t="s">
        <v>485</v>
      </c>
      <c r="D473" s="159" t="s">
        <v>968</v>
      </c>
      <c r="E473" s="45">
        <f t="shared" si="37"/>
        <v>41560</v>
      </c>
      <c r="F473" s="148" t="str">
        <f t="shared" si="38"/>
        <v>2013-14</v>
      </c>
      <c r="G473" s="1"/>
      <c r="H473" s="163"/>
      <c r="I473" s="37"/>
      <c r="J473" s="138">
        <f t="shared" si="39"/>
        <v>0.77968490742404351</v>
      </c>
      <c r="K473" s="114"/>
      <c r="L473" s="37">
        <v>4.8466347560200003</v>
      </c>
      <c r="M473" s="37" t="s">
        <v>142</v>
      </c>
      <c r="N473" s="37">
        <v>621.96155034146341</v>
      </c>
      <c r="O473" s="132">
        <f t="shared" si="35"/>
        <v>3014.4204667930198</v>
      </c>
      <c r="P473" s="134">
        <f t="shared" si="36"/>
        <v>1863.623827334817</v>
      </c>
      <c r="Q473" s="261">
        <v>0.79293081739927274</v>
      </c>
      <c r="R473" s="94"/>
    </row>
    <row r="474" spans="1:18" x14ac:dyDescent="0.25">
      <c r="A474" s="367">
        <v>41560</v>
      </c>
      <c r="B474" s="367" t="s">
        <v>279</v>
      </c>
      <c r="C474" s="279" t="s">
        <v>485</v>
      </c>
      <c r="D474" s="159" t="s">
        <v>968</v>
      </c>
      <c r="E474" s="45">
        <f t="shared" si="37"/>
        <v>41560</v>
      </c>
      <c r="F474" s="148" t="str">
        <f t="shared" si="38"/>
        <v>2013-14</v>
      </c>
      <c r="G474" s="1"/>
      <c r="H474" s="163"/>
      <c r="I474" s="37"/>
      <c r="J474" s="138">
        <f t="shared" si="39"/>
        <v>0.77968490742404351</v>
      </c>
      <c r="K474" s="114"/>
      <c r="L474" s="37">
        <v>33.7933199406</v>
      </c>
      <c r="M474" s="37" t="s">
        <v>142</v>
      </c>
      <c r="N474" s="37">
        <v>621.96155034146341</v>
      </c>
      <c r="O474" s="132">
        <f t="shared" si="35"/>
        <v>21018.145661440667</v>
      </c>
      <c r="P474" s="134">
        <f t="shared" si="36"/>
        <v>12994.17831472157</v>
      </c>
      <c r="Q474" s="261">
        <v>0.79293081739927274</v>
      </c>
      <c r="R474" s="94"/>
    </row>
    <row r="475" spans="1:18" x14ac:dyDescent="0.25">
      <c r="A475" s="367">
        <v>41560</v>
      </c>
      <c r="B475" s="367" t="s">
        <v>279</v>
      </c>
      <c r="C475" s="279" t="s">
        <v>485</v>
      </c>
      <c r="D475" s="159" t="s">
        <v>968</v>
      </c>
      <c r="E475" s="45">
        <f t="shared" si="37"/>
        <v>41560</v>
      </c>
      <c r="F475" s="148" t="str">
        <f t="shared" si="38"/>
        <v>2013-14</v>
      </c>
      <c r="G475" s="1"/>
      <c r="H475" s="163"/>
      <c r="I475" s="37"/>
      <c r="J475" s="138">
        <f t="shared" si="39"/>
        <v>0.77968490742404351</v>
      </c>
      <c r="K475" s="114"/>
      <c r="L475" s="37">
        <v>1.4997176400900001</v>
      </c>
      <c r="M475" s="37" t="s">
        <v>142</v>
      </c>
      <c r="N475" s="37">
        <v>621.96155034146341</v>
      </c>
      <c r="O475" s="132">
        <f t="shared" si="35"/>
        <v>932.7667085048173</v>
      </c>
      <c r="P475" s="134">
        <f t="shared" si="36"/>
        <v>576.6701369180978</v>
      </c>
      <c r="Q475" s="261">
        <v>0.79293081739927274</v>
      </c>
      <c r="R475" s="94"/>
    </row>
    <row r="476" spans="1:18" x14ac:dyDescent="0.25">
      <c r="A476" s="367">
        <v>40107</v>
      </c>
      <c r="B476" s="367" t="s">
        <v>279</v>
      </c>
      <c r="C476" s="279" t="s">
        <v>486</v>
      </c>
      <c r="D476" s="159" t="s">
        <v>969</v>
      </c>
      <c r="E476" s="45">
        <f t="shared" si="37"/>
        <v>40107</v>
      </c>
      <c r="F476" s="148" t="str">
        <f t="shared" si="38"/>
        <v>2009-10</v>
      </c>
      <c r="G476" s="1"/>
      <c r="H476" s="163"/>
      <c r="I476" s="37"/>
      <c r="J476" s="138">
        <f t="shared" si="39"/>
        <v>0.77968490742404351</v>
      </c>
      <c r="K476" s="114"/>
      <c r="L476" s="37">
        <v>260.25618343799999</v>
      </c>
      <c r="M476" s="37" t="s">
        <v>142</v>
      </c>
      <c r="N476" s="37">
        <v>621.96155034146341</v>
      </c>
      <c r="O476" s="132">
        <f t="shared" si="35"/>
        <v>161869.33933705077</v>
      </c>
      <c r="P476" s="134">
        <f t="shared" si="36"/>
        <v>12879.513181927181</v>
      </c>
      <c r="Q476" s="261">
        <v>0.10205063847917481</v>
      </c>
      <c r="R476" s="94"/>
    </row>
    <row r="477" spans="1:18" x14ac:dyDescent="0.25">
      <c r="A477" s="367">
        <v>40107</v>
      </c>
      <c r="B477" s="367" t="s">
        <v>279</v>
      </c>
      <c r="C477" s="279" t="s">
        <v>486</v>
      </c>
      <c r="D477" s="159" t="s">
        <v>969</v>
      </c>
      <c r="E477" s="45">
        <f t="shared" si="37"/>
        <v>40107</v>
      </c>
      <c r="F477" s="148" t="str">
        <f t="shared" si="38"/>
        <v>2009-10</v>
      </c>
      <c r="G477" s="1"/>
      <c r="H477" s="163"/>
      <c r="I477" s="37"/>
      <c r="J477" s="138">
        <f t="shared" si="39"/>
        <v>0.77968490742404351</v>
      </c>
      <c r="K477" s="114"/>
      <c r="L477" s="37">
        <v>156.276632995</v>
      </c>
      <c r="M477" s="37" t="s">
        <v>142</v>
      </c>
      <c r="N477" s="37">
        <v>771.6404230243902</v>
      </c>
      <c r="O477" s="132">
        <f t="shared" si="35"/>
        <v>120589.36719308917</v>
      </c>
      <c r="P477" s="134">
        <f t="shared" si="36"/>
        <v>9594.9754952026797</v>
      </c>
      <c r="Q477" s="261">
        <v>0.10205063847917481</v>
      </c>
      <c r="R477" s="94"/>
    </row>
    <row r="478" spans="1:18" x14ac:dyDescent="0.25">
      <c r="A478" s="367">
        <v>40107</v>
      </c>
      <c r="B478" s="367" t="s">
        <v>279</v>
      </c>
      <c r="C478" s="279" t="s">
        <v>486</v>
      </c>
      <c r="D478" s="159" t="s">
        <v>969</v>
      </c>
      <c r="E478" s="45">
        <f t="shared" si="37"/>
        <v>40107</v>
      </c>
      <c r="F478" s="148" t="str">
        <f t="shared" si="38"/>
        <v>2009-10</v>
      </c>
      <c r="G478" s="1"/>
      <c r="H478" s="163"/>
      <c r="I478" s="37"/>
      <c r="J478" s="138">
        <f t="shared" si="39"/>
        <v>0.77968490742404351</v>
      </c>
      <c r="K478" s="114"/>
      <c r="L478" s="37">
        <v>71.232025680500001</v>
      </c>
      <c r="M478" s="37" t="s">
        <v>142</v>
      </c>
      <c r="N478" s="37">
        <v>771.6404230243902</v>
      </c>
      <c r="O478" s="132">
        <f t="shared" ref="O478:O541" si="40">IF(N478="","-",L478*N478)</f>
        <v>54965.510428985246</v>
      </c>
      <c r="P478" s="134">
        <f t="shared" ref="P478:P541" si="41">IF(O478="-","-",IF(OR(E478&lt;$E$15,E478&gt;$E$16),0,O478*J478))*Q478</f>
        <v>4373.4596003224151</v>
      </c>
      <c r="Q478" s="261">
        <v>0.10205063847917481</v>
      </c>
      <c r="R478" s="94"/>
    </row>
    <row r="479" spans="1:18" x14ac:dyDescent="0.25">
      <c r="A479" s="367">
        <v>40107</v>
      </c>
      <c r="B479" s="367" t="s">
        <v>279</v>
      </c>
      <c r="C479" s="279" t="s">
        <v>486</v>
      </c>
      <c r="D479" s="159" t="s">
        <v>969</v>
      </c>
      <c r="E479" s="45">
        <f t="shared" si="37"/>
        <v>40107</v>
      </c>
      <c r="F479" s="148" t="str">
        <f t="shared" si="38"/>
        <v>2009-10</v>
      </c>
      <c r="G479" s="1"/>
      <c r="H479" s="163"/>
      <c r="I479" s="37"/>
      <c r="J479" s="138">
        <f t="shared" si="39"/>
        <v>0.77968490742404351</v>
      </c>
      <c r="K479" s="114"/>
      <c r="L479" s="37">
        <v>4.7135375051399997</v>
      </c>
      <c r="M479" s="37" t="s">
        <v>142</v>
      </c>
      <c r="N479" s="37">
        <v>771.6404230243902</v>
      </c>
      <c r="O479" s="132">
        <f t="shared" si="40"/>
        <v>3637.1560744075582</v>
      </c>
      <c r="P479" s="134">
        <f t="shared" si="41"/>
        <v>289.39884351734185</v>
      </c>
      <c r="Q479" s="261">
        <v>0.10205063847917481</v>
      </c>
      <c r="R479" s="94"/>
    </row>
    <row r="480" spans="1:18" x14ac:dyDescent="0.25">
      <c r="A480" s="367">
        <v>40107</v>
      </c>
      <c r="B480" s="367" t="s">
        <v>279</v>
      </c>
      <c r="C480" s="279" t="s">
        <v>486</v>
      </c>
      <c r="D480" s="159" t="s">
        <v>969</v>
      </c>
      <c r="E480" s="45">
        <f t="shared" si="37"/>
        <v>40107</v>
      </c>
      <c r="F480" s="148" t="str">
        <f t="shared" si="38"/>
        <v>2009-10</v>
      </c>
      <c r="G480" s="1"/>
      <c r="H480" s="163"/>
      <c r="I480" s="37"/>
      <c r="J480" s="138">
        <f t="shared" si="39"/>
        <v>0.77968490742404351</v>
      </c>
      <c r="K480" s="114"/>
      <c r="L480" s="37">
        <v>1.3458751799499999</v>
      </c>
      <c r="M480" s="37" t="s">
        <v>142</v>
      </c>
      <c r="N480" s="37">
        <v>621.96155034146341</v>
      </c>
      <c r="O480" s="132">
        <f t="shared" si="40"/>
        <v>837.08261348779797</v>
      </c>
      <c r="P480" s="134">
        <f t="shared" si="41"/>
        <v>66.604439104610606</v>
      </c>
      <c r="Q480" s="261">
        <v>0.10205063847917481</v>
      </c>
      <c r="R480" s="94"/>
    </row>
    <row r="481" spans="1:18" x14ac:dyDescent="0.25">
      <c r="A481" s="367">
        <v>40107</v>
      </c>
      <c r="B481" s="367" t="s">
        <v>279</v>
      </c>
      <c r="C481" s="279" t="s">
        <v>486</v>
      </c>
      <c r="D481" s="159" t="s">
        <v>969</v>
      </c>
      <c r="E481" s="45">
        <f t="shared" si="37"/>
        <v>40107</v>
      </c>
      <c r="F481" s="148" t="str">
        <f t="shared" si="38"/>
        <v>2009-10</v>
      </c>
      <c r="G481" s="1"/>
      <c r="H481" s="163"/>
      <c r="I481" s="37"/>
      <c r="J481" s="138">
        <f t="shared" si="39"/>
        <v>0.77968490742404351</v>
      </c>
      <c r="K481" s="114"/>
      <c r="L481" s="37">
        <v>16.585989424299999</v>
      </c>
      <c r="M481" s="37" t="s">
        <v>142</v>
      </c>
      <c r="N481" s="37">
        <v>771.6404230243902</v>
      </c>
      <c r="O481" s="132">
        <f t="shared" si="40"/>
        <v>12798.419895644913</v>
      </c>
      <c r="P481" s="134">
        <f t="shared" si="41"/>
        <v>1018.3362607699703</v>
      </c>
      <c r="Q481" s="261">
        <v>0.10205063847917481</v>
      </c>
      <c r="R481" s="94"/>
    </row>
    <row r="482" spans="1:18" x14ac:dyDescent="0.25">
      <c r="A482" s="367">
        <v>40107</v>
      </c>
      <c r="B482" s="367" t="s">
        <v>279</v>
      </c>
      <c r="C482" s="279" t="s">
        <v>486</v>
      </c>
      <c r="D482" s="159" t="s">
        <v>970</v>
      </c>
      <c r="E482" s="45">
        <f t="shared" si="37"/>
        <v>40107</v>
      </c>
      <c r="F482" s="148" t="str">
        <f t="shared" si="38"/>
        <v>2009-10</v>
      </c>
      <c r="G482" s="1"/>
      <c r="H482" s="163"/>
      <c r="I482" s="37"/>
      <c r="J482" s="138">
        <f t="shared" si="39"/>
        <v>0.77968490742404351</v>
      </c>
      <c r="K482" s="114"/>
      <c r="L482" s="37">
        <v>1.79985888336</v>
      </c>
      <c r="M482" s="37" t="s">
        <v>142</v>
      </c>
      <c r="N482" s="37">
        <v>771.6404230243902</v>
      </c>
      <c r="O482" s="132">
        <f t="shared" si="40"/>
        <v>1388.8438701401169</v>
      </c>
      <c r="P482" s="134">
        <f t="shared" si="41"/>
        <v>110.50661605445895</v>
      </c>
      <c r="Q482" s="261">
        <v>0.10205063847917481</v>
      </c>
      <c r="R482" s="94"/>
    </row>
    <row r="483" spans="1:18" x14ac:dyDescent="0.25">
      <c r="A483" s="367">
        <v>40107</v>
      </c>
      <c r="B483" s="367" t="s">
        <v>279</v>
      </c>
      <c r="C483" s="279" t="s">
        <v>486</v>
      </c>
      <c r="D483" s="159" t="s">
        <v>969</v>
      </c>
      <c r="E483" s="45">
        <f t="shared" si="37"/>
        <v>40107</v>
      </c>
      <c r="F483" s="148" t="str">
        <f t="shared" si="38"/>
        <v>2009-10</v>
      </c>
      <c r="G483" s="1"/>
      <c r="H483" s="163"/>
      <c r="I483" s="37"/>
      <c r="J483" s="138">
        <f t="shared" si="39"/>
        <v>0.77968490742404351</v>
      </c>
      <c r="K483" s="114"/>
      <c r="L483" s="37">
        <v>1.55269894055</v>
      </c>
      <c r="M483" s="37" t="s">
        <v>142</v>
      </c>
      <c r="N483" s="37">
        <v>470.74786858536584</v>
      </c>
      <c r="O483" s="132">
        <f t="shared" si="40"/>
        <v>730.92971681866823</v>
      </c>
      <c r="P483" s="134">
        <f t="shared" si="41"/>
        <v>58.158135205742049</v>
      </c>
      <c r="Q483" s="261">
        <v>0.10205063847917481</v>
      </c>
      <c r="R483" s="94"/>
    </row>
    <row r="484" spans="1:18" x14ac:dyDescent="0.25">
      <c r="A484" s="367">
        <v>40107</v>
      </c>
      <c r="B484" s="367" t="s">
        <v>279</v>
      </c>
      <c r="C484" s="279" t="s">
        <v>486</v>
      </c>
      <c r="D484" s="159" t="s">
        <v>969</v>
      </c>
      <c r="E484" s="45">
        <f t="shared" si="37"/>
        <v>40107</v>
      </c>
      <c r="F484" s="148" t="str">
        <f t="shared" si="38"/>
        <v>2009-10</v>
      </c>
      <c r="G484" s="1"/>
      <c r="H484" s="163"/>
      <c r="I484" s="37"/>
      <c r="J484" s="138">
        <f t="shared" si="39"/>
        <v>0.77968490742404351</v>
      </c>
      <c r="K484" s="114"/>
      <c r="L484" s="37">
        <v>48.949231642699999</v>
      </c>
      <c r="M484" s="37" t="s">
        <v>142</v>
      </c>
      <c r="N484" s="37">
        <v>621.96155034146341</v>
      </c>
      <c r="O484" s="132">
        <f t="shared" si="40"/>
        <v>30444.54000051711</v>
      </c>
      <c r="P484" s="134">
        <f t="shared" si="41"/>
        <v>2422.3911449833045</v>
      </c>
      <c r="Q484" s="261">
        <v>0.10205063847917481</v>
      </c>
      <c r="R484" s="94"/>
    </row>
    <row r="485" spans="1:18" x14ac:dyDescent="0.25">
      <c r="A485" s="367">
        <v>40107</v>
      </c>
      <c r="B485" s="367" t="s">
        <v>279</v>
      </c>
      <c r="C485" s="279" t="s">
        <v>486</v>
      </c>
      <c r="D485" s="159" t="s">
        <v>969</v>
      </c>
      <c r="E485" s="45">
        <f t="shared" si="37"/>
        <v>40107</v>
      </c>
      <c r="F485" s="148" t="str">
        <f t="shared" si="38"/>
        <v>2009-10</v>
      </c>
      <c r="G485" s="1"/>
      <c r="H485" s="163"/>
      <c r="I485" s="37"/>
      <c r="J485" s="138">
        <f t="shared" si="39"/>
        <v>0.77968490742404351</v>
      </c>
      <c r="K485" s="114"/>
      <c r="L485" s="37">
        <v>20.781025339300001</v>
      </c>
      <c r="M485" s="37" t="s">
        <v>142</v>
      </c>
      <c r="N485" s="37">
        <v>621.96155034146341</v>
      </c>
      <c r="O485" s="132">
        <f t="shared" si="40"/>
        <v>12924.998737716265</v>
      </c>
      <c r="P485" s="134">
        <f t="shared" si="41"/>
        <v>1028.4078028648969</v>
      </c>
      <c r="Q485" s="261">
        <v>0.10205063847917481</v>
      </c>
      <c r="R485" s="94"/>
    </row>
    <row r="486" spans="1:18" x14ac:dyDescent="0.25">
      <c r="A486" s="367">
        <v>40107</v>
      </c>
      <c r="B486" s="367" t="s">
        <v>279</v>
      </c>
      <c r="C486" s="279" t="s">
        <v>486</v>
      </c>
      <c r="D486" s="159" t="s">
        <v>969</v>
      </c>
      <c r="E486" s="45">
        <f t="shared" si="37"/>
        <v>40107</v>
      </c>
      <c r="F486" s="148" t="str">
        <f t="shared" si="38"/>
        <v>2009-10</v>
      </c>
      <c r="G486" s="1"/>
      <c r="H486" s="163"/>
      <c r="I486" s="37"/>
      <c r="J486" s="138">
        <f t="shared" si="39"/>
        <v>0.77968490742404351</v>
      </c>
      <c r="K486" s="114"/>
      <c r="L486" s="37">
        <v>3.3015500904900001</v>
      </c>
      <c r="M486" s="37" t="s">
        <v>142</v>
      </c>
      <c r="N486" s="37">
        <v>621.96155034146341</v>
      </c>
      <c r="O486" s="132">
        <f t="shared" si="40"/>
        <v>2053.4372128111595</v>
      </c>
      <c r="P486" s="134">
        <f t="shared" si="41"/>
        <v>163.38654225054677</v>
      </c>
      <c r="Q486" s="261">
        <v>0.10205063847917481</v>
      </c>
      <c r="R486" s="94"/>
    </row>
    <row r="487" spans="1:18" x14ac:dyDescent="0.25">
      <c r="A487" s="367">
        <v>40107</v>
      </c>
      <c r="B487" s="367" t="s">
        <v>279</v>
      </c>
      <c r="C487" s="279" t="s">
        <v>486</v>
      </c>
      <c r="D487" s="159" t="s">
        <v>969</v>
      </c>
      <c r="E487" s="45">
        <f t="shared" si="37"/>
        <v>40107</v>
      </c>
      <c r="F487" s="148" t="str">
        <f t="shared" si="38"/>
        <v>2009-10</v>
      </c>
      <c r="G487" s="1"/>
      <c r="H487" s="163"/>
      <c r="I487" s="37"/>
      <c r="J487" s="138">
        <f t="shared" si="39"/>
        <v>0.77968490742404351</v>
      </c>
      <c r="K487" s="114"/>
      <c r="L487" s="37">
        <v>2.6968489019600002</v>
      </c>
      <c r="M487" s="37" t="s">
        <v>142</v>
      </c>
      <c r="N487" s="37">
        <v>621.96155034146341</v>
      </c>
      <c r="O487" s="132">
        <f t="shared" si="40"/>
        <v>1677.3363240997151</v>
      </c>
      <c r="P487" s="134">
        <f t="shared" si="41"/>
        <v>133.46119398056209</v>
      </c>
      <c r="Q487" s="261">
        <v>0.10205063847917481</v>
      </c>
      <c r="R487" s="94"/>
    </row>
    <row r="488" spans="1:18" x14ac:dyDescent="0.25">
      <c r="A488" s="367">
        <v>43108</v>
      </c>
      <c r="B488" s="367" t="s">
        <v>279</v>
      </c>
      <c r="C488" s="279" t="s">
        <v>487</v>
      </c>
      <c r="D488" s="159" t="s">
        <v>971</v>
      </c>
      <c r="E488" s="45">
        <f t="shared" si="37"/>
        <v>43108</v>
      </c>
      <c r="F488" s="148" t="str">
        <f t="shared" si="38"/>
        <v>2017-18</v>
      </c>
      <c r="G488" s="1"/>
      <c r="H488" s="163"/>
      <c r="I488" s="37"/>
      <c r="J488" s="138">
        <f t="shared" si="39"/>
        <v>0.77968490742404351</v>
      </c>
      <c r="K488" s="114"/>
      <c r="L488" s="37">
        <v>28.911698564999998</v>
      </c>
      <c r="M488" s="37" t="s">
        <v>142</v>
      </c>
      <c r="N488" s="37">
        <v>696.6467060487804</v>
      </c>
      <c r="O488" s="132">
        <f t="shared" si="40"/>
        <v>20141.239571582501</v>
      </c>
      <c r="P488" s="134">
        <f t="shared" si="41"/>
        <v>666.92662737009914</v>
      </c>
      <c r="Q488" s="261">
        <v>4.2469068397241558E-2</v>
      </c>
      <c r="R488" s="94"/>
    </row>
    <row r="489" spans="1:18" x14ac:dyDescent="0.25">
      <c r="A489" s="367">
        <v>43108</v>
      </c>
      <c r="B489" s="367" t="s">
        <v>279</v>
      </c>
      <c r="C489" s="279" t="s">
        <v>487</v>
      </c>
      <c r="D489" s="159" t="s">
        <v>971</v>
      </c>
      <c r="E489" s="45">
        <f t="shared" si="37"/>
        <v>43108</v>
      </c>
      <c r="F489" s="148" t="str">
        <f t="shared" si="38"/>
        <v>2017-18</v>
      </c>
      <c r="G489" s="1"/>
      <c r="H489" s="163"/>
      <c r="I489" s="37"/>
      <c r="J489" s="138">
        <f t="shared" si="39"/>
        <v>0.77968490742404351</v>
      </c>
      <c r="K489" s="114"/>
      <c r="L489" s="37">
        <v>6.3638657594100003</v>
      </c>
      <c r="M489" s="37" t="s">
        <v>142</v>
      </c>
      <c r="N489" s="37">
        <v>1003.0093919999996</v>
      </c>
      <c r="O489" s="132">
        <f t="shared" si="40"/>
        <v>6383.0171261154401</v>
      </c>
      <c r="P489" s="134">
        <f t="shared" si="41"/>
        <v>211.35760136491336</v>
      </c>
      <c r="Q489" s="261">
        <v>4.2469068397241558E-2</v>
      </c>
      <c r="R489" s="94"/>
    </row>
    <row r="490" spans="1:18" x14ac:dyDescent="0.25">
      <c r="A490" s="367">
        <v>43108</v>
      </c>
      <c r="B490" s="367" t="s">
        <v>279</v>
      </c>
      <c r="C490" s="279" t="s">
        <v>487</v>
      </c>
      <c r="D490" s="159" t="s">
        <v>971</v>
      </c>
      <c r="E490" s="45">
        <f t="shared" si="37"/>
        <v>43108</v>
      </c>
      <c r="F490" s="148" t="str">
        <f t="shared" si="38"/>
        <v>2017-18</v>
      </c>
      <c r="G490" s="1"/>
      <c r="H490" s="163"/>
      <c r="I490" s="37"/>
      <c r="J490" s="138">
        <f t="shared" si="39"/>
        <v>0.77968490742404351</v>
      </c>
      <c r="K490" s="114"/>
      <c r="L490" s="37">
        <v>2.8569205114099998</v>
      </c>
      <c r="M490" s="37" t="s">
        <v>142</v>
      </c>
      <c r="N490" s="37">
        <v>696.6467060487804</v>
      </c>
      <c r="O490" s="132">
        <f t="shared" si="40"/>
        <v>1990.2642637169736</v>
      </c>
      <c r="P490" s="134">
        <f t="shared" si="41"/>
        <v>65.902608836885193</v>
      </c>
      <c r="Q490" s="261">
        <v>4.2469068397241558E-2</v>
      </c>
      <c r="R490" s="94"/>
    </row>
    <row r="491" spans="1:18" x14ac:dyDescent="0.25">
      <c r="A491" s="367">
        <v>42995</v>
      </c>
      <c r="B491" s="367" t="s">
        <v>279</v>
      </c>
      <c r="C491" s="279" t="s">
        <v>488</v>
      </c>
      <c r="D491" s="159" t="s">
        <v>971</v>
      </c>
      <c r="E491" s="45">
        <f t="shared" si="37"/>
        <v>42995</v>
      </c>
      <c r="F491" s="148" t="str">
        <f t="shared" si="38"/>
        <v>2017-18</v>
      </c>
      <c r="G491" s="1"/>
      <c r="H491" s="163"/>
      <c r="I491" s="37"/>
      <c r="J491" s="138">
        <f t="shared" si="39"/>
        <v>0.77968490742404351</v>
      </c>
      <c r="K491" s="114"/>
      <c r="L491" s="37">
        <v>100.81839687199999</v>
      </c>
      <c r="M491" s="37" t="s">
        <v>142</v>
      </c>
      <c r="N491" s="37">
        <v>1128.7084557073169</v>
      </c>
      <c r="O491" s="132">
        <f t="shared" si="40"/>
        <v>113794.5770402825</v>
      </c>
      <c r="P491" s="134">
        <f t="shared" si="41"/>
        <v>47917.941555496953</v>
      </c>
      <c r="Q491" s="261">
        <v>0.54007921035100082</v>
      </c>
      <c r="R491" s="94"/>
    </row>
    <row r="492" spans="1:18" x14ac:dyDescent="0.25">
      <c r="A492" s="367">
        <v>42995</v>
      </c>
      <c r="B492" s="367" t="s">
        <v>279</v>
      </c>
      <c r="C492" s="279" t="s">
        <v>488</v>
      </c>
      <c r="D492" s="159" t="s">
        <v>971</v>
      </c>
      <c r="E492" s="45">
        <f t="shared" si="37"/>
        <v>42995</v>
      </c>
      <c r="F492" s="148" t="str">
        <f t="shared" si="38"/>
        <v>2017-18</v>
      </c>
      <c r="G492" s="1"/>
      <c r="H492" s="163"/>
      <c r="I492" s="37"/>
      <c r="J492" s="138">
        <f t="shared" si="39"/>
        <v>0.77968490742404351</v>
      </c>
      <c r="K492" s="114"/>
      <c r="L492" s="37">
        <v>46.303245588700001</v>
      </c>
      <c r="M492" s="37" t="s">
        <v>142</v>
      </c>
      <c r="N492" s="37">
        <v>1128.7084557073169</v>
      </c>
      <c r="O492" s="132">
        <f t="shared" si="40"/>
        <v>52262.864822658215</v>
      </c>
      <c r="P492" s="134">
        <f t="shared" si="41"/>
        <v>22007.453845612159</v>
      </c>
      <c r="Q492" s="261">
        <v>0.54007921035100082</v>
      </c>
      <c r="R492" s="94"/>
    </row>
    <row r="493" spans="1:18" x14ac:dyDescent="0.25">
      <c r="A493" s="367">
        <v>42995</v>
      </c>
      <c r="B493" s="367" t="s">
        <v>279</v>
      </c>
      <c r="C493" s="279" t="s">
        <v>488</v>
      </c>
      <c r="D493" s="159" t="s">
        <v>971</v>
      </c>
      <c r="E493" s="45">
        <f t="shared" si="37"/>
        <v>42995</v>
      </c>
      <c r="F493" s="148" t="str">
        <f t="shared" si="38"/>
        <v>2017-18</v>
      </c>
      <c r="G493" s="1"/>
      <c r="H493" s="163"/>
      <c r="I493" s="37"/>
      <c r="J493" s="138">
        <f t="shared" si="39"/>
        <v>0.77968490742404351</v>
      </c>
      <c r="K493" s="114"/>
      <c r="L493" s="37">
        <v>1.5332087268200001</v>
      </c>
      <c r="M493" s="37" t="s">
        <v>142</v>
      </c>
      <c r="N493" s="37">
        <v>514.18436487804865</v>
      </c>
      <c r="O493" s="132">
        <f t="shared" si="40"/>
        <v>788.3519554254234</v>
      </c>
      <c r="P493" s="134">
        <f t="shared" si="41"/>
        <v>331.96839346627792</v>
      </c>
      <c r="Q493" s="261">
        <v>0.54007921035100082</v>
      </c>
      <c r="R493" s="94"/>
    </row>
    <row r="494" spans="1:18" x14ac:dyDescent="0.25">
      <c r="A494" s="367">
        <v>42995</v>
      </c>
      <c r="B494" s="367" t="s">
        <v>279</v>
      </c>
      <c r="C494" s="279" t="s">
        <v>488</v>
      </c>
      <c r="D494" s="159" t="s">
        <v>971</v>
      </c>
      <c r="E494" s="45">
        <f t="shared" si="37"/>
        <v>42995</v>
      </c>
      <c r="F494" s="148" t="str">
        <f t="shared" si="38"/>
        <v>2017-18</v>
      </c>
      <c r="G494" s="1"/>
      <c r="H494" s="163"/>
      <c r="I494" s="37"/>
      <c r="J494" s="138">
        <f t="shared" si="39"/>
        <v>0.77968490742404351</v>
      </c>
      <c r="K494" s="114"/>
      <c r="L494" s="37">
        <v>1.53242291813</v>
      </c>
      <c r="M494" s="37" t="s">
        <v>142</v>
      </c>
      <c r="N494" s="37">
        <v>514.18436487804865</v>
      </c>
      <c r="O494" s="132">
        <f t="shared" si="40"/>
        <v>787.94790488323997</v>
      </c>
      <c r="P494" s="134">
        <f t="shared" si="41"/>
        <v>331.79825117330239</v>
      </c>
      <c r="Q494" s="261">
        <v>0.54007921035100082</v>
      </c>
      <c r="R494" s="94"/>
    </row>
    <row r="495" spans="1:18" x14ac:dyDescent="0.25">
      <c r="A495" s="367">
        <v>42995</v>
      </c>
      <c r="B495" s="367" t="s">
        <v>279</v>
      </c>
      <c r="C495" s="279" t="s">
        <v>488</v>
      </c>
      <c r="D495" s="159" t="s">
        <v>971</v>
      </c>
      <c r="E495" s="45">
        <f t="shared" si="37"/>
        <v>42995</v>
      </c>
      <c r="F495" s="148" t="str">
        <f t="shared" si="38"/>
        <v>2017-18</v>
      </c>
      <c r="G495" s="1"/>
      <c r="H495" s="163"/>
      <c r="I495" s="37"/>
      <c r="J495" s="138">
        <f t="shared" si="39"/>
        <v>0.77968490742404351</v>
      </c>
      <c r="K495" s="114"/>
      <c r="L495" s="37">
        <v>7.9994486059999996</v>
      </c>
      <c r="M495" s="37" t="s">
        <v>142</v>
      </c>
      <c r="N495" s="37">
        <v>771.6404230243902</v>
      </c>
      <c r="O495" s="132">
        <f t="shared" si="40"/>
        <v>6172.697906295708</v>
      </c>
      <c r="P495" s="134">
        <f t="shared" si="41"/>
        <v>2599.2712939994585</v>
      </c>
      <c r="Q495" s="261">
        <v>0.54007921035100082</v>
      </c>
      <c r="R495" s="94"/>
    </row>
    <row r="496" spans="1:18" x14ac:dyDescent="0.25">
      <c r="A496" s="367">
        <v>42995</v>
      </c>
      <c r="B496" s="367" t="s">
        <v>279</v>
      </c>
      <c r="C496" s="279" t="s">
        <v>488</v>
      </c>
      <c r="D496" s="159" t="s">
        <v>971</v>
      </c>
      <c r="E496" s="45">
        <f t="shared" si="37"/>
        <v>42995</v>
      </c>
      <c r="F496" s="148" t="str">
        <f t="shared" si="38"/>
        <v>2017-18</v>
      </c>
      <c r="G496" s="1"/>
      <c r="H496" s="163"/>
      <c r="I496" s="37"/>
      <c r="J496" s="138">
        <f t="shared" si="39"/>
        <v>0.77968490742404351</v>
      </c>
      <c r="K496" s="114"/>
      <c r="L496" s="37">
        <v>2.5368548880100001</v>
      </c>
      <c r="M496" s="37" t="s">
        <v>142</v>
      </c>
      <c r="N496" s="37">
        <v>1128.7084557073169</v>
      </c>
      <c r="O496" s="132">
        <f t="shared" si="40"/>
        <v>2863.3695629993258</v>
      </c>
      <c r="P496" s="134">
        <f t="shared" si="41"/>
        <v>1205.7408968005593</v>
      </c>
      <c r="Q496" s="261">
        <v>0.54007921035100082</v>
      </c>
      <c r="R496" s="94"/>
    </row>
    <row r="497" spans="1:18" x14ac:dyDescent="0.25">
      <c r="A497" s="367">
        <v>42995</v>
      </c>
      <c r="B497" s="367" t="s">
        <v>279</v>
      </c>
      <c r="C497" s="279" t="s">
        <v>488</v>
      </c>
      <c r="D497" s="159" t="s">
        <v>971</v>
      </c>
      <c r="E497" s="45">
        <f t="shared" si="37"/>
        <v>42995</v>
      </c>
      <c r="F497" s="148" t="str">
        <f t="shared" si="38"/>
        <v>2017-18</v>
      </c>
      <c r="G497" s="1"/>
      <c r="H497" s="163"/>
      <c r="I497" s="37"/>
      <c r="J497" s="138">
        <f t="shared" si="39"/>
        <v>0.77968490742404351</v>
      </c>
      <c r="K497" s="114"/>
      <c r="L497" s="37">
        <v>1.53242291813</v>
      </c>
      <c r="M497" s="37" t="s">
        <v>142</v>
      </c>
      <c r="N497" s="37">
        <v>470.74786858536584</v>
      </c>
      <c r="O497" s="132">
        <f t="shared" si="40"/>
        <v>721.38482248106402</v>
      </c>
      <c r="P497" s="134">
        <f t="shared" si="41"/>
        <v>303.76909569630538</v>
      </c>
      <c r="Q497" s="261">
        <v>0.54007921035100082</v>
      </c>
      <c r="R497" s="94"/>
    </row>
    <row r="498" spans="1:18" x14ac:dyDescent="0.25">
      <c r="A498" s="367">
        <v>42995</v>
      </c>
      <c r="B498" s="367" t="s">
        <v>279</v>
      </c>
      <c r="C498" s="279" t="s">
        <v>488</v>
      </c>
      <c r="D498" s="159" t="s">
        <v>971</v>
      </c>
      <c r="E498" s="45">
        <f t="shared" si="37"/>
        <v>42995</v>
      </c>
      <c r="F498" s="148" t="str">
        <f t="shared" si="38"/>
        <v>2017-18</v>
      </c>
      <c r="G498" s="1"/>
      <c r="H498" s="163"/>
      <c r="I498" s="37"/>
      <c r="J498" s="138">
        <f t="shared" si="39"/>
        <v>0.77968490742404351</v>
      </c>
      <c r="K498" s="114"/>
      <c r="L498" s="37">
        <v>6.41006791602</v>
      </c>
      <c r="M498" s="37" t="s">
        <v>142</v>
      </c>
      <c r="N498" s="37">
        <v>771.6404230243902</v>
      </c>
      <c r="O498" s="132">
        <f t="shared" si="40"/>
        <v>4946.2675183327437</v>
      </c>
      <c r="P498" s="134">
        <f t="shared" si="41"/>
        <v>2082.8317484533532</v>
      </c>
      <c r="Q498" s="261">
        <v>0.54007921035100082</v>
      </c>
      <c r="R498" s="94"/>
    </row>
    <row r="499" spans="1:18" x14ac:dyDescent="0.25">
      <c r="A499" s="367">
        <v>43108</v>
      </c>
      <c r="B499" s="367" t="s">
        <v>279</v>
      </c>
      <c r="C499" s="279" t="s">
        <v>487</v>
      </c>
      <c r="D499" s="159" t="s">
        <v>971</v>
      </c>
      <c r="E499" s="45">
        <f t="shared" si="37"/>
        <v>43108</v>
      </c>
      <c r="F499" s="148" t="str">
        <f t="shared" si="38"/>
        <v>2017-18</v>
      </c>
      <c r="G499" s="1"/>
      <c r="H499" s="163"/>
      <c r="I499" s="37"/>
      <c r="J499" s="138">
        <f t="shared" si="39"/>
        <v>0.77968490742404351</v>
      </c>
      <c r="K499" s="114"/>
      <c r="L499" s="37">
        <v>19.396517523899998</v>
      </c>
      <c r="M499" s="37" t="s">
        <v>142</v>
      </c>
      <c r="N499" s="37">
        <v>696.6467060487804</v>
      </c>
      <c r="O499" s="132">
        <f t="shared" si="40"/>
        <v>13512.520041842379</v>
      </c>
      <c r="P499" s="134">
        <f t="shared" si="41"/>
        <v>447.4332072139066</v>
      </c>
      <c r="Q499" s="261">
        <v>4.2469068397241558E-2</v>
      </c>
      <c r="R499" s="94"/>
    </row>
    <row r="500" spans="1:18" x14ac:dyDescent="0.25">
      <c r="A500" s="367">
        <v>42995</v>
      </c>
      <c r="B500" s="367" t="s">
        <v>279</v>
      </c>
      <c r="C500" s="279" t="s">
        <v>488</v>
      </c>
      <c r="D500" s="159" t="s">
        <v>971</v>
      </c>
      <c r="E500" s="45">
        <f t="shared" si="37"/>
        <v>42995</v>
      </c>
      <c r="F500" s="148" t="str">
        <f t="shared" si="38"/>
        <v>2017-18</v>
      </c>
      <c r="G500" s="1"/>
      <c r="H500" s="163"/>
      <c r="I500" s="37"/>
      <c r="J500" s="138">
        <f t="shared" si="39"/>
        <v>0.77968490742404351</v>
      </c>
      <c r="K500" s="114"/>
      <c r="L500" s="37">
        <v>7.01963509548</v>
      </c>
      <c r="M500" s="37" t="s">
        <v>142</v>
      </c>
      <c r="N500" s="37">
        <v>621.96155034146341</v>
      </c>
      <c r="O500" s="132">
        <f t="shared" si="40"/>
        <v>4365.943126816087</v>
      </c>
      <c r="P500" s="134">
        <f t="shared" si="41"/>
        <v>1838.4620166155989</v>
      </c>
      <c r="Q500" s="261">
        <v>0.54007921035100082</v>
      </c>
      <c r="R500" s="94"/>
    </row>
    <row r="501" spans="1:18" x14ac:dyDescent="0.25">
      <c r="A501" s="367">
        <v>42995</v>
      </c>
      <c r="B501" s="367" t="s">
        <v>279</v>
      </c>
      <c r="C501" s="279" t="s">
        <v>488</v>
      </c>
      <c r="D501" s="159" t="s">
        <v>972</v>
      </c>
      <c r="E501" s="45">
        <f t="shared" si="37"/>
        <v>42995</v>
      </c>
      <c r="F501" s="148" t="str">
        <f t="shared" si="38"/>
        <v>2017-18</v>
      </c>
      <c r="G501" s="1"/>
      <c r="H501" s="163"/>
      <c r="I501" s="37"/>
      <c r="J501" s="138">
        <f t="shared" si="39"/>
        <v>0.77968490742404351</v>
      </c>
      <c r="K501" s="114"/>
      <c r="L501" s="37">
        <v>8.2882474021999997</v>
      </c>
      <c r="M501" s="37" t="s">
        <v>142</v>
      </c>
      <c r="N501" s="37">
        <v>621.96155034146341</v>
      </c>
      <c r="O501" s="132">
        <f t="shared" si="40"/>
        <v>5154.9712038859188</v>
      </c>
      <c r="P501" s="134">
        <f t="shared" si="41"/>
        <v>2170.7151192330844</v>
      </c>
      <c r="Q501" s="261">
        <v>0.54007921035100082</v>
      </c>
      <c r="R501" s="94"/>
    </row>
    <row r="502" spans="1:18" x14ac:dyDescent="0.25">
      <c r="A502" s="367">
        <v>42995</v>
      </c>
      <c r="B502" s="367" t="s">
        <v>279</v>
      </c>
      <c r="C502" s="279" t="s">
        <v>488</v>
      </c>
      <c r="D502" s="159" t="s">
        <v>972</v>
      </c>
      <c r="E502" s="45">
        <f t="shared" si="37"/>
        <v>42995</v>
      </c>
      <c r="F502" s="148" t="str">
        <f t="shared" si="38"/>
        <v>2017-18</v>
      </c>
      <c r="G502" s="1"/>
      <c r="H502" s="163"/>
      <c r="I502" s="37"/>
      <c r="J502" s="138">
        <f t="shared" si="39"/>
        <v>0.77968490742404351</v>
      </c>
      <c r="K502" s="114"/>
      <c r="L502" s="37">
        <v>1.9995524499199999</v>
      </c>
      <c r="M502" s="37" t="s">
        <v>142</v>
      </c>
      <c r="N502" s="37">
        <v>621.96155034146341</v>
      </c>
      <c r="O502" s="132">
        <f t="shared" si="40"/>
        <v>1243.6447417413144</v>
      </c>
      <c r="P502" s="134">
        <f t="shared" si="41"/>
        <v>523.68836547866363</v>
      </c>
      <c r="Q502" s="261">
        <v>0.54007921035100082</v>
      </c>
      <c r="R502" s="94"/>
    </row>
    <row r="503" spans="1:18" x14ac:dyDescent="0.25">
      <c r="A503" s="367">
        <v>43108</v>
      </c>
      <c r="B503" s="367" t="s">
        <v>279</v>
      </c>
      <c r="C503" s="279" t="s">
        <v>487</v>
      </c>
      <c r="D503" s="159" t="s">
        <v>971</v>
      </c>
      <c r="E503" s="45">
        <f t="shared" si="37"/>
        <v>43108</v>
      </c>
      <c r="F503" s="148" t="str">
        <f t="shared" si="38"/>
        <v>2017-18</v>
      </c>
      <c r="G503" s="1"/>
      <c r="H503" s="163"/>
      <c r="I503" s="37"/>
      <c r="J503" s="138">
        <f t="shared" si="39"/>
        <v>0.77968490742404351</v>
      </c>
      <c r="K503" s="114"/>
      <c r="L503" s="37">
        <v>39.893433360800003</v>
      </c>
      <c r="M503" s="37" t="s">
        <v>142</v>
      </c>
      <c r="N503" s="37">
        <v>696.6467060487804</v>
      </c>
      <c r="O503" s="132">
        <f t="shared" si="40"/>
        <v>27791.628943777851</v>
      </c>
      <c r="P503" s="134">
        <f t="shared" si="41"/>
        <v>920.25008166558916</v>
      </c>
      <c r="Q503" s="261">
        <v>4.2469068397241558E-2</v>
      </c>
      <c r="R503" s="94"/>
    </row>
    <row r="504" spans="1:18" x14ac:dyDescent="0.25">
      <c r="A504" s="367">
        <v>43108</v>
      </c>
      <c r="B504" s="367" t="s">
        <v>279</v>
      </c>
      <c r="C504" s="279" t="s">
        <v>487</v>
      </c>
      <c r="D504" s="159" t="s">
        <v>971</v>
      </c>
      <c r="E504" s="45">
        <f t="shared" si="37"/>
        <v>43108</v>
      </c>
      <c r="F504" s="148" t="str">
        <f t="shared" si="38"/>
        <v>2017-18</v>
      </c>
      <c r="G504" s="1"/>
      <c r="H504" s="163"/>
      <c r="I504" s="37"/>
      <c r="J504" s="138">
        <f t="shared" si="39"/>
        <v>0.77968490742404351</v>
      </c>
      <c r="K504" s="114"/>
      <c r="L504" s="37">
        <v>5.4586181401499996</v>
      </c>
      <c r="M504" s="37" t="s">
        <v>142</v>
      </c>
      <c r="N504" s="37">
        <v>1003.0093919999996</v>
      </c>
      <c r="O504" s="132">
        <f t="shared" si="40"/>
        <v>5475.0452619120197</v>
      </c>
      <c r="P504" s="134">
        <f t="shared" si="41"/>
        <v>181.29239058242973</v>
      </c>
      <c r="Q504" s="261">
        <v>4.2469068397241558E-2</v>
      </c>
      <c r="R504" s="94"/>
    </row>
    <row r="505" spans="1:18" x14ac:dyDescent="0.25">
      <c r="A505" s="367">
        <v>38766</v>
      </c>
      <c r="B505" s="367" t="s">
        <v>279</v>
      </c>
      <c r="C505" s="279" t="s">
        <v>489</v>
      </c>
      <c r="D505" s="159" t="s">
        <v>973</v>
      </c>
      <c r="E505" s="45">
        <f t="shared" si="37"/>
        <v>38766</v>
      </c>
      <c r="F505" s="148" t="str">
        <f t="shared" si="38"/>
        <v>2005-06</v>
      </c>
      <c r="G505" s="1"/>
      <c r="H505" s="163"/>
      <c r="I505" s="37"/>
      <c r="J505" s="138">
        <f t="shared" si="39"/>
        <v>0.77968490742404351</v>
      </c>
      <c r="K505" s="114"/>
      <c r="L505" s="37">
        <v>63.096072815699998</v>
      </c>
      <c r="M505" s="37" t="s">
        <v>142</v>
      </c>
      <c r="N505" s="37">
        <v>514.18436487804865</v>
      </c>
      <c r="O505" s="132">
        <f t="shared" si="40"/>
        <v>32443.014127039813</v>
      </c>
      <c r="P505" s="134">
        <f t="shared" si="41"/>
        <v>775.31971933413172</v>
      </c>
      <c r="Q505" s="261">
        <v>3.0650707713488989E-2</v>
      </c>
      <c r="R505" s="94"/>
    </row>
    <row r="506" spans="1:18" x14ac:dyDescent="0.25">
      <c r="A506" s="367">
        <v>38766</v>
      </c>
      <c r="B506" s="367" t="s">
        <v>279</v>
      </c>
      <c r="C506" s="279" t="s">
        <v>489</v>
      </c>
      <c r="D506" s="159" t="s">
        <v>973</v>
      </c>
      <c r="E506" s="45">
        <f t="shared" si="37"/>
        <v>38766</v>
      </c>
      <c r="F506" s="148" t="str">
        <f t="shared" si="38"/>
        <v>2005-06</v>
      </c>
      <c r="G506" s="1"/>
      <c r="H506" s="163"/>
      <c r="I506" s="37"/>
      <c r="J506" s="138">
        <f t="shared" si="39"/>
        <v>0.77968490742404351</v>
      </c>
      <c r="K506" s="114"/>
      <c r="L506" s="37">
        <v>2.9995696357999999</v>
      </c>
      <c r="M506" s="37" t="s">
        <v>142</v>
      </c>
      <c r="N506" s="37">
        <v>514.18436487804865</v>
      </c>
      <c r="O506" s="132">
        <f t="shared" si="40"/>
        <v>1542.3318080913027</v>
      </c>
      <c r="P506" s="134">
        <f t="shared" si="41"/>
        <v>36.858482380427361</v>
      </c>
      <c r="Q506" s="261">
        <v>3.0650707713488989E-2</v>
      </c>
      <c r="R506" s="94"/>
    </row>
    <row r="507" spans="1:18" x14ac:dyDescent="0.25">
      <c r="A507" s="367">
        <v>38718</v>
      </c>
      <c r="B507" s="367" t="s">
        <v>279</v>
      </c>
      <c r="C507" s="279" t="s">
        <v>490</v>
      </c>
      <c r="D507" s="159" t="s">
        <v>974</v>
      </c>
      <c r="E507" s="45">
        <f t="shared" si="37"/>
        <v>38718</v>
      </c>
      <c r="F507" s="148" t="str">
        <f t="shared" si="38"/>
        <v>2005-06</v>
      </c>
      <c r="G507" s="1"/>
      <c r="H507" s="163"/>
      <c r="I507" s="37"/>
      <c r="J507" s="138">
        <f t="shared" si="39"/>
        <v>0.77968490742404351</v>
      </c>
      <c r="K507" s="114"/>
      <c r="L507" s="37">
        <v>508.11165588400002</v>
      </c>
      <c r="M507" s="37" t="s">
        <v>142</v>
      </c>
      <c r="N507" s="37">
        <v>1181.2618378536583</v>
      </c>
      <c r="O507" s="132">
        <f t="shared" si="40"/>
        <v>600212.90846439952</v>
      </c>
      <c r="P507" s="134">
        <f t="shared" si="41"/>
        <v>467976.94597078121</v>
      </c>
      <c r="Q507" s="261">
        <v>1</v>
      </c>
      <c r="R507" s="94"/>
    </row>
    <row r="508" spans="1:18" x14ac:dyDescent="0.25">
      <c r="A508" s="367">
        <v>39070</v>
      </c>
      <c r="B508" s="367" t="s">
        <v>279</v>
      </c>
      <c r="C508" s="279" t="s">
        <v>491</v>
      </c>
      <c r="D508" s="159" t="s">
        <v>975</v>
      </c>
      <c r="E508" s="45">
        <f t="shared" si="37"/>
        <v>39070</v>
      </c>
      <c r="F508" s="148" t="str">
        <f t="shared" si="38"/>
        <v>2006-07</v>
      </c>
      <c r="G508" s="1"/>
      <c r="H508" s="163"/>
      <c r="I508" s="37"/>
      <c r="J508" s="138">
        <f t="shared" si="39"/>
        <v>0.77968490742404351</v>
      </c>
      <c r="K508" s="114"/>
      <c r="L508" s="37">
        <v>1.9776450642100001</v>
      </c>
      <c r="M508" s="37" t="s">
        <v>142</v>
      </c>
      <c r="N508" s="37">
        <v>514.18436487804865</v>
      </c>
      <c r="O508" s="132">
        <f t="shared" si="40"/>
        <v>1016.8741712950266</v>
      </c>
      <c r="P508" s="134">
        <f t="shared" si="41"/>
        <v>759.33739603217282</v>
      </c>
      <c r="Q508" s="261">
        <v>0.95774180534472109</v>
      </c>
      <c r="R508" s="94"/>
    </row>
    <row r="509" spans="1:18" x14ac:dyDescent="0.25">
      <c r="A509" s="367">
        <v>38718</v>
      </c>
      <c r="B509" s="367" t="s">
        <v>279</v>
      </c>
      <c r="C509" s="279" t="s">
        <v>490</v>
      </c>
      <c r="D509" s="159" t="s">
        <v>974</v>
      </c>
      <c r="E509" s="45">
        <f t="shared" si="37"/>
        <v>38718</v>
      </c>
      <c r="F509" s="148" t="str">
        <f t="shared" si="38"/>
        <v>2005-06</v>
      </c>
      <c r="G509" s="1"/>
      <c r="H509" s="163"/>
      <c r="I509" s="37"/>
      <c r="J509" s="138">
        <f t="shared" si="39"/>
        <v>0.77968490742404351</v>
      </c>
      <c r="K509" s="114"/>
      <c r="L509" s="37">
        <v>665.25838657099996</v>
      </c>
      <c r="M509" s="37" t="s">
        <v>142</v>
      </c>
      <c r="N509" s="37">
        <v>1181.2618378536583</v>
      </c>
      <c r="O509" s="132">
        <f t="shared" si="40"/>
        <v>785844.34436841891</v>
      </c>
      <c r="P509" s="134">
        <f t="shared" si="41"/>
        <v>612710.9748885989</v>
      </c>
      <c r="Q509" s="261">
        <v>1</v>
      </c>
      <c r="R509" s="94"/>
    </row>
    <row r="510" spans="1:18" x14ac:dyDescent="0.25">
      <c r="A510" s="367">
        <v>38718</v>
      </c>
      <c r="B510" s="367" t="s">
        <v>279</v>
      </c>
      <c r="C510" s="279" t="s">
        <v>490</v>
      </c>
      <c r="D510" s="159" t="s">
        <v>974</v>
      </c>
      <c r="E510" s="45">
        <f t="shared" si="37"/>
        <v>38718</v>
      </c>
      <c r="F510" s="148" t="str">
        <f t="shared" si="38"/>
        <v>2005-06</v>
      </c>
      <c r="G510" s="1"/>
      <c r="H510" s="163"/>
      <c r="I510" s="37"/>
      <c r="J510" s="138">
        <f t="shared" si="39"/>
        <v>0.77968490742404351</v>
      </c>
      <c r="K510" s="114"/>
      <c r="L510" s="37">
        <v>151.568044066</v>
      </c>
      <c r="M510" s="37" t="s">
        <v>142</v>
      </c>
      <c r="N510" s="37">
        <v>1181.2618378536583</v>
      </c>
      <c r="O510" s="132">
        <f t="shared" si="40"/>
        <v>179041.54629328742</v>
      </c>
      <c r="P510" s="134">
        <f t="shared" si="41"/>
        <v>139595.99144673941</v>
      </c>
      <c r="Q510" s="261">
        <v>1</v>
      </c>
      <c r="R510" s="94"/>
    </row>
    <row r="511" spans="1:18" x14ac:dyDescent="0.25">
      <c r="A511" s="367">
        <v>38718</v>
      </c>
      <c r="B511" s="367" t="s">
        <v>279</v>
      </c>
      <c r="C511" s="279" t="s">
        <v>490</v>
      </c>
      <c r="D511" s="159" t="s">
        <v>976</v>
      </c>
      <c r="E511" s="45">
        <f t="shared" si="37"/>
        <v>38718</v>
      </c>
      <c r="F511" s="148" t="str">
        <f t="shared" si="38"/>
        <v>2005-06</v>
      </c>
      <c r="G511" s="1"/>
      <c r="H511" s="163"/>
      <c r="I511" s="37"/>
      <c r="J511" s="138">
        <f t="shared" si="39"/>
        <v>0.77968490742404351</v>
      </c>
      <c r="K511" s="114"/>
      <c r="L511" s="37">
        <v>187.84988693700001</v>
      </c>
      <c r="M511" s="37" t="s">
        <v>142</v>
      </c>
      <c r="N511" s="37">
        <v>1181.2618378536583</v>
      </c>
      <c r="O511" s="132">
        <f t="shared" si="40"/>
        <v>221899.90268380256</v>
      </c>
      <c r="P511" s="134">
        <f t="shared" si="41"/>
        <v>173012.00508142487</v>
      </c>
      <c r="Q511" s="261">
        <v>1</v>
      </c>
      <c r="R511" s="94"/>
    </row>
    <row r="512" spans="1:18" x14ac:dyDescent="0.25">
      <c r="A512" s="367">
        <v>38718</v>
      </c>
      <c r="B512" s="367" t="s">
        <v>279</v>
      </c>
      <c r="C512" s="279" t="s">
        <v>490</v>
      </c>
      <c r="D512" s="159" t="s">
        <v>974</v>
      </c>
      <c r="E512" s="45">
        <f t="shared" si="37"/>
        <v>38718</v>
      </c>
      <c r="F512" s="148" t="str">
        <f t="shared" si="38"/>
        <v>2005-06</v>
      </c>
      <c r="G512" s="1"/>
      <c r="H512" s="163"/>
      <c r="I512" s="37"/>
      <c r="J512" s="138">
        <f t="shared" si="39"/>
        <v>0.77968490742404351</v>
      </c>
      <c r="K512" s="114"/>
      <c r="L512" s="37">
        <v>23.521902913000002</v>
      </c>
      <c r="M512" s="37" t="s">
        <v>142</v>
      </c>
      <c r="N512" s="37">
        <v>1181.2618378536583</v>
      </c>
      <c r="O512" s="132">
        <f t="shared" si="40"/>
        <v>27785.526264825701</v>
      </c>
      <c r="P512" s="134">
        <f t="shared" si="41"/>
        <v>21663.955473518956</v>
      </c>
      <c r="Q512" s="261">
        <v>1</v>
      </c>
      <c r="R512" s="94"/>
    </row>
    <row r="513" spans="1:18" x14ac:dyDescent="0.25">
      <c r="A513" s="367">
        <v>38718</v>
      </c>
      <c r="B513" s="367" t="s">
        <v>279</v>
      </c>
      <c r="C513" s="279" t="s">
        <v>490</v>
      </c>
      <c r="D513" s="159" t="s">
        <v>974</v>
      </c>
      <c r="E513" s="45">
        <f t="shared" si="37"/>
        <v>38718</v>
      </c>
      <c r="F513" s="148" t="str">
        <f t="shared" si="38"/>
        <v>2005-06</v>
      </c>
      <c r="G513" s="1"/>
      <c r="H513" s="163"/>
      <c r="I513" s="37"/>
      <c r="J513" s="138">
        <f t="shared" si="39"/>
        <v>0.77968490742404351</v>
      </c>
      <c r="K513" s="114"/>
      <c r="L513" s="37">
        <v>4.4988415900899996</v>
      </c>
      <c r="M513" s="37" t="s">
        <v>142</v>
      </c>
      <c r="N513" s="37">
        <v>1181.2618378536583</v>
      </c>
      <c r="O513" s="132">
        <f t="shared" si="40"/>
        <v>5314.3098849221878</v>
      </c>
      <c r="P513" s="134">
        <f t="shared" si="41"/>
        <v>4143.4872106482353</v>
      </c>
      <c r="Q513" s="261">
        <v>1</v>
      </c>
      <c r="R513" s="94"/>
    </row>
    <row r="514" spans="1:18" x14ac:dyDescent="0.25">
      <c r="A514" s="367">
        <v>39070</v>
      </c>
      <c r="B514" s="367" t="s">
        <v>279</v>
      </c>
      <c r="C514" s="279" t="s">
        <v>491</v>
      </c>
      <c r="D514" s="159" t="s">
        <v>975</v>
      </c>
      <c r="E514" s="45">
        <f t="shared" si="37"/>
        <v>39070</v>
      </c>
      <c r="F514" s="148" t="str">
        <f t="shared" si="38"/>
        <v>2006-07</v>
      </c>
      <c r="G514" s="1"/>
      <c r="H514" s="163"/>
      <c r="I514" s="37"/>
      <c r="J514" s="138">
        <f t="shared" si="39"/>
        <v>0.77968490742404351</v>
      </c>
      <c r="K514" s="114"/>
      <c r="L514" s="37">
        <v>159.840320502</v>
      </c>
      <c r="M514" s="37" t="s">
        <v>142</v>
      </c>
      <c r="N514" s="37">
        <v>514.18436487804865</v>
      </c>
      <c r="O514" s="132">
        <f t="shared" si="40"/>
        <v>82187.39367922461</v>
      </c>
      <c r="P514" s="134">
        <f t="shared" si="41"/>
        <v>61372.353890722428</v>
      </c>
      <c r="Q514" s="261">
        <v>0.95774180534472109</v>
      </c>
      <c r="R514" s="94"/>
    </row>
    <row r="515" spans="1:18" x14ac:dyDescent="0.25">
      <c r="A515" s="367">
        <v>39070</v>
      </c>
      <c r="B515" s="367" t="s">
        <v>279</v>
      </c>
      <c r="C515" s="279" t="s">
        <v>491</v>
      </c>
      <c r="D515" s="159" t="s">
        <v>975</v>
      </c>
      <c r="E515" s="45">
        <f t="shared" si="37"/>
        <v>39070</v>
      </c>
      <c r="F515" s="148" t="str">
        <f t="shared" si="38"/>
        <v>2006-07</v>
      </c>
      <c r="G515" s="1"/>
      <c r="H515" s="163"/>
      <c r="I515" s="37"/>
      <c r="J515" s="138">
        <f t="shared" si="39"/>
        <v>0.77968490742404351</v>
      </c>
      <c r="K515" s="114"/>
      <c r="L515" s="37">
        <v>6.6656485505900003</v>
      </c>
      <c r="M515" s="37" t="s">
        <v>142</v>
      </c>
      <c r="N515" s="37">
        <v>514.18436487804865</v>
      </c>
      <c r="O515" s="132">
        <f t="shared" si="40"/>
        <v>3427.3722664854049</v>
      </c>
      <c r="P515" s="134">
        <f t="shared" si="41"/>
        <v>2559.3451043716586</v>
      </c>
      <c r="Q515" s="261">
        <v>0.95774180534472109</v>
      </c>
      <c r="R515" s="94"/>
    </row>
    <row r="516" spans="1:18" x14ac:dyDescent="0.25">
      <c r="A516" s="367">
        <v>38718</v>
      </c>
      <c r="B516" s="367" t="s">
        <v>279</v>
      </c>
      <c r="C516" s="279" t="s">
        <v>490</v>
      </c>
      <c r="D516" s="159" t="s">
        <v>974</v>
      </c>
      <c r="E516" s="45">
        <f t="shared" si="37"/>
        <v>38718</v>
      </c>
      <c r="F516" s="148" t="str">
        <f t="shared" si="38"/>
        <v>2005-06</v>
      </c>
      <c r="G516" s="1"/>
      <c r="H516" s="163"/>
      <c r="I516" s="37"/>
      <c r="J516" s="138">
        <f t="shared" si="39"/>
        <v>0.77968490742404351</v>
      </c>
      <c r="K516" s="114"/>
      <c r="L516" s="37">
        <v>378.76423704899997</v>
      </c>
      <c r="M516" s="37" t="s">
        <v>142</v>
      </c>
      <c r="N516" s="37">
        <v>1181.2618378536583</v>
      </c>
      <c r="O516" s="132">
        <f t="shared" si="40"/>
        <v>447419.73876974039</v>
      </c>
      <c r="P516" s="134">
        <f t="shared" si="41"/>
        <v>348846.41760237474</v>
      </c>
      <c r="Q516" s="261">
        <v>1</v>
      </c>
      <c r="R516" s="94"/>
    </row>
    <row r="517" spans="1:18" x14ac:dyDescent="0.25">
      <c r="A517" s="367">
        <v>38718</v>
      </c>
      <c r="B517" s="367" t="s">
        <v>279</v>
      </c>
      <c r="C517" s="279" t="s">
        <v>490</v>
      </c>
      <c r="D517" s="159" t="s">
        <v>974</v>
      </c>
      <c r="E517" s="45">
        <f t="shared" si="37"/>
        <v>38718</v>
      </c>
      <c r="F517" s="148" t="str">
        <f t="shared" si="38"/>
        <v>2005-06</v>
      </c>
      <c r="G517" s="1"/>
      <c r="H517" s="163"/>
      <c r="I517" s="37"/>
      <c r="J517" s="138">
        <f t="shared" si="39"/>
        <v>0.77968490742404351</v>
      </c>
      <c r="K517" s="114"/>
      <c r="L517" s="37">
        <v>20.183646579000001</v>
      </c>
      <c r="M517" s="37" t="s">
        <v>142</v>
      </c>
      <c r="N517" s="37">
        <v>1385.4167692682922</v>
      </c>
      <c r="O517" s="132">
        <f t="shared" si="40"/>
        <v>27962.7624355312</v>
      </c>
      <c r="P517" s="134">
        <f t="shared" si="41"/>
        <v>21802.143840867666</v>
      </c>
      <c r="Q517" s="261">
        <v>1</v>
      </c>
      <c r="R517" s="94"/>
    </row>
    <row r="518" spans="1:18" x14ac:dyDescent="0.25">
      <c r="A518" s="367">
        <v>38718</v>
      </c>
      <c r="B518" s="367" t="s">
        <v>279</v>
      </c>
      <c r="C518" s="279" t="s">
        <v>490</v>
      </c>
      <c r="D518" s="159" t="s">
        <v>974</v>
      </c>
      <c r="E518" s="45">
        <f t="shared" si="37"/>
        <v>38718</v>
      </c>
      <c r="F518" s="148" t="str">
        <f t="shared" si="38"/>
        <v>2005-06</v>
      </c>
      <c r="G518" s="1"/>
      <c r="H518" s="163"/>
      <c r="I518" s="37"/>
      <c r="J518" s="138">
        <f t="shared" si="39"/>
        <v>0.77968490742404351</v>
      </c>
      <c r="K518" s="114"/>
      <c r="L518" s="37">
        <v>45.6285174713</v>
      </c>
      <c r="M518" s="37" t="s">
        <v>142</v>
      </c>
      <c r="N518" s="37">
        <v>1181.2618378536583</v>
      </c>
      <c r="O518" s="132">
        <f t="shared" si="40"/>
        <v>53899.226406685601</v>
      </c>
      <c r="P518" s="134">
        <f t="shared" si="41"/>
        <v>42024.413351124225</v>
      </c>
      <c r="Q518" s="261">
        <v>1</v>
      </c>
      <c r="R518" s="94"/>
    </row>
    <row r="519" spans="1:18" x14ac:dyDescent="0.25">
      <c r="A519" s="367">
        <v>43384</v>
      </c>
      <c r="B519" s="367" t="s">
        <v>279</v>
      </c>
      <c r="C519" s="279" t="s">
        <v>492</v>
      </c>
      <c r="D519" s="159" t="s">
        <v>977</v>
      </c>
      <c r="E519" s="45">
        <f t="shared" si="37"/>
        <v>43384</v>
      </c>
      <c r="F519" s="148" t="str">
        <f t="shared" si="38"/>
        <v>2018-19</v>
      </c>
      <c r="G519" s="1"/>
      <c r="H519" s="163"/>
      <c r="I519" s="37"/>
      <c r="J519" s="138">
        <f t="shared" si="39"/>
        <v>0.77968490742404351</v>
      </c>
      <c r="K519" s="114"/>
      <c r="L519" s="37">
        <v>53.6377568901</v>
      </c>
      <c r="M519" s="37" t="s">
        <v>142</v>
      </c>
      <c r="N519" s="37">
        <v>621.96155034146341</v>
      </c>
      <c r="O519" s="132">
        <f t="shared" si="40"/>
        <v>33360.622432205106</v>
      </c>
      <c r="P519" s="134">
        <f t="shared" si="41"/>
        <v>12263.50037465708</v>
      </c>
      <c r="Q519" s="261">
        <v>0.4714777216157669</v>
      </c>
      <c r="R519" s="94"/>
    </row>
    <row r="520" spans="1:18" x14ac:dyDescent="0.25">
      <c r="A520" s="367">
        <v>43384</v>
      </c>
      <c r="B520" s="367" t="s">
        <v>279</v>
      </c>
      <c r="C520" s="279" t="s">
        <v>492</v>
      </c>
      <c r="D520" s="159" t="s">
        <v>977</v>
      </c>
      <c r="E520" s="45">
        <f t="shared" si="37"/>
        <v>43384</v>
      </c>
      <c r="F520" s="148" t="str">
        <f t="shared" si="38"/>
        <v>2018-19</v>
      </c>
      <c r="G520" s="1"/>
      <c r="H520" s="163"/>
      <c r="I520" s="37"/>
      <c r="J520" s="138">
        <f t="shared" si="39"/>
        <v>0.77968490742404351</v>
      </c>
      <c r="K520" s="114"/>
      <c r="L520" s="37">
        <v>62.263533952300001</v>
      </c>
      <c r="M520" s="37" t="s">
        <v>142</v>
      </c>
      <c r="N520" s="37">
        <v>621.96155034146341</v>
      </c>
      <c r="O520" s="132">
        <f t="shared" si="40"/>
        <v>38725.524106710851</v>
      </c>
      <c r="P520" s="134">
        <f t="shared" si="41"/>
        <v>14235.660031719892</v>
      </c>
      <c r="Q520" s="261">
        <v>0.4714777216157669</v>
      </c>
      <c r="R520" s="94"/>
    </row>
    <row r="521" spans="1:18" x14ac:dyDescent="0.25">
      <c r="A521" s="367">
        <v>43384</v>
      </c>
      <c r="B521" s="367" t="s">
        <v>279</v>
      </c>
      <c r="C521" s="279" t="s">
        <v>492</v>
      </c>
      <c r="D521" s="159" t="s">
        <v>977</v>
      </c>
      <c r="E521" s="45">
        <f t="shared" si="37"/>
        <v>43384</v>
      </c>
      <c r="F521" s="148" t="str">
        <f t="shared" si="38"/>
        <v>2018-19</v>
      </c>
      <c r="G521" s="1"/>
      <c r="H521" s="163"/>
      <c r="I521" s="37"/>
      <c r="J521" s="138">
        <f t="shared" si="39"/>
        <v>0.77968490742404351</v>
      </c>
      <c r="K521" s="114"/>
      <c r="L521" s="37">
        <v>9.99809051081</v>
      </c>
      <c r="M521" s="37" t="s">
        <v>142</v>
      </c>
      <c r="N521" s="37">
        <v>621.96155034146341</v>
      </c>
      <c r="O521" s="132">
        <f t="shared" si="40"/>
        <v>6218.4278745576612</v>
      </c>
      <c r="P521" s="134">
        <f t="shared" si="41"/>
        <v>2285.9193567023385</v>
      </c>
      <c r="Q521" s="261">
        <v>0.4714777216157669</v>
      </c>
      <c r="R521" s="94"/>
    </row>
    <row r="522" spans="1:18" x14ac:dyDescent="0.25">
      <c r="A522" s="367">
        <v>43384</v>
      </c>
      <c r="B522" s="367" t="s">
        <v>279</v>
      </c>
      <c r="C522" s="279" t="s">
        <v>492</v>
      </c>
      <c r="D522" s="159" t="s">
        <v>977</v>
      </c>
      <c r="E522" s="45">
        <f t="shared" si="37"/>
        <v>43384</v>
      </c>
      <c r="F522" s="148" t="str">
        <f t="shared" si="38"/>
        <v>2018-19</v>
      </c>
      <c r="G522" s="1"/>
      <c r="H522" s="163"/>
      <c r="I522" s="37"/>
      <c r="J522" s="138">
        <f t="shared" si="39"/>
        <v>0.77968490742404351</v>
      </c>
      <c r="K522" s="114"/>
      <c r="L522" s="37">
        <v>2.1416428821600002</v>
      </c>
      <c r="M522" s="37" t="s">
        <v>142</v>
      </c>
      <c r="N522" s="37">
        <v>470.74786858536584</v>
      </c>
      <c r="O522" s="132">
        <f t="shared" si="40"/>
        <v>1008.17382204784</v>
      </c>
      <c r="P522" s="134">
        <f t="shared" si="41"/>
        <v>370.608793931484</v>
      </c>
      <c r="Q522" s="261">
        <v>0.4714777216157669</v>
      </c>
      <c r="R522" s="94"/>
    </row>
    <row r="523" spans="1:18" x14ac:dyDescent="0.25">
      <c r="A523" s="367">
        <v>43384</v>
      </c>
      <c r="B523" s="367" t="s">
        <v>279</v>
      </c>
      <c r="C523" s="279" t="s">
        <v>492</v>
      </c>
      <c r="D523" s="159" t="s">
        <v>977</v>
      </c>
      <c r="E523" s="45">
        <f t="shared" si="37"/>
        <v>43384</v>
      </c>
      <c r="F523" s="148" t="str">
        <f t="shared" si="38"/>
        <v>2018-19</v>
      </c>
      <c r="G523" s="1"/>
      <c r="H523" s="163"/>
      <c r="I523" s="37"/>
      <c r="J523" s="138">
        <f t="shared" si="39"/>
        <v>0.77968490742404351</v>
      </c>
      <c r="K523" s="114"/>
      <c r="L523" s="37">
        <v>1.45009827253</v>
      </c>
      <c r="M523" s="37" t="s">
        <v>142</v>
      </c>
      <c r="N523" s="37">
        <v>621.96155034146341</v>
      </c>
      <c r="O523" s="132">
        <f t="shared" si="40"/>
        <v>901.90536973023677</v>
      </c>
      <c r="P523" s="134">
        <f t="shared" si="41"/>
        <v>331.54407901318348</v>
      </c>
      <c r="Q523" s="261">
        <v>0.4714777216157669</v>
      </c>
      <c r="R523" s="94"/>
    </row>
    <row r="524" spans="1:18" x14ac:dyDescent="0.25">
      <c r="A524" s="367">
        <v>42995</v>
      </c>
      <c r="B524" s="367" t="s">
        <v>279</v>
      </c>
      <c r="C524" s="279" t="s">
        <v>488</v>
      </c>
      <c r="D524" s="159" t="s">
        <v>971</v>
      </c>
      <c r="E524" s="45">
        <f t="shared" si="37"/>
        <v>42995</v>
      </c>
      <c r="F524" s="148" t="str">
        <f t="shared" si="38"/>
        <v>2017-18</v>
      </c>
      <c r="G524" s="1"/>
      <c r="H524" s="163"/>
      <c r="I524" s="37"/>
      <c r="J524" s="138">
        <f t="shared" si="39"/>
        <v>0.77968490742404351</v>
      </c>
      <c r="K524" s="114"/>
      <c r="L524" s="37">
        <v>80.264391726699998</v>
      </c>
      <c r="M524" s="37" t="s">
        <v>142</v>
      </c>
      <c r="N524" s="37">
        <v>1128.7084557073169</v>
      </c>
      <c r="O524" s="132">
        <f t="shared" si="40"/>
        <v>90595.097634130696</v>
      </c>
      <c r="P524" s="134">
        <f t="shared" si="41"/>
        <v>38148.835441517433</v>
      </c>
      <c r="Q524" s="261">
        <v>0.54007921035100082</v>
      </c>
      <c r="R524" s="94"/>
    </row>
    <row r="525" spans="1:18" x14ac:dyDescent="0.25">
      <c r="A525" s="367">
        <v>42995</v>
      </c>
      <c r="B525" s="367" t="s">
        <v>279</v>
      </c>
      <c r="C525" s="279" t="s">
        <v>488</v>
      </c>
      <c r="D525" s="159" t="s">
        <v>971</v>
      </c>
      <c r="E525" s="45">
        <f t="shared" si="37"/>
        <v>42995</v>
      </c>
      <c r="F525" s="148" t="str">
        <f t="shared" si="38"/>
        <v>2017-18</v>
      </c>
      <c r="G525" s="1"/>
      <c r="H525" s="163"/>
      <c r="I525" s="37"/>
      <c r="J525" s="138">
        <f t="shared" si="39"/>
        <v>0.77968490742404351</v>
      </c>
      <c r="K525" s="114"/>
      <c r="L525" s="37">
        <v>1.4994282243599999</v>
      </c>
      <c r="M525" s="37" t="s">
        <v>142</v>
      </c>
      <c r="N525" s="37">
        <v>621.96155034146341</v>
      </c>
      <c r="O525" s="132">
        <f t="shared" si="40"/>
        <v>932.58670304869315</v>
      </c>
      <c r="P525" s="134">
        <f t="shared" si="41"/>
        <v>392.70443543457924</v>
      </c>
      <c r="Q525" s="261">
        <v>0.54007921035100082</v>
      </c>
      <c r="R525" s="94"/>
    </row>
    <row r="526" spans="1:18" x14ac:dyDescent="0.25">
      <c r="A526" s="367">
        <v>39966</v>
      </c>
      <c r="B526" s="367" t="s">
        <v>279</v>
      </c>
      <c r="C526" s="279" t="s">
        <v>493</v>
      </c>
      <c r="D526" s="159" t="s">
        <v>978</v>
      </c>
      <c r="E526" s="45">
        <f t="shared" si="37"/>
        <v>39966</v>
      </c>
      <c r="F526" s="148" t="str">
        <f t="shared" si="38"/>
        <v>2008-09</v>
      </c>
      <c r="G526" s="1"/>
      <c r="H526" s="163"/>
      <c r="I526" s="37"/>
      <c r="J526" s="138">
        <f t="shared" si="39"/>
        <v>0.77968490742404351</v>
      </c>
      <c r="K526" s="114"/>
      <c r="L526" s="37">
        <v>120.60924826999999</v>
      </c>
      <c r="M526" s="37" t="s">
        <v>142</v>
      </c>
      <c r="N526" s="37">
        <v>514.18436487804865</v>
      </c>
      <c r="O526" s="132">
        <f t="shared" si="40"/>
        <v>62015.389720128835</v>
      </c>
      <c r="P526" s="134">
        <f t="shared" si="41"/>
        <v>37363.535523607403</v>
      </c>
      <c r="Q526" s="261">
        <v>0.77273282273282273</v>
      </c>
      <c r="R526" s="94"/>
    </row>
    <row r="527" spans="1:18" x14ac:dyDescent="0.25">
      <c r="A527" s="367">
        <v>39966</v>
      </c>
      <c r="B527" s="367" t="s">
        <v>279</v>
      </c>
      <c r="C527" s="279" t="s">
        <v>493</v>
      </c>
      <c r="D527" s="159" t="s">
        <v>978</v>
      </c>
      <c r="E527" s="45">
        <f t="shared" si="37"/>
        <v>39966</v>
      </c>
      <c r="F527" s="148" t="str">
        <f t="shared" si="38"/>
        <v>2008-09</v>
      </c>
      <c r="G527" s="1"/>
      <c r="H527" s="163"/>
      <c r="I527" s="37"/>
      <c r="J527" s="138">
        <f t="shared" si="39"/>
        <v>0.77968490742404351</v>
      </c>
      <c r="K527" s="114"/>
      <c r="L527" s="37">
        <v>3.2290935260500002</v>
      </c>
      <c r="M527" s="37" t="s">
        <v>142</v>
      </c>
      <c r="N527" s="37">
        <v>514.18436487804865</v>
      </c>
      <c r="O527" s="132">
        <f t="shared" si="40"/>
        <v>1660.349403823838</v>
      </c>
      <c r="P527" s="134">
        <f t="shared" si="41"/>
        <v>1000.3407897836146</v>
      </c>
      <c r="Q527" s="261">
        <v>0.77273282273282273</v>
      </c>
      <c r="R527" s="94"/>
    </row>
    <row r="528" spans="1:18" x14ac:dyDescent="0.25">
      <c r="A528" s="367">
        <v>39966</v>
      </c>
      <c r="B528" s="367" t="s">
        <v>279</v>
      </c>
      <c r="C528" s="279" t="s">
        <v>493</v>
      </c>
      <c r="D528" s="159" t="s">
        <v>978</v>
      </c>
      <c r="E528" s="45">
        <f t="shared" si="37"/>
        <v>39966</v>
      </c>
      <c r="F528" s="148" t="str">
        <f t="shared" si="38"/>
        <v>2008-09</v>
      </c>
      <c r="G528" s="1"/>
      <c r="H528" s="163"/>
      <c r="I528" s="37"/>
      <c r="J528" s="138">
        <f t="shared" si="39"/>
        <v>0.77968490742404351</v>
      </c>
      <c r="K528" s="114"/>
      <c r="L528" s="37">
        <v>3.40900639466</v>
      </c>
      <c r="M528" s="37" t="s">
        <v>142</v>
      </c>
      <c r="N528" s="37">
        <v>514.18436487804865</v>
      </c>
      <c r="O528" s="132">
        <f t="shared" si="40"/>
        <v>1752.8577879034585</v>
      </c>
      <c r="P528" s="134">
        <f t="shared" si="41"/>
        <v>1056.0759921324043</v>
      </c>
      <c r="Q528" s="261">
        <v>0.77273282273282273</v>
      </c>
      <c r="R528" s="94"/>
    </row>
    <row r="529" spans="1:18" x14ac:dyDescent="0.25">
      <c r="A529" s="367">
        <v>39966</v>
      </c>
      <c r="B529" s="367" t="s">
        <v>279</v>
      </c>
      <c r="C529" s="279" t="s">
        <v>493</v>
      </c>
      <c r="D529" s="159" t="s">
        <v>978</v>
      </c>
      <c r="E529" s="45">
        <f t="shared" si="37"/>
        <v>39966</v>
      </c>
      <c r="F529" s="148" t="str">
        <f t="shared" si="38"/>
        <v>2008-09</v>
      </c>
      <c r="G529" s="1"/>
      <c r="H529" s="163"/>
      <c r="I529" s="37"/>
      <c r="J529" s="138">
        <f t="shared" si="39"/>
        <v>0.77968490742404351</v>
      </c>
      <c r="K529" s="114"/>
      <c r="L529" s="37">
        <v>0.79999312496999997</v>
      </c>
      <c r="M529" s="37" t="s">
        <v>142</v>
      </c>
      <c r="N529" s="37">
        <v>470.74786858536584</v>
      </c>
      <c r="O529" s="132">
        <f t="shared" si="40"/>
        <v>376.59505846257372</v>
      </c>
      <c r="P529" s="134">
        <f t="shared" si="41"/>
        <v>226.89404853186412</v>
      </c>
      <c r="Q529" s="261">
        <v>0.77273282273282273</v>
      </c>
      <c r="R529" s="94"/>
    </row>
    <row r="530" spans="1:18" x14ac:dyDescent="0.25">
      <c r="A530" s="367">
        <v>42969</v>
      </c>
      <c r="B530" s="367" t="s">
        <v>279</v>
      </c>
      <c r="C530" s="279" t="s">
        <v>494</v>
      </c>
      <c r="D530" s="159" t="s">
        <v>979</v>
      </c>
      <c r="E530" s="45">
        <f t="shared" si="37"/>
        <v>42969</v>
      </c>
      <c r="F530" s="148" t="str">
        <f t="shared" si="38"/>
        <v>2017-18</v>
      </c>
      <c r="G530" s="1"/>
      <c r="H530" s="163"/>
      <c r="I530" s="37"/>
      <c r="J530" s="138">
        <f t="shared" si="39"/>
        <v>0.77968490742404351</v>
      </c>
      <c r="K530" s="114"/>
      <c r="L530" s="37">
        <v>5.7423157315599997</v>
      </c>
      <c r="M530" s="37" t="s">
        <v>142</v>
      </c>
      <c r="N530" s="37">
        <v>470.74786858536584</v>
      </c>
      <c r="O530" s="132">
        <f t="shared" si="40"/>
        <v>2703.1828913760855</v>
      </c>
      <c r="P530" s="134">
        <f t="shared" si="41"/>
        <v>914.13554060236868</v>
      </c>
      <c r="Q530" s="261">
        <v>0.43372657876474668</v>
      </c>
      <c r="R530" s="94"/>
    </row>
    <row r="531" spans="1:18" x14ac:dyDescent="0.25">
      <c r="A531" s="367">
        <v>42969</v>
      </c>
      <c r="B531" s="367" t="s">
        <v>279</v>
      </c>
      <c r="C531" s="279" t="s">
        <v>494</v>
      </c>
      <c r="D531" s="159" t="s">
        <v>979</v>
      </c>
      <c r="E531" s="45">
        <f t="shared" si="37"/>
        <v>42969</v>
      </c>
      <c r="F531" s="148" t="str">
        <f t="shared" si="38"/>
        <v>2017-18</v>
      </c>
      <c r="G531" s="1"/>
      <c r="H531" s="163"/>
      <c r="I531" s="37"/>
      <c r="J531" s="138">
        <f t="shared" si="39"/>
        <v>0.77968490742404351</v>
      </c>
      <c r="K531" s="114"/>
      <c r="L531" s="37">
        <v>1.4996166176700001</v>
      </c>
      <c r="M531" s="37" t="s">
        <v>142</v>
      </c>
      <c r="N531" s="37">
        <v>621.96155034146341</v>
      </c>
      <c r="O531" s="132">
        <f t="shared" si="40"/>
        <v>932.70387644385482</v>
      </c>
      <c r="P531" s="134">
        <f t="shared" si="41"/>
        <v>315.41253277202173</v>
      </c>
      <c r="Q531" s="261">
        <v>0.43372657876474668</v>
      </c>
      <c r="R531" s="94"/>
    </row>
    <row r="532" spans="1:18" x14ac:dyDescent="0.25">
      <c r="A532" s="367">
        <v>43306</v>
      </c>
      <c r="B532" s="367" t="s">
        <v>279</v>
      </c>
      <c r="C532" s="279" t="s">
        <v>495</v>
      </c>
      <c r="D532" s="159" t="s">
        <v>980</v>
      </c>
      <c r="E532" s="45">
        <f t="shared" si="37"/>
        <v>43306</v>
      </c>
      <c r="F532" s="148" t="str">
        <f t="shared" si="38"/>
        <v>2018-19</v>
      </c>
      <c r="G532" s="1"/>
      <c r="H532" s="163"/>
      <c r="I532" s="37"/>
      <c r="J532" s="138">
        <f t="shared" si="39"/>
        <v>0.77968490742404351</v>
      </c>
      <c r="K532" s="114"/>
      <c r="L532" s="37">
        <v>1.4994975825300001</v>
      </c>
      <c r="M532" s="37" t="s">
        <v>142</v>
      </c>
      <c r="N532" s="37">
        <v>470.74786858536584</v>
      </c>
      <c r="O532" s="132">
        <f t="shared" si="40"/>
        <v>705.88529092490626</v>
      </c>
      <c r="P532" s="134">
        <f t="shared" si="41"/>
        <v>179.19181356466055</v>
      </c>
      <c r="Q532" s="261">
        <v>0.3255853874078925</v>
      </c>
      <c r="R532" s="94"/>
    </row>
    <row r="533" spans="1:18" x14ac:dyDescent="0.25">
      <c r="A533" s="367">
        <v>43306</v>
      </c>
      <c r="B533" s="367" t="s">
        <v>279</v>
      </c>
      <c r="C533" s="279" t="s">
        <v>495</v>
      </c>
      <c r="D533" s="159" t="s">
        <v>980</v>
      </c>
      <c r="E533" s="45">
        <f t="shared" si="37"/>
        <v>43306</v>
      </c>
      <c r="F533" s="148" t="str">
        <f t="shared" si="38"/>
        <v>2018-19</v>
      </c>
      <c r="G533" s="1"/>
      <c r="H533" s="163"/>
      <c r="I533" s="37"/>
      <c r="J533" s="138">
        <f t="shared" si="39"/>
        <v>0.77968490742404351</v>
      </c>
      <c r="K533" s="114"/>
      <c r="L533" s="37">
        <v>73.007061486599994</v>
      </c>
      <c r="M533" s="37" t="s">
        <v>142</v>
      </c>
      <c r="N533" s="37">
        <v>621.96155034146341</v>
      </c>
      <c r="O533" s="132">
        <f t="shared" si="40"/>
        <v>45407.585148080274</v>
      </c>
      <c r="P533" s="134">
        <f t="shared" si="41"/>
        <v>11526.897694121022</v>
      </c>
      <c r="Q533" s="261">
        <v>0.3255853874078925</v>
      </c>
      <c r="R533" s="94"/>
    </row>
    <row r="534" spans="1:18" x14ac:dyDescent="0.25">
      <c r="A534" s="367">
        <v>43306</v>
      </c>
      <c r="B534" s="367" t="s">
        <v>279</v>
      </c>
      <c r="C534" s="279" t="s">
        <v>495</v>
      </c>
      <c r="D534" s="159" t="s">
        <v>980</v>
      </c>
      <c r="E534" s="45">
        <f t="shared" si="37"/>
        <v>43306</v>
      </c>
      <c r="F534" s="148" t="str">
        <f t="shared" si="38"/>
        <v>2018-19</v>
      </c>
      <c r="G534" s="1"/>
      <c r="H534" s="163"/>
      <c r="I534" s="37"/>
      <c r="J534" s="138">
        <f t="shared" si="39"/>
        <v>0.77968490742404351</v>
      </c>
      <c r="K534" s="114"/>
      <c r="L534" s="37">
        <v>22.446587633699998</v>
      </c>
      <c r="M534" s="37" t="s">
        <v>142</v>
      </c>
      <c r="N534" s="37">
        <v>621.96155034146341</v>
      </c>
      <c r="O534" s="132">
        <f t="shared" si="40"/>
        <v>13960.914444531572</v>
      </c>
      <c r="P534" s="134">
        <f t="shared" si="41"/>
        <v>3544.0341518645023</v>
      </c>
      <c r="Q534" s="261">
        <v>0.3255853874078925</v>
      </c>
      <c r="R534" s="94"/>
    </row>
    <row r="535" spans="1:18" x14ac:dyDescent="0.25">
      <c r="A535" s="367">
        <v>43306</v>
      </c>
      <c r="B535" s="367" t="s">
        <v>279</v>
      </c>
      <c r="C535" s="279" t="s">
        <v>495</v>
      </c>
      <c r="D535" s="159" t="s">
        <v>980</v>
      </c>
      <c r="E535" s="45">
        <f t="shared" ref="E535:E598" si="42">IF(A535&lt;2022,DATEVALUE("30 Jun "&amp;A535),A535)</f>
        <v>43306</v>
      </c>
      <c r="F535" s="148" t="str">
        <f t="shared" si="38"/>
        <v>2018-19</v>
      </c>
      <c r="G535" s="1"/>
      <c r="H535" s="163"/>
      <c r="I535" s="37"/>
      <c r="J535" s="138">
        <f t="shared" si="39"/>
        <v>0.77968490742404351</v>
      </c>
      <c r="K535" s="114"/>
      <c r="L535" s="37">
        <v>5.9681551873299998</v>
      </c>
      <c r="M535" s="37" t="s">
        <v>142</v>
      </c>
      <c r="N535" s="37">
        <v>470.74786858536584</v>
      </c>
      <c r="O535" s="132">
        <f t="shared" si="40"/>
        <v>2809.4963338222924</v>
      </c>
      <c r="P535" s="134">
        <f t="shared" si="41"/>
        <v>713.2019178374386</v>
      </c>
      <c r="Q535" s="261">
        <v>0.3255853874078925</v>
      </c>
      <c r="R535" s="94"/>
    </row>
    <row r="536" spans="1:18" x14ac:dyDescent="0.25">
      <c r="A536" s="367">
        <v>42969</v>
      </c>
      <c r="B536" s="367" t="s">
        <v>279</v>
      </c>
      <c r="C536" s="279" t="s">
        <v>494</v>
      </c>
      <c r="D536" s="159" t="s">
        <v>979</v>
      </c>
      <c r="E536" s="45">
        <f t="shared" si="42"/>
        <v>42969</v>
      </c>
      <c r="F536" s="148" t="str">
        <f t="shared" ref="F536:F599" si="43">IF(E536="","-",IF(OR(E536&lt;$E$15,E536&gt;$E$16),"ERROR - date outside of range",IF(MONTH(E536)&gt;=7,YEAR(E536)&amp;"-"&amp;IF(YEAR(E536)=1999,"00",IF(AND(YEAR(E536)&gt;=2000,YEAR(E536)&lt;2009),"0","")&amp;RIGHT(YEAR(E536),2)+1),RIGHT(YEAR(E536),4)-1&amp;"-"&amp;RIGHT(YEAR(E536),2))))</f>
        <v>2017-18</v>
      </c>
      <c r="G536" s="1"/>
      <c r="H536" s="163"/>
      <c r="I536" s="37"/>
      <c r="J536" s="138">
        <f t="shared" ref="J536:J599" si="44">J535</f>
        <v>0.77968490742404351</v>
      </c>
      <c r="K536" s="114"/>
      <c r="L536" s="37">
        <v>40.310290152</v>
      </c>
      <c r="M536" s="37" t="s">
        <v>142</v>
      </c>
      <c r="N536" s="37">
        <v>621.96155034146341</v>
      </c>
      <c r="O536" s="132">
        <f t="shared" si="40"/>
        <v>25071.450557652144</v>
      </c>
      <c r="P536" s="134">
        <f t="shared" si="41"/>
        <v>8478.4141251862839</v>
      </c>
      <c r="Q536" s="261">
        <v>0.43372657876474668</v>
      </c>
      <c r="R536" s="94"/>
    </row>
    <row r="537" spans="1:18" x14ac:dyDescent="0.25">
      <c r="A537" s="367">
        <v>43021</v>
      </c>
      <c r="B537" s="367" t="s">
        <v>279</v>
      </c>
      <c r="C537" s="279" t="s">
        <v>496</v>
      </c>
      <c r="D537" s="159" t="s">
        <v>978</v>
      </c>
      <c r="E537" s="45">
        <f t="shared" si="42"/>
        <v>43021</v>
      </c>
      <c r="F537" s="148" t="str">
        <f t="shared" si="43"/>
        <v>2017-18</v>
      </c>
      <c r="G537" s="1"/>
      <c r="H537" s="163"/>
      <c r="I537" s="37"/>
      <c r="J537" s="138">
        <f t="shared" si="44"/>
        <v>0.77968490742404351</v>
      </c>
      <c r="K537" s="114"/>
      <c r="L537" s="37">
        <v>1.2994037093999999</v>
      </c>
      <c r="M537" s="37" t="s">
        <v>142</v>
      </c>
      <c r="N537" s="37">
        <v>514.18436487804865</v>
      </c>
      <c r="O537" s="132">
        <f t="shared" si="40"/>
        <v>668.13307103801947</v>
      </c>
      <c r="P537" s="134">
        <f t="shared" si="41"/>
        <v>476.17174623187026</v>
      </c>
      <c r="Q537" s="261">
        <v>0.91407435876288201</v>
      </c>
      <c r="R537" s="94"/>
    </row>
    <row r="538" spans="1:18" x14ac:dyDescent="0.25">
      <c r="A538" s="367">
        <v>43021</v>
      </c>
      <c r="B538" s="367" t="s">
        <v>279</v>
      </c>
      <c r="C538" s="279" t="s">
        <v>496</v>
      </c>
      <c r="D538" s="159" t="s">
        <v>978</v>
      </c>
      <c r="E538" s="45">
        <f t="shared" si="42"/>
        <v>43021</v>
      </c>
      <c r="F538" s="148" t="str">
        <f t="shared" si="43"/>
        <v>2017-18</v>
      </c>
      <c r="G538" s="1"/>
      <c r="H538" s="163"/>
      <c r="I538" s="37"/>
      <c r="J538" s="138">
        <f t="shared" si="44"/>
        <v>0.77968490742404351</v>
      </c>
      <c r="K538" s="114"/>
      <c r="L538" s="37">
        <v>11.721578622599999</v>
      </c>
      <c r="M538" s="37" t="s">
        <v>142</v>
      </c>
      <c r="N538" s="37">
        <v>621.96155034146341</v>
      </c>
      <c r="O538" s="132">
        <f t="shared" si="40"/>
        <v>7290.3712125616503</v>
      </c>
      <c r="P538" s="134">
        <f t="shared" si="41"/>
        <v>5195.7745267282216</v>
      </c>
      <c r="Q538" s="261">
        <v>0.91407435876288201</v>
      </c>
      <c r="R538" s="94"/>
    </row>
    <row r="539" spans="1:18" x14ac:dyDescent="0.25">
      <c r="A539" s="367">
        <v>43021</v>
      </c>
      <c r="B539" s="367" t="s">
        <v>279</v>
      </c>
      <c r="C539" s="279" t="s">
        <v>496</v>
      </c>
      <c r="D539" s="159" t="s">
        <v>978</v>
      </c>
      <c r="E539" s="45">
        <f t="shared" si="42"/>
        <v>43021</v>
      </c>
      <c r="F539" s="148" t="str">
        <f t="shared" si="43"/>
        <v>2017-18</v>
      </c>
      <c r="G539" s="1"/>
      <c r="H539" s="163"/>
      <c r="I539" s="37"/>
      <c r="J539" s="138">
        <f t="shared" si="44"/>
        <v>0.77968490742404351</v>
      </c>
      <c r="K539" s="114"/>
      <c r="L539" s="37">
        <v>143.33056274899999</v>
      </c>
      <c r="M539" s="37" t="s">
        <v>142</v>
      </c>
      <c r="N539" s="37">
        <v>621.96155034146341</v>
      </c>
      <c r="O539" s="132">
        <f t="shared" si="40"/>
        <v>89146.099018682435</v>
      </c>
      <c r="P539" s="134">
        <f t="shared" si="41"/>
        <v>63533.531686339367</v>
      </c>
      <c r="Q539" s="261">
        <v>0.91407435876288201</v>
      </c>
      <c r="R539" s="94"/>
    </row>
    <row r="540" spans="1:18" x14ac:dyDescent="0.25">
      <c r="A540" s="367">
        <v>43021</v>
      </c>
      <c r="B540" s="367" t="s">
        <v>279</v>
      </c>
      <c r="C540" s="279" t="s">
        <v>496</v>
      </c>
      <c r="D540" s="159" t="s">
        <v>978</v>
      </c>
      <c r="E540" s="45">
        <f t="shared" si="42"/>
        <v>43021</v>
      </c>
      <c r="F540" s="148" t="str">
        <f t="shared" si="43"/>
        <v>2017-18</v>
      </c>
      <c r="G540" s="1"/>
      <c r="H540" s="163"/>
      <c r="I540" s="37"/>
      <c r="J540" s="138">
        <f t="shared" si="44"/>
        <v>0.77968490742404351</v>
      </c>
      <c r="K540" s="114"/>
      <c r="L540" s="37">
        <v>51.3672077664</v>
      </c>
      <c r="M540" s="37" t="s">
        <v>142</v>
      </c>
      <c r="N540" s="37">
        <v>621.96155034146341</v>
      </c>
      <c r="O540" s="132">
        <f t="shared" si="40"/>
        <v>31948.428179102204</v>
      </c>
      <c r="P540" s="134">
        <f t="shared" si="41"/>
        <v>22769.324697206779</v>
      </c>
      <c r="Q540" s="261">
        <v>0.91407435876288201</v>
      </c>
      <c r="R540" s="94"/>
    </row>
    <row r="541" spans="1:18" x14ac:dyDescent="0.25">
      <c r="A541" s="367">
        <v>43021</v>
      </c>
      <c r="B541" s="367" t="s">
        <v>279</v>
      </c>
      <c r="C541" s="279" t="s">
        <v>496</v>
      </c>
      <c r="D541" s="159" t="s">
        <v>978</v>
      </c>
      <c r="E541" s="45">
        <f t="shared" si="42"/>
        <v>43021</v>
      </c>
      <c r="F541" s="148" t="str">
        <f t="shared" si="43"/>
        <v>2017-18</v>
      </c>
      <c r="G541" s="1"/>
      <c r="H541" s="163"/>
      <c r="I541" s="37"/>
      <c r="J541" s="138">
        <f t="shared" si="44"/>
        <v>0.77968490742404351</v>
      </c>
      <c r="K541" s="114"/>
      <c r="L541" s="37">
        <v>31.453009162499999</v>
      </c>
      <c r="M541" s="37" t="s">
        <v>142</v>
      </c>
      <c r="N541" s="37">
        <v>621.96155034146341</v>
      </c>
      <c r="O541" s="132">
        <f t="shared" si="40"/>
        <v>19562.562341612753</v>
      </c>
      <c r="P541" s="134">
        <f t="shared" si="41"/>
        <v>13942.042199024007</v>
      </c>
      <c r="Q541" s="261">
        <v>0.91407435876288201</v>
      </c>
      <c r="R541" s="94"/>
    </row>
    <row r="542" spans="1:18" x14ac:dyDescent="0.25">
      <c r="A542" s="367">
        <v>43021</v>
      </c>
      <c r="B542" s="367" t="s">
        <v>279</v>
      </c>
      <c r="C542" s="279" t="s">
        <v>496</v>
      </c>
      <c r="D542" s="159" t="s">
        <v>978</v>
      </c>
      <c r="E542" s="45">
        <f t="shared" si="42"/>
        <v>43021</v>
      </c>
      <c r="F542" s="148" t="str">
        <f t="shared" si="43"/>
        <v>2017-18</v>
      </c>
      <c r="G542" s="1"/>
      <c r="H542" s="163"/>
      <c r="I542" s="37"/>
      <c r="J542" s="138">
        <f t="shared" si="44"/>
        <v>0.77968490742404351</v>
      </c>
      <c r="K542" s="114"/>
      <c r="L542" s="37">
        <v>2.59932210873</v>
      </c>
      <c r="M542" s="37" t="s">
        <v>142</v>
      </c>
      <c r="N542" s="37">
        <v>621.96155034146341</v>
      </c>
      <c r="O542" s="132">
        <f t="shared" ref="O542:O605" si="45">IF(N542="","-",L542*N542)</f>
        <v>1616.6784085825527</v>
      </c>
      <c r="P542" s="134">
        <f t="shared" ref="P542:P605" si="46">IF(O542="-","-",IF(OR(E542&lt;$E$15,E542&gt;$E$16),0,O542*J542))*Q542</f>
        <v>1152.1905055741652</v>
      </c>
      <c r="Q542" s="261">
        <v>0.91407435876288201</v>
      </c>
      <c r="R542" s="94"/>
    </row>
    <row r="543" spans="1:18" x14ac:dyDescent="0.25">
      <c r="A543" s="367">
        <v>43021</v>
      </c>
      <c r="B543" s="367" t="s">
        <v>279</v>
      </c>
      <c r="C543" s="279" t="s">
        <v>496</v>
      </c>
      <c r="D543" s="159" t="s">
        <v>978</v>
      </c>
      <c r="E543" s="45">
        <f t="shared" si="42"/>
        <v>43021</v>
      </c>
      <c r="F543" s="148" t="str">
        <f t="shared" si="43"/>
        <v>2017-18</v>
      </c>
      <c r="G543" s="1"/>
      <c r="H543" s="163"/>
      <c r="I543" s="37"/>
      <c r="J543" s="138">
        <f t="shared" si="44"/>
        <v>0.77968490742404351</v>
      </c>
      <c r="K543" s="114"/>
      <c r="L543" s="37">
        <v>23.609193672300002</v>
      </c>
      <c r="M543" s="37" t="s">
        <v>142</v>
      </c>
      <c r="N543" s="37">
        <v>621.96155034146341</v>
      </c>
      <c r="O543" s="132">
        <f t="shared" si="45"/>
        <v>14684.010698735578</v>
      </c>
      <c r="P543" s="134">
        <f t="shared" si="46"/>
        <v>10465.147317496736</v>
      </c>
      <c r="Q543" s="261">
        <v>0.91407435876288201</v>
      </c>
      <c r="R543" s="94"/>
    </row>
    <row r="544" spans="1:18" x14ac:dyDescent="0.25">
      <c r="A544" s="367">
        <v>43021</v>
      </c>
      <c r="B544" s="367" t="s">
        <v>279</v>
      </c>
      <c r="C544" s="279" t="s">
        <v>496</v>
      </c>
      <c r="D544" s="159" t="s">
        <v>978</v>
      </c>
      <c r="E544" s="45">
        <f t="shared" si="42"/>
        <v>43021</v>
      </c>
      <c r="F544" s="148" t="str">
        <f t="shared" si="43"/>
        <v>2017-18</v>
      </c>
      <c r="G544" s="1"/>
      <c r="H544" s="163"/>
      <c r="I544" s="37"/>
      <c r="J544" s="138">
        <f t="shared" si="44"/>
        <v>0.77968490742404351</v>
      </c>
      <c r="K544" s="114"/>
      <c r="L544" s="37">
        <v>4.5391199587599997</v>
      </c>
      <c r="M544" s="37" t="s">
        <v>142</v>
      </c>
      <c r="N544" s="37">
        <v>621.96155034146341</v>
      </c>
      <c r="O544" s="132">
        <f t="shared" si="45"/>
        <v>2823.1580867362491</v>
      </c>
      <c r="P544" s="134">
        <f t="shared" si="46"/>
        <v>2012.0364854284082</v>
      </c>
      <c r="Q544" s="261">
        <v>0.91407435876288201</v>
      </c>
      <c r="R544" s="94"/>
    </row>
    <row r="545" spans="1:18" x14ac:dyDescent="0.25">
      <c r="A545" s="367">
        <v>43021</v>
      </c>
      <c r="B545" s="367" t="s">
        <v>279</v>
      </c>
      <c r="C545" s="279" t="s">
        <v>496</v>
      </c>
      <c r="D545" s="159" t="s">
        <v>978</v>
      </c>
      <c r="E545" s="45">
        <f t="shared" si="42"/>
        <v>43021</v>
      </c>
      <c r="F545" s="148" t="str">
        <f t="shared" si="43"/>
        <v>2017-18</v>
      </c>
      <c r="G545" s="1"/>
      <c r="H545" s="163"/>
      <c r="I545" s="37"/>
      <c r="J545" s="138">
        <f t="shared" si="44"/>
        <v>0.77968490742404351</v>
      </c>
      <c r="K545" s="114"/>
      <c r="L545" s="37">
        <v>2.9987939242300001</v>
      </c>
      <c r="M545" s="37" t="s">
        <v>142</v>
      </c>
      <c r="N545" s="37">
        <v>514.18436487804865</v>
      </c>
      <c r="O545" s="132">
        <f t="shared" si="45"/>
        <v>1541.9329493303537</v>
      </c>
      <c r="P545" s="134">
        <f t="shared" si="46"/>
        <v>1098.9201655807758</v>
      </c>
      <c r="Q545" s="261">
        <v>0.91407435876288201</v>
      </c>
      <c r="R545" s="94"/>
    </row>
    <row r="546" spans="1:18" x14ac:dyDescent="0.25">
      <c r="A546" s="367">
        <v>41963</v>
      </c>
      <c r="B546" s="367" t="s">
        <v>279</v>
      </c>
      <c r="C546" s="279" t="s">
        <v>497</v>
      </c>
      <c r="D546" s="159" t="s">
        <v>981</v>
      </c>
      <c r="E546" s="45">
        <f t="shared" si="42"/>
        <v>41963</v>
      </c>
      <c r="F546" s="148" t="str">
        <f t="shared" si="43"/>
        <v>2014-15</v>
      </c>
      <c r="G546" s="1"/>
      <c r="H546" s="163"/>
      <c r="I546" s="37"/>
      <c r="J546" s="138">
        <f t="shared" si="44"/>
        <v>0.77968490742404351</v>
      </c>
      <c r="K546" s="114"/>
      <c r="L546" s="37">
        <v>111.13858112200001</v>
      </c>
      <c r="M546" s="37" t="s">
        <v>142</v>
      </c>
      <c r="N546" s="37">
        <v>514.18436487804865</v>
      </c>
      <c r="O546" s="132">
        <f t="shared" si="45"/>
        <v>57145.720747663057</v>
      </c>
      <c r="P546" s="134">
        <f t="shared" si="46"/>
        <v>31033.172666788061</v>
      </c>
      <c r="Q546" s="261">
        <v>0.69650355216811599</v>
      </c>
      <c r="R546" s="94"/>
    </row>
    <row r="547" spans="1:18" x14ac:dyDescent="0.25">
      <c r="A547" s="367">
        <v>41963</v>
      </c>
      <c r="B547" s="367" t="s">
        <v>279</v>
      </c>
      <c r="C547" s="279" t="s">
        <v>497</v>
      </c>
      <c r="D547" s="159" t="s">
        <v>981</v>
      </c>
      <c r="E547" s="45">
        <f t="shared" si="42"/>
        <v>41963</v>
      </c>
      <c r="F547" s="148" t="str">
        <f t="shared" si="43"/>
        <v>2014-15</v>
      </c>
      <c r="G547" s="1"/>
      <c r="H547" s="163"/>
      <c r="I547" s="37"/>
      <c r="J547" s="138">
        <f t="shared" si="44"/>
        <v>0.77968490742404351</v>
      </c>
      <c r="K547" s="114"/>
      <c r="L547" s="37">
        <v>3.99829773028</v>
      </c>
      <c r="M547" s="37" t="s">
        <v>142</v>
      </c>
      <c r="N547" s="37">
        <v>470.74786858536584</v>
      </c>
      <c r="O547" s="132">
        <f t="shared" si="45"/>
        <v>1882.190134499016</v>
      </c>
      <c r="P547" s="134">
        <f t="shared" si="46"/>
        <v>1022.1295780580678</v>
      </c>
      <c r="Q547" s="261">
        <v>0.69650355216811599</v>
      </c>
      <c r="R547" s="94"/>
    </row>
    <row r="548" spans="1:18" x14ac:dyDescent="0.25">
      <c r="A548" s="367">
        <v>44069</v>
      </c>
      <c r="B548" s="367" t="s">
        <v>279</v>
      </c>
      <c r="C548" s="279" t="s">
        <v>498</v>
      </c>
      <c r="D548" s="159" t="s">
        <v>978</v>
      </c>
      <c r="E548" s="45">
        <f t="shared" si="42"/>
        <v>44069</v>
      </c>
      <c r="F548" s="148" t="str">
        <f t="shared" si="43"/>
        <v>2020-21</v>
      </c>
      <c r="G548" s="1"/>
      <c r="H548" s="163"/>
      <c r="I548" s="37"/>
      <c r="J548" s="138">
        <f t="shared" si="44"/>
        <v>0.77968490742404351</v>
      </c>
      <c r="K548" s="114"/>
      <c r="L548" s="37">
        <v>15.195174494</v>
      </c>
      <c r="M548" s="37" t="s">
        <v>142</v>
      </c>
      <c r="N548" s="37">
        <v>621.96155034146341</v>
      </c>
      <c r="O548" s="132">
        <f t="shared" si="45"/>
        <v>9450.8142859973013</v>
      </c>
      <c r="P548" s="134">
        <f t="shared" si="46"/>
        <v>4018.7516285154311</v>
      </c>
      <c r="Q548" s="261">
        <v>0.54538452336841248</v>
      </c>
      <c r="R548" s="94"/>
    </row>
    <row r="549" spans="1:18" x14ac:dyDescent="0.25">
      <c r="A549" s="367">
        <v>44069</v>
      </c>
      <c r="B549" s="367" t="s">
        <v>279</v>
      </c>
      <c r="C549" s="279" t="s">
        <v>498</v>
      </c>
      <c r="D549" s="159" t="s">
        <v>978</v>
      </c>
      <c r="E549" s="45">
        <f t="shared" si="42"/>
        <v>44069</v>
      </c>
      <c r="F549" s="148" t="str">
        <f t="shared" si="43"/>
        <v>2020-21</v>
      </c>
      <c r="G549" s="1"/>
      <c r="H549" s="163"/>
      <c r="I549" s="37"/>
      <c r="J549" s="138">
        <f t="shared" si="44"/>
        <v>0.77968490742404351</v>
      </c>
      <c r="K549" s="114"/>
      <c r="L549" s="37">
        <v>90.774028784500004</v>
      </c>
      <c r="M549" s="37" t="s">
        <v>142</v>
      </c>
      <c r="N549" s="37">
        <v>621.96155034146341</v>
      </c>
      <c r="O549" s="132">
        <f t="shared" si="45"/>
        <v>56457.955673548247</v>
      </c>
      <c r="P549" s="134">
        <f t="shared" si="46"/>
        <v>24007.508182855094</v>
      </c>
      <c r="Q549" s="261">
        <v>0.54538452336841248</v>
      </c>
      <c r="R549" s="94"/>
    </row>
    <row r="550" spans="1:18" x14ac:dyDescent="0.25">
      <c r="A550" s="367">
        <v>44069</v>
      </c>
      <c r="B550" s="367" t="s">
        <v>279</v>
      </c>
      <c r="C550" s="279" t="s">
        <v>498</v>
      </c>
      <c r="D550" s="159" t="s">
        <v>978</v>
      </c>
      <c r="E550" s="45">
        <f t="shared" si="42"/>
        <v>44069</v>
      </c>
      <c r="F550" s="148" t="str">
        <f t="shared" si="43"/>
        <v>2020-21</v>
      </c>
      <c r="G550" s="1"/>
      <c r="H550" s="163"/>
      <c r="I550" s="37"/>
      <c r="J550" s="138">
        <f t="shared" si="44"/>
        <v>0.77968490742404351</v>
      </c>
      <c r="K550" s="114"/>
      <c r="L550" s="37">
        <v>2.1989765301399999</v>
      </c>
      <c r="M550" s="37" t="s">
        <v>142</v>
      </c>
      <c r="N550" s="37">
        <v>470.74786858536584</v>
      </c>
      <c r="O550" s="132">
        <f t="shared" si="45"/>
        <v>1035.1635146326485</v>
      </c>
      <c r="P550" s="134">
        <f t="shared" si="46"/>
        <v>440.18059548301875</v>
      </c>
      <c r="Q550" s="261">
        <v>0.54538452336841248</v>
      </c>
      <c r="R550" s="94"/>
    </row>
    <row r="551" spans="1:18" x14ac:dyDescent="0.25">
      <c r="A551" s="367">
        <v>41770</v>
      </c>
      <c r="B551" s="367" t="s">
        <v>279</v>
      </c>
      <c r="C551" s="279" t="s">
        <v>499</v>
      </c>
      <c r="D551" s="159" t="s">
        <v>982</v>
      </c>
      <c r="E551" s="45">
        <f t="shared" si="42"/>
        <v>41770</v>
      </c>
      <c r="F551" s="148" t="str">
        <f t="shared" si="43"/>
        <v>2013-14</v>
      </c>
      <c r="G551" s="1"/>
      <c r="H551" s="163"/>
      <c r="I551" s="37"/>
      <c r="J551" s="138">
        <f t="shared" si="44"/>
        <v>0.77968490742404351</v>
      </c>
      <c r="K551" s="114"/>
      <c r="L551" s="37">
        <v>6.9476690335700004</v>
      </c>
      <c r="M551" s="37" t="s">
        <v>142</v>
      </c>
      <c r="N551" s="37">
        <v>916.52160117073151</v>
      </c>
      <c r="O551" s="132">
        <f t="shared" si="45"/>
        <v>6367.6887470518859</v>
      </c>
      <c r="P551" s="134">
        <f t="shared" si="46"/>
        <v>4476.6283525156032</v>
      </c>
      <c r="Q551" s="261">
        <v>0.90167512040416919</v>
      </c>
      <c r="R551" s="94"/>
    </row>
    <row r="552" spans="1:18" x14ac:dyDescent="0.25">
      <c r="A552" s="367">
        <v>41770</v>
      </c>
      <c r="B552" s="367" t="s">
        <v>279</v>
      </c>
      <c r="C552" s="279" t="s">
        <v>499</v>
      </c>
      <c r="D552" s="159" t="s">
        <v>982</v>
      </c>
      <c r="E552" s="45">
        <f t="shared" si="42"/>
        <v>41770</v>
      </c>
      <c r="F552" s="148" t="str">
        <f t="shared" si="43"/>
        <v>2013-14</v>
      </c>
      <c r="G552" s="1"/>
      <c r="H552" s="163"/>
      <c r="I552" s="37"/>
      <c r="J552" s="138">
        <f t="shared" si="44"/>
        <v>0.77968490742404351</v>
      </c>
      <c r="K552" s="114"/>
      <c r="L552" s="37">
        <v>2.2248049352699999</v>
      </c>
      <c r="M552" s="37" t="s">
        <v>142</v>
      </c>
      <c r="N552" s="37">
        <v>514.18436487804865</v>
      </c>
      <c r="O552" s="132">
        <f t="shared" si="45"/>
        <v>1143.959912619353</v>
      </c>
      <c r="P552" s="134">
        <f t="shared" si="46"/>
        <v>804.22953796917727</v>
      </c>
      <c r="Q552" s="261">
        <v>0.90167512040416919</v>
      </c>
      <c r="R552" s="94"/>
    </row>
    <row r="553" spans="1:18" x14ac:dyDescent="0.25">
      <c r="A553" s="367">
        <v>41770</v>
      </c>
      <c r="B553" s="367" t="s">
        <v>279</v>
      </c>
      <c r="C553" s="279" t="s">
        <v>499</v>
      </c>
      <c r="D553" s="159" t="s">
        <v>982</v>
      </c>
      <c r="E553" s="45">
        <f t="shared" si="42"/>
        <v>41770</v>
      </c>
      <c r="F553" s="148" t="str">
        <f t="shared" si="43"/>
        <v>2013-14</v>
      </c>
      <c r="G553" s="1"/>
      <c r="H553" s="163"/>
      <c r="I553" s="37"/>
      <c r="J553" s="138">
        <f t="shared" si="44"/>
        <v>0.77968490742404351</v>
      </c>
      <c r="K553" s="114"/>
      <c r="L553" s="37">
        <v>37.323457687699999</v>
      </c>
      <c r="M553" s="37" t="s">
        <v>142</v>
      </c>
      <c r="N553" s="37">
        <v>621.96155034146341</v>
      </c>
      <c r="O553" s="132">
        <f t="shared" si="45"/>
        <v>23213.755607545903</v>
      </c>
      <c r="P553" s="134">
        <f t="shared" si="46"/>
        <v>16319.792101839254</v>
      </c>
      <c r="Q553" s="261">
        <v>0.90167512040416919</v>
      </c>
      <c r="R553" s="94"/>
    </row>
    <row r="554" spans="1:18" x14ac:dyDescent="0.25">
      <c r="A554" s="367">
        <v>41770</v>
      </c>
      <c r="B554" s="367" t="s">
        <v>279</v>
      </c>
      <c r="C554" s="279" t="s">
        <v>499</v>
      </c>
      <c r="D554" s="159" t="s">
        <v>982</v>
      </c>
      <c r="E554" s="45">
        <f t="shared" si="42"/>
        <v>41770</v>
      </c>
      <c r="F554" s="148" t="str">
        <f t="shared" si="43"/>
        <v>2013-14</v>
      </c>
      <c r="G554" s="1"/>
      <c r="H554" s="163"/>
      <c r="I554" s="37"/>
      <c r="J554" s="138">
        <f t="shared" si="44"/>
        <v>0.77968490742404351</v>
      </c>
      <c r="K554" s="114"/>
      <c r="L554" s="37">
        <v>5.7047500383500003</v>
      </c>
      <c r="M554" s="37" t="s">
        <v>142</v>
      </c>
      <c r="N554" s="37">
        <v>514.18436487804865</v>
      </c>
      <c r="O554" s="132">
        <f t="shared" si="45"/>
        <v>2933.2932752570186</v>
      </c>
      <c r="P554" s="134">
        <f t="shared" si="46"/>
        <v>2062.1711210898052</v>
      </c>
      <c r="Q554" s="261">
        <v>0.90167512040416919</v>
      </c>
      <c r="R554" s="94"/>
    </row>
    <row r="555" spans="1:18" x14ac:dyDescent="0.25">
      <c r="A555" s="367">
        <v>41770</v>
      </c>
      <c r="B555" s="367" t="s">
        <v>279</v>
      </c>
      <c r="C555" s="279" t="s">
        <v>499</v>
      </c>
      <c r="D555" s="159" t="s">
        <v>982</v>
      </c>
      <c r="E555" s="45">
        <f t="shared" si="42"/>
        <v>41770</v>
      </c>
      <c r="F555" s="148" t="str">
        <f t="shared" si="43"/>
        <v>2013-14</v>
      </c>
      <c r="G555" s="1"/>
      <c r="H555" s="163"/>
      <c r="I555" s="37"/>
      <c r="J555" s="138">
        <f t="shared" si="44"/>
        <v>0.77968490742404351</v>
      </c>
      <c r="K555" s="114"/>
      <c r="L555" s="37">
        <v>12.032573897500001</v>
      </c>
      <c r="M555" s="37" t="s">
        <v>142</v>
      </c>
      <c r="N555" s="37">
        <v>621.96155034146341</v>
      </c>
      <c r="O555" s="132">
        <f t="shared" si="45"/>
        <v>7483.7983158873249</v>
      </c>
      <c r="P555" s="134">
        <f t="shared" si="46"/>
        <v>5261.2784726515674</v>
      </c>
      <c r="Q555" s="261">
        <v>0.90167512040416919</v>
      </c>
      <c r="R555" s="94"/>
    </row>
    <row r="556" spans="1:18" x14ac:dyDescent="0.25">
      <c r="A556" s="367">
        <v>41770</v>
      </c>
      <c r="B556" s="367" t="s">
        <v>279</v>
      </c>
      <c r="C556" s="279" t="s">
        <v>499</v>
      </c>
      <c r="D556" s="159" t="s">
        <v>982</v>
      </c>
      <c r="E556" s="45">
        <f t="shared" si="42"/>
        <v>41770</v>
      </c>
      <c r="F556" s="148" t="str">
        <f t="shared" si="43"/>
        <v>2013-14</v>
      </c>
      <c r="G556" s="1"/>
      <c r="H556" s="163"/>
      <c r="I556" s="37"/>
      <c r="J556" s="138">
        <f t="shared" si="44"/>
        <v>0.77968490742404351</v>
      </c>
      <c r="K556" s="114"/>
      <c r="L556" s="37">
        <v>10.1270541126</v>
      </c>
      <c r="M556" s="37" t="s">
        <v>142</v>
      </c>
      <c r="N556" s="37">
        <v>916.52160117073151</v>
      </c>
      <c r="O556" s="132">
        <f t="shared" si="45"/>
        <v>9281.663850422794</v>
      </c>
      <c r="P556" s="134">
        <f t="shared" si="46"/>
        <v>6525.2183644432862</v>
      </c>
      <c r="Q556" s="261">
        <v>0.90167512040416919</v>
      </c>
      <c r="R556" s="94"/>
    </row>
    <row r="557" spans="1:18" x14ac:dyDescent="0.25">
      <c r="A557" s="367">
        <v>41770</v>
      </c>
      <c r="B557" s="367" t="s">
        <v>279</v>
      </c>
      <c r="C557" s="279" t="s">
        <v>499</v>
      </c>
      <c r="D557" s="159" t="s">
        <v>982</v>
      </c>
      <c r="E557" s="45">
        <f t="shared" si="42"/>
        <v>41770</v>
      </c>
      <c r="F557" s="148" t="str">
        <f t="shared" si="43"/>
        <v>2013-14</v>
      </c>
      <c r="G557" s="1"/>
      <c r="H557" s="163"/>
      <c r="I557" s="37"/>
      <c r="J557" s="138">
        <f t="shared" si="44"/>
        <v>0.77968490742404351</v>
      </c>
      <c r="K557" s="114"/>
      <c r="L557" s="37">
        <v>2.7658682912499999</v>
      </c>
      <c r="M557" s="37" t="s">
        <v>142</v>
      </c>
      <c r="N557" s="37">
        <v>514.18436487804865</v>
      </c>
      <c r="O557" s="132">
        <f t="shared" si="45"/>
        <v>1422.1662306727148</v>
      </c>
      <c r="P557" s="134">
        <f t="shared" si="46"/>
        <v>999.81483441182468</v>
      </c>
      <c r="Q557" s="261">
        <v>0.90167512040416919</v>
      </c>
      <c r="R557" s="94"/>
    </row>
    <row r="558" spans="1:18" x14ac:dyDescent="0.25">
      <c r="A558" s="367">
        <v>41770</v>
      </c>
      <c r="B558" s="367" t="s">
        <v>279</v>
      </c>
      <c r="C558" s="279" t="s">
        <v>499</v>
      </c>
      <c r="D558" s="159" t="s">
        <v>982</v>
      </c>
      <c r="E558" s="45">
        <f t="shared" si="42"/>
        <v>41770</v>
      </c>
      <c r="F558" s="148" t="str">
        <f t="shared" si="43"/>
        <v>2013-14</v>
      </c>
      <c r="G558" s="1"/>
      <c r="H558" s="163"/>
      <c r="I558" s="37"/>
      <c r="J558" s="138">
        <f t="shared" si="44"/>
        <v>0.77968490742404351</v>
      </c>
      <c r="K558" s="114"/>
      <c r="L558" s="37">
        <v>1.00480097532</v>
      </c>
      <c r="M558" s="37" t="s">
        <v>142</v>
      </c>
      <c r="N558" s="37">
        <v>470.74786858536584</v>
      </c>
      <c r="O558" s="132">
        <f t="shared" si="45"/>
        <v>473.00791748438678</v>
      </c>
      <c r="P558" s="134">
        <f t="shared" si="46"/>
        <v>332.53520052394498</v>
      </c>
      <c r="Q558" s="261">
        <v>0.90167512040416919</v>
      </c>
      <c r="R558" s="94"/>
    </row>
    <row r="559" spans="1:18" x14ac:dyDescent="0.25">
      <c r="A559" s="367">
        <v>41770</v>
      </c>
      <c r="B559" s="367" t="s">
        <v>279</v>
      </c>
      <c r="C559" s="279" t="s">
        <v>499</v>
      </c>
      <c r="D559" s="159" t="s">
        <v>982</v>
      </c>
      <c r="E559" s="45">
        <f t="shared" si="42"/>
        <v>41770</v>
      </c>
      <c r="F559" s="148" t="str">
        <f t="shared" si="43"/>
        <v>2013-14</v>
      </c>
      <c r="G559" s="1"/>
      <c r="H559" s="163"/>
      <c r="I559" s="37"/>
      <c r="J559" s="138">
        <f t="shared" si="44"/>
        <v>0.77968490742404351</v>
      </c>
      <c r="K559" s="114"/>
      <c r="L559" s="37">
        <v>8.1000274690899996</v>
      </c>
      <c r="M559" s="37" t="s">
        <v>142</v>
      </c>
      <c r="N559" s="37">
        <v>916.52160117073151</v>
      </c>
      <c r="O559" s="132">
        <f t="shared" si="45"/>
        <v>7423.8501454972748</v>
      </c>
      <c r="P559" s="134">
        <f t="shared" si="46"/>
        <v>5219.1335610659025</v>
      </c>
      <c r="Q559" s="261">
        <v>0.90167512040416919</v>
      </c>
      <c r="R559" s="94"/>
    </row>
    <row r="560" spans="1:18" x14ac:dyDescent="0.25">
      <c r="A560" s="367">
        <v>43397</v>
      </c>
      <c r="B560" s="367" t="s">
        <v>279</v>
      </c>
      <c r="C560" s="279" t="s">
        <v>500</v>
      </c>
      <c r="D560" s="159" t="s">
        <v>983</v>
      </c>
      <c r="E560" s="45">
        <f t="shared" si="42"/>
        <v>43397</v>
      </c>
      <c r="F560" s="148" t="str">
        <f t="shared" si="43"/>
        <v>2018-19</v>
      </c>
      <c r="G560" s="1"/>
      <c r="H560" s="163"/>
      <c r="I560" s="37"/>
      <c r="J560" s="138">
        <f t="shared" si="44"/>
        <v>0.77968490742404351</v>
      </c>
      <c r="K560" s="114"/>
      <c r="L560" s="37">
        <v>10.112135601</v>
      </c>
      <c r="M560" s="37" t="s">
        <v>142</v>
      </c>
      <c r="N560" s="37">
        <v>1196.8811692682925</v>
      </c>
      <c r="O560" s="132">
        <f t="shared" si="45"/>
        <v>12103.024681924408</v>
      </c>
      <c r="P560" s="134">
        <f t="shared" si="46"/>
        <v>9436.5456786771447</v>
      </c>
      <c r="Q560" s="261">
        <v>1</v>
      </c>
      <c r="R560" s="94"/>
    </row>
    <row r="561" spans="1:18" x14ac:dyDescent="0.25">
      <c r="A561" s="367">
        <v>43955</v>
      </c>
      <c r="B561" s="367" t="s">
        <v>279</v>
      </c>
      <c r="C561" s="279" t="s">
        <v>501</v>
      </c>
      <c r="D561" s="159" t="s">
        <v>984</v>
      </c>
      <c r="E561" s="45">
        <f t="shared" si="42"/>
        <v>43955</v>
      </c>
      <c r="F561" s="148" t="str">
        <f t="shared" si="43"/>
        <v>2019-20</v>
      </c>
      <c r="G561" s="1"/>
      <c r="H561" s="163"/>
      <c r="I561" s="37"/>
      <c r="J561" s="138">
        <f t="shared" si="44"/>
        <v>0.77968490742404351</v>
      </c>
      <c r="K561" s="114"/>
      <c r="L561" s="37">
        <v>224.78964542400001</v>
      </c>
      <c r="M561" s="37" t="s">
        <v>142</v>
      </c>
      <c r="N561" s="37">
        <v>1128.7084557073169</v>
      </c>
      <c r="O561" s="132">
        <f t="shared" si="45"/>
        <v>253721.97354551841</v>
      </c>
      <c r="P561" s="134">
        <f t="shared" si="46"/>
        <v>197823.19345528315</v>
      </c>
      <c r="Q561" s="261">
        <v>1</v>
      </c>
      <c r="R561" s="94"/>
    </row>
    <row r="562" spans="1:18" x14ac:dyDescent="0.25">
      <c r="A562" s="367">
        <v>43955</v>
      </c>
      <c r="B562" s="367" t="s">
        <v>279</v>
      </c>
      <c r="C562" s="279" t="s">
        <v>501</v>
      </c>
      <c r="D562" s="159" t="s">
        <v>985</v>
      </c>
      <c r="E562" s="45">
        <f t="shared" si="42"/>
        <v>43955</v>
      </c>
      <c r="F562" s="148" t="str">
        <f t="shared" si="43"/>
        <v>2019-20</v>
      </c>
      <c r="G562" s="1"/>
      <c r="H562" s="163"/>
      <c r="I562" s="37"/>
      <c r="J562" s="138">
        <f t="shared" si="44"/>
        <v>0.77968490742404351</v>
      </c>
      <c r="K562" s="114"/>
      <c r="L562" s="37">
        <v>4.4607917877599998</v>
      </c>
      <c r="M562" s="37" t="s">
        <v>142</v>
      </c>
      <c r="N562" s="37">
        <v>771.6404230243902</v>
      </c>
      <c r="O562" s="132">
        <f t="shared" si="45"/>
        <v>3442.1272621308522</v>
      </c>
      <c r="P562" s="134">
        <f t="shared" si="46"/>
        <v>2683.7746757162699</v>
      </c>
      <c r="Q562" s="261">
        <v>1</v>
      </c>
      <c r="R562" s="94"/>
    </row>
    <row r="563" spans="1:18" x14ac:dyDescent="0.25">
      <c r="A563" s="367">
        <v>43955</v>
      </c>
      <c r="B563" s="367" t="s">
        <v>279</v>
      </c>
      <c r="C563" s="279" t="s">
        <v>501</v>
      </c>
      <c r="D563" s="159" t="s">
        <v>985</v>
      </c>
      <c r="E563" s="45">
        <f t="shared" si="42"/>
        <v>43955</v>
      </c>
      <c r="F563" s="148" t="str">
        <f t="shared" si="43"/>
        <v>2019-20</v>
      </c>
      <c r="G563" s="1"/>
      <c r="H563" s="163"/>
      <c r="I563" s="37"/>
      <c r="J563" s="138">
        <f t="shared" si="44"/>
        <v>0.77968490742404351</v>
      </c>
      <c r="K563" s="114"/>
      <c r="L563" s="37">
        <v>8.9793235068099992</v>
      </c>
      <c r="M563" s="37" t="s">
        <v>142</v>
      </c>
      <c r="N563" s="37">
        <v>1128.7084557073169</v>
      </c>
      <c r="O563" s="132">
        <f t="shared" si="45"/>
        <v>10135.038368667923</v>
      </c>
      <c r="P563" s="134">
        <f t="shared" si="46"/>
        <v>7902.1364522139784</v>
      </c>
      <c r="Q563" s="261">
        <v>1</v>
      </c>
      <c r="R563" s="94"/>
    </row>
    <row r="564" spans="1:18" x14ac:dyDescent="0.25">
      <c r="A564" s="367">
        <v>43955</v>
      </c>
      <c r="B564" s="367" t="s">
        <v>279</v>
      </c>
      <c r="C564" s="279" t="s">
        <v>501</v>
      </c>
      <c r="D564" s="159" t="s">
        <v>985</v>
      </c>
      <c r="E564" s="45">
        <f t="shared" si="42"/>
        <v>43955</v>
      </c>
      <c r="F564" s="148" t="str">
        <f t="shared" si="43"/>
        <v>2019-20</v>
      </c>
      <c r="G564" s="1"/>
      <c r="H564" s="163"/>
      <c r="I564" s="37"/>
      <c r="J564" s="138">
        <f t="shared" si="44"/>
        <v>0.77968490742404351</v>
      </c>
      <c r="K564" s="114"/>
      <c r="L564" s="37">
        <v>7.4759725032700004</v>
      </c>
      <c r="M564" s="37" t="s">
        <v>142</v>
      </c>
      <c r="N564" s="37">
        <v>771.6404230243902</v>
      </c>
      <c r="O564" s="132">
        <f t="shared" si="45"/>
        <v>5768.7625849419728</v>
      </c>
      <c r="P564" s="134">
        <f t="shared" si="46"/>
        <v>4497.8171219917676</v>
      </c>
      <c r="Q564" s="261">
        <v>1</v>
      </c>
      <c r="R564" s="94"/>
    </row>
    <row r="565" spans="1:18" x14ac:dyDescent="0.25">
      <c r="A565" s="367">
        <v>43955</v>
      </c>
      <c r="B565" s="367" t="s">
        <v>279</v>
      </c>
      <c r="C565" s="279" t="s">
        <v>501</v>
      </c>
      <c r="D565" s="159" t="s">
        <v>985</v>
      </c>
      <c r="E565" s="45">
        <f t="shared" si="42"/>
        <v>43955</v>
      </c>
      <c r="F565" s="148" t="str">
        <f t="shared" si="43"/>
        <v>2019-20</v>
      </c>
      <c r="G565" s="1"/>
      <c r="H565" s="163"/>
      <c r="I565" s="37"/>
      <c r="J565" s="138">
        <f t="shared" si="44"/>
        <v>0.77968490742404351</v>
      </c>
      <c r="K565" s="114"/>
      <c r="L565" s="37">
        <v>9.6666263864499999</v>
      </c>
      <c r="M565" s="37" t="s">
        <v>142</v>
      </c>
      <c r="N565" s="37">
        <v>1128.7084557073169</v>
      </c>
      <c r="O565" s="132">
        <f t="shared" si="45"/>
        <v>10910.802940549582</v>
      </c>
      <c r="P565" s="134">
        <f t="shared" si="46"/>
        <v>8506.9883806243815</v>
      </c>
      <c r="Q565" s="261">
        <v>1</v>
      </c>
      <c r="R565" s="94"/>
    </row>
    <row r="566" spans="1:18" x14ac:dyDescent="0.25">
      <c r="A566" s="367">
        <v>41770</v>
      </c>
      <c r="B566" s="367" t="s">
        <v>279</v>
      </c>
      <c r="C566" s="279" t="s">
        <v>499</v>
      </c>
      <c r="D566" s="159" t="s">
        <v>982</v>
      </c>
      <c r="E566" s="45">
        <f t="shared" si="42"/>
        <v>41770</v>
      </c>
      <c r="F566" s="148" t="str">
        <f t="shared" si="43"/>
        <v>2013-14</v>
      </c>
      <c r="G566" s="1"/>
      <c r="H566" s="163"/>
      <c r="I566" s="37"/>
      <c r="J566" s="138">
        <f t="shared" si="44"/>
        <v>0.77968490742404351</v>
      </c>
      <c r="K566" s="114"/>
      <c r="L566" s="37">
        <v>19.435978136700001</v>
      </c>
      <c r="M566" s="37" t="s">
        <v>142</v>
      </c>
      <c r="N566" s="37">
        <v>621.96155034146341</v>
      </c>
      <c r="O566" s="132">
        <f t="shared" si="45"/>
        <v>12088.43109430472</v>
      </c>
      <c r="P566" s="134">
        <f t="shared" si="46"/>
        <v>8498.4388408196137</v>
      </c>
      <c r="Q566" s="261">
        <v>0.90167512040416919</v>
      </c>
      <c r="R566" s="94"/>
    </row>
    <row r="567" spans="1:18" x14ac:dyDescent="0.25">
      <c r="A567" s="367">
        <v>42930</v>
      </c>
      <c r="B567" s="367" t="s">
        <v>279</v>
      </c>
      <c r="C567" s="279" t="s">
        <v>502</v>
      </c>
      <c r="D567" s="159" t="s">
        <v>983</v>
      </c>
      <c r="E567" s="45">
        <f t="shared" si="42"/>
        <v>42930</v>
      </c>
      <c r="F567" s="148" t="str">
        <f t="shared" si="43"/>
        <v>2017-18</v>
      </c>
      <c r="G567" s="1"/>
      <c r="H567" s="163"/>
      <c r="I567" s="37"/>
      <c r="J567" s="138">
        <f t="shared" si="44"/>
        <v>0.77968490742404351</v>
      </c>
      <c r="K567" s="114"/>
      <c r="L567" s="37">
        <v>18.421470978199999</v>
      </c>
      <c r="M567" s="37" t="s">
        <v>142</v>
      </c>
      <c r="N567" s="37">
        <v>1196.8811692682925</v>
      </c>
      <c r="O567" s="132">
        <f t="shared" si="45"/>
        <v>22048.311724029933</v>
      </c>
      <c r="P567" s="134">
        <f t="shared" si="46"/>
        <v>17190.735885406732</v>
      </c>
      <c r="Q567" s="261">
        <v>1</v>
      </c>
      <c r="R567" s="94"/>
    </row>
    <row r="568" spans="1:18" x14ac:dyDescent="0.25">
      <c r="A568" s="367">
        <v>42930</v>
      </c>
      <c r="B568" s="367" t="s">
        <v>279</v>
      </c>
      <c r="C568" s="279" t="s">
        <v>502</v>
      </c>
      <c r="D568" s="159" t="s">
        <v>983</v>
      </c>
      <c r="E568" s="45">
        <f t="shared" si="42"/>
        <v>42930</v>
      </c>
      <c r="F568" s="148" t="str">
        <f t="shared" si="43"/>
        <v>2017-18</v>
      </c>
      <c r="G568" s="1"/>
      <c r="H568" s="163"/>
      <c r="I568" s="37"/>
      <c r="J568" s="138">
        <f t="shared" si="44"/>
        <v>0.77968490742404351</v>
      </c>
      <c r="K568" s="114"/>
      <c r="L568" s="37">
        <v>2.4997041824999999</v>
      </c>
      <c r="M568" s="37" t="s">
        <v>142</v>
      </c>
      <c r="N568" s="37">
        <v>1196.8811692682925</v>
      </c>
      <c r="O568" s="132">
        <f t="shared" si="45"/>
        <v>2991.8488647754411</v>
      </c>
      <c r="P568" s="134">
        <f t="shared" si="46"/>
        <v>2332.6994051591696</v>
      </c>
      <c r="Q568" s="261">
        <v>1</v>
      </c>
      <c r="R568" s="94"/>
    </row>
    <row r="569" spans="1:18" x14ac:dyDescent="0.25">
      <c r="A569" s="367">
        <v>42930</v>
      </c>
      <c r="B569" s="367" t="s">
        <v>279</v>
      </c>
      <c r="C569" s="279" t="s">
        <v>502</v>
      </c>
      <c r="D569" s="159" t="s">
        <v>983</v>
      </c>
      <c r="E569" s="45">
        <f t="shared" si="42"/>
        <v>42930</v>
      </c>
      <c r="F569" s="148" t="str">
        <f t="shared" si="43"/>
        <v>2017-18</v>
      </c>
      <c r="G569" s="1"/>
      <c r="H569" s="163"/>
      <c r="I569" s="37"/>
      <c r="J569" s="138">
        <f t="shared" si="44"/>
        <v>0.77968490742404351</v>
      </c>
      <c r="K569" s="114"/>
      <c r="L569" s="37">
        <v>2.4997041964400002</v>
      </c>
      <c r="M569" s="37" t="s">
        <v>142</v>
      </c>
      <c r="N569" s="37">
        <v>1196.8811692682925</v>
      </c>
      <c r="O569" s="132">
        <f t="shared" si="45"/>
        <v>2991.848881459965</v>
      </c>
      <c r="P569" s="134">
        <f t="shared" si="46"/>
        <v>2332.699418167841</v>
      </c>
      <c r="Q569" s="261">
        <v>1</v>
      </c>
      <c r="R569" s="94"/>
    </row>
    <row r="570" spans="1:18" x14ac:dyDescent="0.25">
      <c r="A570" s="367">
        <v>42930</v>
      </c>
      <c r="B570" s="367" t="s">
        <v>279</v>
      </c>
      <c r="C570" s="279" t="s">
        <v>502</v>
      </c>
      <c r="D570" s="159" t="s">
        <v>983</v>
      </c>
      <c r="E570" s="45">
        <f t="shared" si="42"/>
        <v>42930</v>
      </c>
      <c r="F570" s="148" t="str">
        <f t="shared" si="43"/>
        <v>2017-18</v>
      </c>
      <c r="G570" s="1"/>
      <c r="H570" s="163"/>
      <c r="I570" s="37"/>
      <c r="J570" s="138">
        <f t="shared" si="44"/>
        <v>0.77968490742404351</v>
      </c>
      <c r="K570" s="114"/>
      <c r="L570" s="37">
        <v>1.59120089655</v>
      </c>
      <c r="M570" s="37" t="s">
        <v>142</v>
      </c>
      <c r="N570" s="37">
        <v>1196.8811692682925</v>
      </c>
      <c r="O570" s="132">
        <f t="shared" si="45"/>
        <v>1904.4783896035194</v>
      </c>
      <c r="P570" s="134">
        <f t="shared" si="46"/>
        <v>1484.8930568891114</v>
      </c>
      <c r="Q570" s="261">
        <v>1</v>
      </c>
      <c r="R570" s="94"/>
    </row>
    <row r="571" spans="1:18" x14ac:dyDescent="0.25">
      <c r="A571" s="367">
        <v>42993</v>
      </c>
      <c r="B571" s="367" t="s">
        <v>279</v>
      </c>
      <c r="C571" s="279" t="s">
        <v>503</v>
      </c>
      <c r="D571" s="159" t="s">
        <v>983</v>
      </c>
      <c r="E571" s="45">
        <f t="shared" si="42"/>
        <v>42993</v>
      </c>
      <c r="F571" s="148" t="str">
        <f t="shared" si="43"/>
        <v>2017-18</v>
      </c>
      <c r="G571" s="1"/>
      <c r="H571" s="163"/>
      <c r="I571" s="37"/>
      <c r="J571" s="138">
        <f t="shared" si="44"/>
        <v>0.77968490742404351</v>
      </c>
      <c r="K571" s="114"/>
      <c r="L571" s="37">
        <v>14.080780536700001</v>
      </c>
      <c r="M571" s="37" t="s">
        <v>142</v>
      </c>
      <c r="N571" s="37">
        <v>1196.8811692682925</v>
      </c>
      <c r="O571" s="132">
        <f t="shared" si="45"/>
        <v>16853.021072975713</v>
      </c>
      <c r="P571" s="134">
        <f t="shared" si="46"/>
        <v>13140.046175098523</v>
      </c>
      <c r="Q571" s="261">
        <v>1</v>
      </c>
      <c r="R571" s="94"/>
    </row>
    <row r="572" spans="1:18" x14ac:dyDescent="0.25">
      <c r="A572" s="367">
        <v>42977</v>
      </c>
      <c r="B572" s="367" t="s">
        <v>279</v>
      </c>
      <c r="C572" s="279" t="s">
        <v>504</v>
      </c>
      <c r="D572" s="159" t="s">
        <v>986</v>
      </c>
      <c r="E572" s="45">
        <f t="shared" si="42"/>
        <v>42977</v>
      </c>
      <c r="F572" s="148" t="str">
        <f t="shared" si="43"/>
        <v>2017-18</v>
      </c>
      <c r="G572" s="1"/>
      <c r="H572" s="163"/>
      <c r="I572" s="37"/>
      <c r="J572" s="138">
        <f t="shared" si="44"/>
        <v>0.77968490742404351</v>
      </c>
      <c r="K572" s="114"/>
      <c r="L572" s="37">
        <v>1.2908865170899999</v>
      </c>
      <c r="M572" s="37" t="s">
        <v>142</v>
      </c>
      <c r="N572" s="37">
        <v>771.6404230243902</v>
      </c>
      <c r="O572" s="132">
        <f t="shared" si="45"/>
        <v>996.10021812380921</v>
      </c>
      <c r="P572" s="134">
        <f t="shared" si="46"/>
        <v>776.64430635293172</v>
      </c>
      <c r="Q572" s="261">
        <v>1</v>
      </c>
      <c r="R572" s="94"/>
    </row>
    <row r="573" spans="1:18" x14ac:dyDescent="0.25">
      <c r="A573" s="367">
        <v>42977</v>
      </c>
      <c r="B573" s="367" t="s">
        <v>279</v>
      </c>
      <c r="C573" s="279" t="s">
        <v>504</v>
      </c>
      <c r="D573" s="159" t="s">
        <v>986</v>
      </c>
      <c r="E573" s="45">
        <f t="shared" si="42"/>
        <v>42977</v>
      </c>
      <c r="F573" s="148" t="str">
        <f t="shared" si="43"/>
        <v>2017-18</v>
      </c>
      <c r="G573" s="1"/>
      <c r="H573" s="163"/>
      <c r="I573" s="37"/>
      <c r="J573" s="138">
        <f t="shared" si="44"/>
        <v>0.77968490742404351</v>
      </c>
      <c r="K573" s="114"/>
      <c r="L573" s="37">
        <v>13.0357631358</v>
      </c>
      <c r="M573" s="37" t="s">
        <v>142</v>
      </c>
      <c r="N573" s="37">
        <v>771.6404230243902</v>
      </c>
      <c r="O573" s="132">
        <f t="shared" si="45"/>
        <v>10058.921780554463</v>
      </c>
      <c r="P573" s="134">
        <f t="shared" si="46"/>
        <v>7842.7894972573013</v>
      </c>
      <c r="Q573" s="261">
        <v>1</v>
      </c>
      <c r="R573" s="94"/>
    </row>
    <row r="574" spans="1:18" x14ac:dyDescent="0.25">
      <c r="A574" s="367">
        <v>40457</v>
      </c>
      <c r="B574" s="367" t="s">
        <v>279</v>
      </c>
      <c r="C574" s="279" t="s">
        <v>505</v>
      </c>
      <c r="D574" s="159" t="s">
        <v>986</v>
      </c>
      <c r="E574" s="45">
        <f t="shared" si="42"/>
        <v>40457</v>
      </c>
      <c r="F574" s="148" t="str">
        <f t="shared" si="43"/>
        <v>2010-11</v>
      </c>
      <c r="G574" s="1"/>
      <c r="H574" s="163"/>
      <c r="I574" s="37"/>
      <c r="J574" s="138">
        <f t="shared" si="44"/>
        <v>0.77968490742404351</v>
      </c>
      <c r="K574" s="114"/>
      <c r="L574" s="37">
        <v>45.2182166248</v>
      </c>
      <c r="M574" s="37" t="s">
        <v>142</v>
      </c>
      <c r="N574" s="37">
        <v>621.96155034146341</v>
      </c>
      <c r="O574" s="132">
        <f t="shared" si="45"/>
        <v>28123.992115636742</v>
      </c>
      <c r="P574" s="134">
        <f t="shared" si="46"/>
        <v>11011.609080772949</v>
      </c>
      <c r="Q574" s="261">
        <v>0.50217453975083459</v>
      </c>
      <c r="R574" s="94"/>
    </row>
    <row r="575" spans="1:18" x14ac:dyDescent="0.25">
      <c r="A575" s="367">
        <v>42977</v>
      </c>
      <c r="B575" s="367" t="s">
        <v>279</v>
      </c>
      <c r="C575" s="279" t="s">
        <v>504</v>
      </c>
      <c r="D575" s="159" t="s">
        <v>986</v>
      </c>
      <c r="E575" s="45">
        <f t="shared" si="42"/>
        <v>42977</v>
      </c>
      <c r="F575" s="148" t="str">
        <f t="shared" si="43"/>
        <v>2017-18</v>
      </c>
      <c r="G575" s="1"/>
      <c r="H575" s="163"/>
      <c r="I575" s="37"/>
      <c r="J575" s="138">
        <f t="shared" si="44"/>
        <v>0.77968490742404351</v>
      </c>
      <c r="K575" s="114"/>
      <c r="L575" s="37">
        <v>16.250906542300001</v>
      </c>
      <c r="M575" s="37" t="s">
        <v>142</v>
      </c>
      <c r="N575" s="37">
        <v>771.6404230243902</v>
      </c>
      <c r="O575" s="132">
        <f t="shared" si="45"/>
        <v>12539.856398830203</v>
      </c>
      <c r="P575" s="134">
        <f t="shared" si="46"/>
        <v>9777.1367754327257</v>
      </c>
      <c r="Q575" s="261">
        <v>1</v>
      </c>
      <c r="R575" s="94"/>
    </row>
    <row r="576" spans="1:18" x14ac:dyDescent="0.25">
      <c r="A576" s="367">
        <v>43061</v>
      </c>
      <c r="B576" s="367" t="s">
        <v>279</v>
      </c>
      <c r="C576" s="279" t="s">
        <v>506</v>
      </c>
      <c r="D576" s="159" t="s">
        <v>986</v>
      </c>
      <c r="E576" s="45">
        <f t="shared" si="42"/>
        <v>43061</v>
      </c>
      <c r="F576" s="148" t="str">
        <f t="shared" si="43"/>
        <v>2017-18</v>
      </c>
      <c r="G576" s="1"/>
      <c r="H576" s="163"/>
      <c r="I576" s="37"/>
      <c r="J576" s="138">
        <f t="shared" si="44"/>
        <v>0.77968490742404351</v>
      </c>
      <c r="K576" s="114"/>
      <c r="L576" s="37">
        <v>58.651920580400002</v>
      </c>
      <c r="M576" s="37" t="s">
        <v>142</v>
      </c>
      <c r="N576" s="37">
        <v>771.6404230243902</v>
      </c>
      <c r="O576" s="132">
        <f t="shared" si="45"/>
        <v>45258.192807852793</v>
      </c>
      <c r="P576" s="134">
        <f t="shared" si="46"/>
        <v>35287.129869570213</v>
      </c>
      <c r="Q576" s="261">
        <v>1</v>
      </c>
      <c r="R576" s="94"/>
    </row>
    <row r="577" spans="1:18" x14ac:dyDescent="0.25">
      <c r="A577" s="367">
        <v>43061</v>
      </c>
      <c r="B577" s="367" t="s">
        <v>279</v>
      </c>
      <c r="C577" s="279" t="s">
        <v>506</v>
      </c>
      <c r="D577" s="159" t="s">
        <v>986</v>
      </c>
      <c r="E577" s="45">
        <f t="shared" si="42"/>
        <v>43061</v>
      </c>
      <c r="F577" s="148" t="str">
        <f t="shared" si="43"/>
        <v>2017-18</v>
      </c>
      <c r="G577" s="1"/>
      <c r="H577" s="163"/>
      <c r="I577" s="37"/>
      <c r="J577" s="138">
        <f t="shared" si="44"/>
        <v>0.77968490742404351</v>
      </c>
      <c r="K577" s="114"/>
      <c r="L577" s="37">
        <v>3.9174291281500002</v>
      </c>
      <c r="M577" s="37" t="s">
        <v>142</v>
      </c>
      <c r="N577" s="37">
        <v>771.6404230243902</v>
      </c>
      <c r="O577" s="132">
        <f t="shared" si="45"/>
        <v>3022.8466696137343</v>
      </c>
      <c r="P577" s="134">
        <f t="shared" si="46"/>
        <v>2356.8679257548629</v>
      </c>
      <c r="Q577" s="261">
        <v>1</v>
      </c>
      <c r="R577" s="94"/>
    </row>
    <row r="578" spans="1:18" x14ac:dyDescent="0.25">
      <c r="A578" s="367">
        <v>43061</v>
      </c>
      <c r="B578" s="367" t="s">
        <v>279</v>
      </c>
      <c r="C578" s="279" t="s">
        <v>506</v>
      </c>
      <c r="D578" s="159" t="s">
        <v>986</v>
      </c>
      <c r="E578" s="45">
        <f t="shared" si="42"/>
        <v>43061</v>
      </c>
      <c r="F578" s="148" t="str">
        <f t="shared" si="43"/>
        <v>2017-18</v>
      </c>
      <c r="G578" s="1"/>
      <c r="H578" s="163"/>
      <c r="I578" s="37"/>
      <c r="J578" s="138">
        <f t="shared" si="44"/>
        <v>0.77968490742404351</v>
      </c>
      <c r="K578" s="114"/>
      <c r="L578" s="37">
        <v>1.0001244922500001</v>
      </c>
      <c r="M578" s="37" t="s">
        <v>142</v>
      </c>
      <c r="N578" s="37">
        <v>771.6404230243902</v>
      </c>
      <c r="O578" s="132">
        <f t="shared" si="45"/>
        <v>771.73648627684349</v>
      </c>
      <c r="P578" s="134">
        <f t="shared" si="46"/>
        <v>601.71129085851737</v>
      </c>
      <c r="Q578" s="261">
        <v>1</v>
      </c>
      <c r="R578" s="94"/>
    </row>
    <row r="579" spans="1:18" x14ac:dyDescent="0.25">
      <c r="A579" s="367">
        <v>43061</v>
      </c>
      <c r="B579" s="367" t="s">
        <v>279</v>
      </c>
      <c r="C579" s="279" t="s">
        <v>506</v>
      </c>
      <c r="D579" s="159" t="s">
        <v>986</v>
      </c>
      <c r="E579" s="45">
        <f t="shared" si="42"/>
        <v>43061</v>
      </c>
      <c r="F579" s="148" t="str">
        <f t="shared" si="43"/>
        <v>2017-18</v>
      </c>
      <c r="G579" s="1"/>
      <c r="H579" s="163"/>
      <c r="I579" s="37"/>
      <c r="J579" s="138">
        <f t="shared" si="44"/>
        <v>0.77968490742404351</v>
      </c>
      <c r="K579" s="114"/>
      <c r="L579" s="37">
        <v>1.3744084357399999</v>
      </c>
      <c r="M579" s="37" t="s">
        <v>142</v>
      </c>
      <c r="N579" s="37">
        <v>771.6404230243902</v>
      </c>
      <c r="O579" s="132">
        <f t="shared" si="45"/>
        <v>1060.549106762704</v>
      </c>
      <c r="P579" s="134">
        <f t="shared" si="46"/>
        <v>826.89413212493093</v>
      </c>
      <c r="Q579" s="261">
        <v>1</v>
      </c>
      <c r="R579" s="94"/>
    </row>
    <row r="580" spans="1:18" x14ac:dyDescent="0.25">
      <c r="A580" s="367">
        <v>43061</v>
      </c>
      <c r="B580" s="367" t="s">
        <v>279</v>
      </c>
      <c r="C580" s="279" t="s">
        <v>506</v>
      </c>
      <c r="D580" s="159" t="s">
        <v>986</v>
      </c>
      <c r="E580" s="45">
        <f t="shared" si="42"/>
        <v>43061</v>
      </c>
      <c r="F580" s="148" t="str">
        <f t="shared" si="43"/>
        <v>2017-18</v>
      </c>
      <c r="G580" s="1"/>
      <c r="H580" s="163"/>
      <c r="I580" s="37"/>
      <c r="J580" s="138">
        <f t="shared" si="44"/>
        <v>0.77968490742404351</v>
      </c>
      <c r="K580" s="114"/>
      <c r="L580" s="37">
        <v>4.1003385226100004</v>
      </c>
      <c r="M580" s="37" t="s">
        <v>142</v>
      </c>
      <c r="N580" s="37">
        <v>771.6404230243902</v>
      </c>
      <c r="O580" s="132">
        <f t="shared" si="45"/>
        <v>3163.9869521299838</v>
      </c>
      <c r="P580" s="134">
        <f t="shared" si="46"/>
        <v>2466.9128738623481</v>
      </c>
      <c r="Q580" s="261">
        <v>1</v>
      </c>
      <c r="R580" s="94"/>
    </row>
    <row r="581" spans="1:18" x14ac:dyDescent="0.25">
      <c r="A581" s="367">
        <v>43061</v>
      </c>
      <c r="B581" s="367" t="s">
        <v>279</v>
      </c>
      <c r="C581" s="279" t="s">
        <v>506</v>
      </c>
      <c r="D581" s="159" t="s">
        <v>986</v>
      </c>
      <c r="E581" s="45">
        <f t="shared" si="42"/>
        <v>43061</v>
      </c>
      <c r="F581" s="148" t="str">
        <f t="shared" si="43"/>
        <v>2017-18</v>
      </c>
      <c r="G581" s="1"/>
      <c r="H581" s="163"/>
      <c r="I581" s="37"/>
      <c r="J581" s="138">
        <f t="shared" si="44"/>
        <v>0.77968490742404351</v>
      </c>
      <c r="K581" s="114"/>
      <c r="L581" s="37">
        <v>2.2925763476899998</v>
      </c>
      <c r="M581" s="37" t="s">
        <v>142</v>
      </c>
      <c r="N581" s="37">
        <v>771.6404230243902</v>
      </c>
      <c r="O581" s="132">
        <f t="shared" si="45"/>
        <v>1769.0445827472229</v>
      </c>
      <c r="P581" s="134">
        <f t="shared" si="46"/>
        <v>1379.2973617282742</v>
      </c>
      <c r="Q581" s="261">
        <v>1</v>
      </c>
      <c r="R581" s="94"/>
    </row>
    <row r="582" spans="1:18" x14ac:dyDescent="0.25">
      <c r="A582" s="367">
        <v>41718</v>
      </c>
      <c r="B582" s="367" t="s">
        <v>279</v>
      </c>
      <c r="C582" s="279" t="s">
        <v>507</v>
      </c>
      <c r="D582" s="159" t="s">
        <v>987</v>
      </c>
      <c r="E582" s="45">
        <f t="shared" si="42"/>
        <v>41718</v>
      </c>
      <c r="F582" s="148" t="str">
        <f t="shared" si="43"/>
        <v>2013-14</v>
      </c>
      <c r="G582" s="1"/>
      <c r="H582" s="163"/>
      <c r="I582" s="37"/>
      <c r="J582" s="138">
        <f t="shared" si="44"/>
        <v>0.77968490742404351</v>
      </c>
      <c r="K582" s="114"/>
      <c r="L582" s="37">
        <v>55.491588979900001</v>
      </c>
      <c r="M582" s="37" t="s">
        <v>142</v>
      </c>
      <c r="N582" s="37">
        <v>621.96155034146341</v>
      </c>
      <c r="O582" s="132">
        <f t="shared" si="45"/>
        <v>34513.634712849867</v>
      </c>
      <c r="P582" s="134">
        <f t="shared" si="46"/>
        <v>20036.868380349842</v>
      </c>
      <c r="Q582" s="261">
        <v>0.74459483534404403</v>
      </c>
      <c r="R582" s="94"/>
    </row>
    <row r="583" spans="1:18" x14ac:dyDescent="0.25">
      <c r="A583" s="367">
        <v>41718</v>
      </c>
      <c r="B583" s="367" t="s">
        <v>279</v>
      </c>
      <c r="C583" s="279" t="s">
        <v>507</v>
      </c>
      <c r="D583" s="159" t="s">
        <v>987</v>
      </c>
      <c r="E583" s="45">
        <f t="shared" si="42"/>
        <v>41718</v>
      </c>
      <c r="F583" s="148" t="str">
        <f t="shared" si="43"/>
        <v>2013-14</v>
      </c>
      <c r="G583" s="1"/>
      <c r="H583" s="163"/>
      <c r="I583" s="37"/>
      <c r="J583" s="138">
        <f t="shared" si="44"/>
        <v>0.77968490742404351</v>
      </c>
      <c r="K583" s="114"/>
      <c r="L583" s="37">
        <v>114.667199768</v>
      </c>
      <c r="M583" s="37" t="s">
        <v>142</v>
      </c>
      <c r="N583" s="37">
        <v>621.96155034146341</v>
      </c>
      <c r="O583" s="132">
        <f t="shared" si="45"/>
        <v>71318.589341019571</v>
      </c>
      <c r="P583" s="134">
        <f t="shared" si="46"/>
        <v>41403.961060241352</v>
      </c>
      <c r="Q583" s="261">
        <v>0.74459483534404403</v>
      </c>
      <c r="R583" s="94"/>
    </row>
    <row r="584" spans="1:18" x14ac:dyDescent="0.25">
      <c r="A584" s="367">
        <v>41718</v>
      </c>
      <c r="B584" s="367" t="s">
        <v>279</v>
      </c>
      <c r="C584" s="279" t="s">
        <v>507</v>
      </c>
      <c r="D584" s="159" t="s">
        <v>987</v>
      </c>
      <c r="E584" s="45">
        <f t="shared" si="42"/>
        <v>41718</v>
      </c>
      <c r="F584" s="148" t="str">
        <f t="shared" si="43"/>
        <v>2013-14</v>
      </c>
      <c r="G584" s="1"/>
      <c r="H584" s="163"/>
      <c r="I584" s="37"/>
      <c r="J584" s="138">
        <f t="shared" si="44"/>
        <v>0.77968490742404351</v>
      </c>
      <c r="K584" s="114"/>
      <c r="L584" s="37">
        <v>97.837806471199997</v>
      </c>
      <c r="M584" s="37" t="s">
        <v>142</v>
      </c>
      <c r="N584" s="37">
        <v>621.96155034146341</v>
      </c>
      <c r="O584" s="132">
        <f t="shared" si="45"/>
        <v>60851.35379483561</v>
      </c>
      <c r="P584" s="134">
        <f t="shared" si="46"/>
        <v>35327.214212511586</v>
      </c>
      <c r="Q584" s="261">
        <v>0.74459483534404403</v>
      </c>
      <c r="R584" s="94"/>
    </row>
    <row r="585" spans="1:18" x14ac:dyDescent="0.25">
      <c r="A585" s="367">
        <v>41718</v>
      </c>
      <c r="B585" s="367" t="s">
        <v>279</v>
      </c>
      <c r="C585" s="279" t="s">
        <v>507</v>
      </c>
      <c r="D585" s="159" t="s">
        <v>987</v>
      </c>
      <c r="E585" s="45">
        <f t="shared" si="42"/>
        <v>41718</v>
      </c>
      <c r="F585" s="148" t="str">
        <f t="shared" si="43"/>
        <v>2013-14</v>
      </c>
      <c r="G585" s="1"/>
      <c r="H585" s="163"/>
      <c r="I585" s="37"/>
      <c r="J585" s="138">
        <f t="shared" si="44"/>
        <v>0.77968490742404351</v>
      </c>
      <c r="K585" s="114"/>
      <c r="L585" s="37">
        <v>9.6249293619500005</v>
      </c>
      <c r="M585" s="37" t="s">
        <v>142</v>
      </c>
      <c r="N585" s="37">
        <v>621.96155034146341</v>
      </c>
      <c r="O585" s="132">
        <f t="shared" si="45"/>
        <v>5986.3359878854944</v>
      </c>
      <c r="P585" s="134">
        <f t="shared" si="46"/>
        <v>3475.3634981584605</v>
      </c>
      <c r="Q585" s="261">
        <v>0.74459483534404403</v>
      </c>
      <c r="R585" s="94"/>
    </row>
    <row r="586" spans="1:18" x14ac:dyDescent="0.25">
      <c r="A586" s="367">
        <v>41718</v>
      </c>
      <c r="B586" s="367" t="s">
        <v>279</v>
      </c>
      <c r="C586" s="279" t="s">
        <v>507</v>
      </c>
      <c r="D586" s="159" t="s">
        <v>987</v>
      </c>
      <c r="E586" s="45">
        <f t="shared" si="42"/>
        <v>41718</v>
      </c>
      <c r="F586" s="148" t="str">
        <f t="shared" si="43"/>
        <v>2013-14</v>
      </c>
      <c r="G586" s="1"/>
      <c r="H586" s="163"/>
      <c r="I586" s="37"/>
      <c r="J586" s="138">
        <f t="shared" si="44"/>
        <v>0.77968490742404351</v>
      </c>
      <c r="K586" s="114"/>
      <c r="L586" s="37">
        <v>6.0954929762900001</v>
      </c>
      <c r="M586" s="37" t="s">
        <v>142</v>
      </c>
      <c r="N586" s="37">
        <v>621.96155034146341</v>
      </c>
      <c r="O586" s="132">
        <f t="shared" si="45"/>
        <v>3791.1622616288296</v>
      </c>
      <c r="P586" s="134">
        <f t="shared" si="46"/>
        <v>2200.9568066884676</v>
      </c>
      <c r="Q586" s="261">
        <v>0.74459483534404403</v>
      </c>
      <c r="R586" s="94"/>
    </row>
    <row r="587" spans="1:18" x14ac:dyDescent="0.25">
      <c r="A587" s="367">
        <v>41718</v>
      </c>
      <c r="B587" s="367" t="s">
        <v>279</v>
      </c>
      <c r="C587" s="279" t="s">
        <v>507</v>
      </c>
      <c r="D587" s="159" t="s">
        <v>987</v>
      </c>
      <c r="E587" s="45">
        <f t="shared" si="42"/>
        <v>41718</v>
      </c>
      <c r="F587" s="148" t="str">
        <f t="shared" si="43"/>
        <v>2013-14</v>
      </c>
      <c r="G587" s="1"/>
      <c r="H587" s="163"/>
      <c r="I587" s="37"/>
      <c r="J587" s="138">
        <f t="shared" si="44"/>
        <v>0.77968490742404351</v>
      </c>
      <c r="K587" s="114"/>
      <c r="L587" s="37">
        <v>47.436380829100003</v>
      </c>
      <c r="M587" s="37" t="s">
        <v>142</v>
      </c>
      <c r="N587" s="37">
        <v>621.96155034146341</v>
      </c>
      <c r="O587" s="132">
        <f t="shared" si="45"/>
        <v>29503.60496305511</v>
      </c>
      <c r="P587" s="134">
        <f t="shared" si="46"/>
        <v>17128.298839254829</v>
      </c>
      <c r="Q587" s="261">
        <v>0.74459483534404403</v>
      </c>
      <c r="R587" s="94"/>
    </row>
    <row r="588" spans="1:18" x14ac:dyDescent="0.25">
      <c r="A588" s="367">
        <v>43048</v>
      </c>
      <c r="B588" s="367" t="s">
        <v>279</v>
      </c>
      <c r="C588" s="279" t="s">
        <v>508</v>
      </c>
      <c r="D588" s="159" t="s">
        <v>982</v>
      </c>
      <c r="E588" s="45">
        <f t="shared" si="42"/>
        <v>43048</v>
      </c>
      <c r="F588" s="148" t="str">
        <f t="shared" si="43"/>
        <v>2017-18</v>
      </c>
      <c r="G588" s="1"/>
      <c r="H588" s="163"/>
      <c r="I588" s="37"/>
      <c r="J588" s="138">
        <f t="shared" si="44"/>
        <v>0.77968490742404351</v>
      </c>
      <c r="K588" s="114"/>
      <c r="L588" s="37">
        <v>21.532759285600001</v>
      </c>
      <c r="M588" s="37" t="s">
        <v>142</v>
      </c>
      <c r="N588" s="37">
        <v>2042.4636684878049</v>
      </c>
      <c r="O588" s="132">
        <f t="shared" si="45"/>
        <v>43979.878523131425</v>
      </c>
      <c r="P588" s="134">
        <f t="shared" si="46"/>
        <v>34290.447514828404</v>
      </c>
      <c r="Q588" s="261">
        <v>1</v>
      </c>
      <c r="R588" s="94"/>
    </row>
    <row r="589" spans="1:18" x14ac:dyDescent="0.25">
      <c r="A589" s="367">
        <v>41718</v>
      </c>
      <c r="B589" s="367" t="s">
        <v>279</v>
      </c>
      <c r="C589" s="279" t="s">
        <v>507</v>
      </c>
      <c r="D589" s="159" t="s">
        <v>987</v>
      </c>
      <c r="E589" s="45">
        <f t="shared" si="42"/>
        <v>41718</v>
      </c>
      <c r="F589" s="148" t="str">
        <f t="shared" si="43"/>
        <v>2013-14</v>
      </c>
      <c r="G589" s="1"/>
      <c r="H589" s="163"/>
      <c r="I589" s="37"/>
      <c r="J589" s="138">
        <f t="shared" si="44"/>
        <v>0.77968490742404351</v>
      </c>
      <c r="K589" s="114"/>
      <c r="L589" s="37">
        <v>16.5991133799</v>
      </c>
      <c r="M589" s="37" t="s">
        <v>142</v>
      </c>
      <c r="N589" s="37">
        <v>621.96155034146341</v>
      </c>
      <c r="O589" s="132">
        <f t="shared" si="45"/>
        <v>10324.010292056333</v>
      </c>
      <c r="P589" s="134">
        <f t="shared" si="46"/>
        <v>5993.5975187885069</v>
      </c>
      <c r="Q589" s="261">
        <v>0.74459483534404403</v>
      </c>
      <c r="R589" s="94"/>
    </row>
    <row r="590" spans="1:18" x14ac:dyDescent="0.25">
      <c r="A590" s="367">
        <v>41718</v>
      </c>
      <c r="B590" s="367" t="s">
        <v>279</v>
      </c>
      <c r="C590" s="279" t="s">
        <v>507</v>
      </c>
      <c r="D590" s="159" t="s">
        <v>987</v>
      </c>
      <c r="E590" s="45">
        <f t="shared" si="42"/>
        <v>41718</v>
      </c>
      <c r="F590" s="148" t="str">
        <f t="shared" si="43"/>
        <v>2013-14</v>
      </c>
      <c r="G590" s="1"/>
      <c r="H590" s="163"/>
      <c r="I590" s="37"/>
      <c r="J590" s="138">
        <f t="shared" si="44"/>
        <v>0.77968490742404351</v>
      </c>
      <c r="K590" s="114"/>
      <c r="L590" s="37">
        <v>2.74186692909</v>
      </c>
      <c r="M590" s="37" t="s">
        <v>142</v>
      </c>
      <c r="N590" s="37">
        <v>621.96155034146341</v>
      </c>
      <c r="O590" s="132">
        <f t="shared" si="45"/>
        <v>1705.3358060468038</v>
      </c>
      <c r="P590" s="134">
        <f t="shared" si="46"/>
        <v>990.03160270847491</v>
      </c>
      <c r="Q590" s="261">
        <v>0.74459483534404403</v>
      </c>
      <c r="R590" s="94"/>
    </row>
    <row r="591" spans="1:18" x14ac:dyDescent="0.25">
      <c r="A591" s="367">
        <v>41726</v>
      </c>
      <c r="B591" s="367" t="s">
        <v>279</v>
      </c>
      <c r="C591" s="279" t="s">
        <v>509</v>
      </c>
      <c r="D591" s="159" t="s">
        <v>946</v>
      </c>
      <c r="E591" s="45">
        <f t="shared" si="42"/>
        <v>41726</v>
      </c>
      <c r="F591" s="148" t="str">
        <f t="shared" si="43"/>
        <v>2013-14</v>
      </c>
      <c r="G591" s="1"/>
      <c r="H591" s="163"/>
      <c r="I591" s="37"/>
      <c r="J591" s="138">
        <f t="shared" si="44"/>
        <v>0.77968490742404351</v>
      </c>
      <c r="K591" s="114"/>
      <c r="L591" s="37">
        <v>85.358291603400005</v>
      </c>
      <c r="M591" s="37" t="s">
        <v>142</v>
      </c>
      <c r="N591" s="37">
        <v>621.96155034146341</v>
      </c>
      <c r="O591" s="132">
        <f t="shared" si="45"/>
        <v>53089.575380149385</v>
      </c>
      <c r="P591" s="134">
        <f t="shared" si="46"/>
        <v>20398.596991170183</v>
      </c>
      <c r="Q591" s="261">
        <v>0.49280138359239606</v>
      </c>
      <c r="R591" s="94"/>
    </row>
    <row r="592" spans="1:18" x14ac:dyDescent="0.25">
      <c r="A592" s="367">
        <v>41726</v>
      </c>
      <c r="B592" s="367" t="s">
        <v>279</v>
      </c>
      <c r="C592" s="279" t="s">
        <v>509</v>
      </c>
      <c r="D592" s="159" t="s">
        <v>946</v>
      </c>
      <c r="E592" s="45">
        <f t="shared" si="42"/>
        <v>41726</v>
      </c>
      <c r="F592" s="148" t="str">
        <f t="shared" si="43"/>
        <v>2013-14</v>
      </c>
      <c r="G592" s="1"/>
      <c r="H592" s="163"/>
      <c r="I592" s="37"/>
      <c r="J592" s="138">
        <f t="shared" si="44"/>
        <v>0.77968490742404351</v>
      </c>
      <c r="K592" s="114"/>
      <c r="L592" s="37">
        <v>2.5172131415500001</v>
      </c>
      <c r="M592" s="37" t="s">
        <v>142</v>
      </c>
      <c r="N592" s="37">
        <v>514.18436487804865</v>
      </c>
      <c r="O592" s="132">
        <f t="shared" si="45"/>
        <v>1294.3116404505645</v>
      </c>
      <c r="P592" s="134">
        <f t="shared" si="46"/>
        <v>497.31310422956221</v>
      </c>
      <c r="Q592" s="261">
        <v>0.49280138359239606</v>
      </c>
      <c r="R592" s="94"/>
    </row>
    <row r="593" spans="1:18" x14ac:dyDescent="0.25">
      <c r="A593" s="367">
        <v>41879</v>
      </c>
      <c r="B593" s="367" t="s">
        <v>279</v>
      </c>
      <c r="C593" s="279" t="s">
        <v>510</v>
      </c>
      <c r="D593" s="159" t="s">
        <v>988</v>
      </c>
      <c r="E593" s="45">
        <f t="shared" si="42"/>
        <v>41879</v>
      </c>
      <c r="F593" s="148" t="str">
        <f t="shared" si="43"/>
        <v>2014-15</v>
      </c>
      <c r="G593" s="1"/>
      <c r="H593" s="163"/>
      <c r="I593" s="37"/>
      <c r="J593" s="138">
        <f t="shared" si="44"/>
        <v>0.77968490742404351</v>
      </c>
      <c r="K593" s="114"/>
      <c r="L593" s="37">
        <v>114.317243387</v>
      </c>
      <c r="M593" s="37" t="s">
        <v>142</v>
      </c>
      <c r="N593" s="37">
        <v>514.18436487804865</v>
      </c>
      <c r="O593" s="132">
        <f t="shared" si="45"/>
        <v>58780.139185553904</v>
      </c>
      <c r="P593" s="134">
        <f t="shared" si="46"/>
        <v>16059.382813397971</v>
      </c>
      <c r="Q593" s="261">
        <v>0.35041211511799747</v>
      </c>
      <c r="R593" s="94"/>
    </row>
    <row r="594" spans="1:18" x14ac:dyDescent="0.25">
      <c r="A594" s="367">
        <v>41778</v>
      </c>
      <c r="B594" s="367" t="s">
        <v>279</v>
      </c>
      <c r="C594" s="279" t="s">
        <v>511</v>
      </c>
      <c r="D594" s="159" t="s">
        <v>989</v>
      </c>
      <c r="E594" s="45">
        <f t="shared" si="42"/>
        <v>41778</v>
      </c>
      <c r="F594" s="148" t="str">
        <f t="shared" si="43"/>
        <v>2013-14</v>
      </c>
      <c r="G594" s="1"/>
      <c r="H594" s="163"/>
      <c r="I594" s="37"/>
      <c r="J594" s="138">
        <f t="shared" si="44"/>
        <v>0.77968490742404351</v>
      </c>
      <c r="K594" s="114"/>
      <c r="L594" s="37">
        <v>5.8401071908000004</v>
      </c>
      <c r="M594" s="37" t="s">
        <v>142</v>
      </c>
      <c r="N594" s="37">
        <v>621.96155034146341</v>
      </c>
      <c r="O594" s="132">
        <f t="shared" si="45"/>
        <v>3632.3221225502971</v>
      </c>
      <c r="P594" s="134">
        <f t="shared" si="46"/>
        <v>1325.4518341838464</v>
      </c>
      <c r="Q594" s="261">
        <v>0.46801574852285122</v>
      </c>
      <c r="R594" s="94"/>
    </row>
    <row r="595" spans="1:18" x14ac:dyDescent="0.25">
      <c r="A595" s="367">
        <v>41778</v>
      </c>
      <c r="B595" s="367" t="s">
        <v>279</v>
      </c>
      <c r="C595" s="279" t="s">
        <v>511</v>
      </c>
      <c r="D595" s="159" t="s">
        <v>989</v>
      </c>
      <c r="E595" s="45">
        <f t="shared" si="42"/>
        <v>41778</v>
      </c>
      <c r="F595" s="148" t="str">
        <f t="shared" si="43"/>
        <v>2013-14</v>
      </c>
      <c r="G595" s="1"/>
      <c r="H595" s="163"/>
      <c r="I595" s="37"/>
      <c r="J595" s="138">
        <f t="shared" si="44"/>
        <v>0.77968490742404351</v>
      </c>
      <c r="K595" s="114"/>
      <c r="L595" s="37">
        <v>59.070807984799998</v>
      </c>
      <c r="M595" s="37" t="s">
        <v>142</v>
      </c>
      <c r="N595" s="37">
        <v>916.52160117073151</v>
      </c>
      <c r="O595" s="132">
        <f t="shared" si="45"/>
        <v>54139.671516677729</v>
      </c>
      <c r="P595" s="134">
        <f t="shared" si="46"/>
        <v>19755.826849274094</v>
      </c>
      <c r="Q595" s="261">
        <v>0.46801574852285122</v>
      </c>
      <c r="R595" s="94"/>
    </row>
    <row r="596" spans="1:18" x14ac:dyDescent="0.25">
      <c r="A596" s="367">
        <v>41778</v>
      </c>
      <c r="B596" s="367" t="s">
        <v>279</v>
      </c>
      <c r="C596" s="279" t="s">
        <v>511</v>
      </c>
      <c r="D596" s="159" t="s">
        <v>989</v>
      </c>
      <c r="E596" s="45">
        <f t="shared" si="42"/>
        <v>41778</v>
      </c>
      <c r="F596" s="148" t="str">
        <f t="shared" si="43"/>
        <v>2013-14</v>
      </c>
      <c r="G596" s="1"/>
      <c r="H596" s="163"/>
      <c r="I596" s="37"/>
      <c r="J596" s="138">
        <f t="shared" si="44"/>
        <v>0.77968490742404351</v>
      </c>
      <c r="K596" s="114"/>
      <c r="L596" s="37">
        <v>43.312879671300003</v>
      </c>
      <c r="M596" s="37" t="s">
        <v>142</v>
      </c>
      <c r="N596" s="37">
        <v>621.96155034146341</v>
      </c>
      <c r="O596" s="132">
        <f t="shared" si="45"/>
        <v>26938.945790115005</v>
      </c>
      <c r="P596" s="134">
        <f t="shared" si="46"/>
        <v>9830.151044923663</v>
      </c>
      <c r="Q596" s="261">
        <v>0.46801574852285122</v>
      </c>
      <c r="R596" s="94"/>
    </row>
    <row r="597" spans="1:18" x14ac:dyDescent="0.25">
      <c r="A597" s="367">
        <v>41778</v>
      </c>
      <c r="B597" s="367" t="s">
        <v>279</v>
      </c>
      <c r="C597" s="279" t="s">
        <v>511</v>
      </c>
      <c r="D597" s="159" t="s">
        <v>989</v>
      </c>
      <c r="E597" s="45">
        <f t="shared" si="42"/>
        <v>41778</v>
      </c>
      <c r="F597" s="148" t="str">
        <f t="shared" si="43"/>
        <v>2013-14</v>
      </c>
      <c r="G597" s="1"/>
      <c r="H597" s="163"/>
      <c r="I597" s="37"/>
      <c r="J597" s="138">
        <f t="shared" si="44"/>
        <v>0.77968490742404351</v>
      </c>
      <c r="K597" s="114"/>
      <c r="L597" s="37">
        <v>60.8430466477</v>
      </c>
      <c r="M597" s="37" t="s">
        <v>142</v>
      </c>
      <c r="N597" s="37">
        <v>621.96155034146341</v>
      </c>
      <c r="O597" s="132">
        <f t="shared" si="45"/>
        <v>37842.035620501469</v>
      </c>
      <c r="P597" s="134">
        <f t="shared" si="46"/>
        <v>13808.741028515313</v>
      </c>
      <c r="Q597" s="261">
        <v>0.46801574852285122</v>
      </c>
      <c r="R597" s="94"/>
    </row>
    <row r="598" spans="1:18" x14ac:dyDescent="0.25">
      <c r="A598" s="367">
        <v>41778</v>
      </c>
      <c r="B598" s="367" t="s">
        <v>279</v>
      </c>
      <c r="C598" s="279" t="s">
        <v>511</v>
      </c>
      <c r="D598" s="159" t="s">
        <v>989</v>
      </c>
      <c r="E598" s="45">
        <f t="shared" si="42"/>
        <v>41778</v>
      </c>
      <c r="F598" s="148" t="str">
        <f t="shared" si="43"/>
        <v>2013-14</v>
      </c>
      <c r="G598" s="1"/>
      <c r="H598" s="163"/>
      <c r="I598" s="37"/>
      <c r="J598" s="138">
        <f t="shared" si="44"/>
        <v>0.77968490742404351</v>
      </c>
      <c r="K598" s="114"/>
      <c r="L598" s="37">
        <v>36.728842949399997</v>
      </c>
      <c r="M598" s="37" t="s">
        <v>142</v>
      </c>
      <c r="N598" s="37">
        <v>916.52160117073151</v>
      </c>
      <c r="O598" s="132">
        <f t="shared" si="45"/>
        <v>33662.777949132418</v>
      </c>
      <c r="P598" s="134">
        <f t="shared" si="46"/>
        <v>12283.709778766535</v>
      </c>
      <c r="Q598" s="261">
        <v>0.46801574852285122</v>
      </c>
      <c r="R598" s="94"/>
    </row>
    <row r="599" spans="1:18" x14ac:dyDescent="0.25">
      <c r="A599" s="367">
        <v>41778</v>
      </c>
      <c r="B599" s="367" t="s">
        <v>279</v>
      </c>
      <c r="C599" s="279" t="s">
        <v>511</v>
      </c>
      <c r="D599" s="159" t="s">
        <v>989</v>
      </c>
      <c r="E599" s="45">
        <f t="shared" ref="E599:E662" si="47">IF(A599&lt;2022,DATEVALUE("30 Jun "&amp;A599),A599)</f>
        <v>41778</v>
      </c>
      <c r="F599" s="148" t="str">
        <f t="shared" si="43"/>
        <v>2013-14</v>
      </c>
      <c r="G599" s="1"/>
      <c r="H599" s="163"/>
      <c r="I599" s="37"/>
      <c r="J599" s="138">
        <f t="shared" si="44"/>
        <v>0.77968490742404351</v>
      </c>
      <c r="K599" s="114"/>
      <c r="L599" s="37">
        <v>3.6998877997999999</v>
      </c>
      <c r="M599" s="37" t="s">
        <v>142</v>
      </c>
      <c r="N599" s="37">
        <v>621.96155034146341</v>
      </c>
      <c r="O599" s="132">
        <f t="shared" si="45"/>
        <v>2301.1879520530738</v>
      </c>
      <c r="P599" s="134">
        <f t="shared" si="46"/>
        <v>839.71456521289849</v>
      </c>
      <c r="Q599" s="261">
        <v>0.46801574852285122</v>
      </c>
      <c r="R599" s="94"/>
    </row>
    <row r="600" spans="1:18" x14ac:dyDescent="0.25">
      <c r="A600" s="367">
        <v>41778</v>
      </c>
      <c r="B600" s="367" t="s">
        <v>279</v>
      </c>
      <c r="C600" s="279" t="s">
        <v>511</v>
      </c>
      <c r="D600" s="159" t="s">
        <v>989</v>
      </c>
      <c r="E600" s="45">
        <f t="shared" si="47"/>
        <v>41778</v>
      </c>
      <c r="F600" s="148" t="str">
        <f t="shared" ref="F600:F663" si="48">IF(E600="","-",IF(OR(E600&lt;$E$15,E600&gt;$E$16),"ERROR - date outside of range",IF(MONTH(E600)&gt;=7,YEAR(E600)&amp;"-"&amp;IF(YEAR(E600)=1999,"00",IF(AND(YEAR(E600)&gt;=2000,YEAR(E600)&lt;2009),"0","")&amp;RIGHT(YEAR(E600),2)+1),RIGHT(YEAR(E600),4)-1&amp;"-"&amp;RIGHT(YEAR(E600),2))))</f>
        <v>2013-14</v>
      </c>
      <c r="G600" s="1"/>
      <c r="H600" s="163"/>
      <c r="I600" s="37"/>
      <c r="J600" s="138">
        <f t="shared" ref="J600:J663" si="49">J599</f>
        <v>0.77968490742404351</v>
      </c>
      <c r="K600" s="114"/>
      <c r="L600" s="37">
        <v>4.8496639668599997</v>
      </c>
      <c r="M600" s="37" t="s">
        <v>142</v>
      </c>
      <c r="N600" s="37">
        <v>621.96155034146341</v>
      </c>
      <c r="O600" s="132">
        <f t="shared" si="45"/>
        <v>3016.3045194633769</v>
      </c>
      <c r="P600" s="134">
        <f t="shared" si="46"/>
        <v>1100.6640443476795</v>
      </c>
      <c r="Q600" s="261">
        <v>0.46801574852285122</v>
      </c>
      <c r="R600" s="94"/>
    </row>
    <row r="601" spans="1:18" x14ac:dyDescent="0.25">
      <c r="A601" s="367">
        <v>41778</v>
      </c>
      <c r="B601" s="367" t="s">
        <v>279</v>
      </c>
      <c r="C601" s="279" t="s">
        <v>511</v>
      </c>
      <c r="D601" s="159" t="s">
        <v>989</v>
      </c>
      <c r="E601" s="45">
        <f t="shared" si="47"/>
        <v>41778</v>
      </c>
      <c r="F601" s="148" t="str">
        <f t="shared" si="48"/>
        <v>2013-14</v>
      </c>
      <c r="G601" s="1"/>
      <c r="H601" s="163"/>
      <c r="I601" s="37"/>
      <c r="J601" s="138">
        <f t="shared" si="49"/>
        <v>0.77968490742404351</v>
      </c>
      <c r="K601" s="114"/>
      <c r="L601" s="37">
        <v>13.9585742081</v>
      </c>
      <c r="M601" s="37" t="s">
        <v>142</v>
      </c>
      <c r="N601" s="37">
        <v>916.52160117073151</v>
      </c>
      <c r="O601" s="132">
        <f t="shared" si="45"/>
        <v>12793.334783268288</v>
      </c>
      <c r="P601" s="134">
        <f t="shared" si="46"/>
        <v>4668.3494694862784</v>
      </c>
      <c r="Q601" s="261">
        <v>0.46801574852285122</v>
      </c>
      <c r="R601" s="94"/>
    </row>
    <row r="602" spans="1:18" x14ac:dyDescent="0.25">
      <c r="A602" s="367">
        <v>41778</v>
      </c>
      <c r="B602" s="367" t="s">
        <v>279</v>
      </c>
      <c r="C602" s="279" t="s">
        <v>511</v>
      </c>
      <c r="D602" s="159" t="s">
        <v>989</v>
      </c>
      <c r="E602" s="45">
        <f t="shared" si="47"/>
        <v>41778</v>
      </c>
      <c r="F602" s="148" t="str">
        <f t="shared" si="48"/>
        <v>2013-14</v>
      </c>
      <c r="G602" s="1"/>
      <c r="H602" s="163"/>
      <c r="I602" s="37"/>
      <c r="J602" s="138">
        <f t="shared" si="49"/>
        <v>0.77968490742404351</v>
      </c>
      <c r="K602" s="114"/>
      <c r="L602" s="37">
        <v>3.7609980090400001</v>
      </c>
      <c r="M602" s="37" t="s">
        <v>142</v>
      </c>
      <c r="N602" s="37">
        <v>621.96155034146341</v>
      </c>
      <c r="O602" s="132">
        <f t="shared" si="45"/>
        <v>2339.1961525336756</v>
      </c>
      <c r="P602" s="134">
        <f t="shared" si="46"/>
        <v>853.58394059904128</v>
      </c>
      <c r="Q602" s="261">
        <v>0.46801574852285122</v>
      </c>
      <c r="R602" s="94"/>
    </row>
    <row r="603" spans="1:18" x14ac:dyDescent="0.25">
      <c r="A603" s="367">
        <v>41778</v>
      </c>
      <c r="B603" s="367" t="s">
        <v>279</v>
      </c>
      <c r="C603" s="279" t="s">
        <v>511</v>
      </c>
      <c r="D603" s="159" t="s">
        <v>989</v>
      </c>
      <c r="E603" s="45">
        <f t="shared" si="47"/>
        <v>41778</v>
      </c>
      <c r="F603" s="148" t="str">
        <f t="shared" si="48"/>
        <v>2013-14</v>
      </c>
      <c r="G603" s="1"/>
      <c r="H603" s="163"/>
      <c r="I603" s="37"/>
      <c r="J603" s="138">
        <f t="shared" si="49"/>
        <v>0.77968490742404351</v>
      </c>
      <c r="K603" s="114"/>
      <c r="L603" s="37">
        <v>6.7200538330599997</v>
      </c>
      <c r="M603" s="37" t="s">
        <v>142</v>
      </c>
      <c r="N603" s="37">
        <v>470.74786858536584</v>
      </c>
      <c r="O603" s="132">
        <f t="shared" si="45"/>
        <v>3163.4510186919129</v>
      </c>
      <c r="P603" s="134">
        <f t="shared" si="46"/>
        <v>1154.358510508973</v>
      </c>
      <c r="Q603" s="261">
        <v>0.46801574852285122</v>
      </c>
      <c r="R603" s="94"/>
    </row>
    <row r="604" spans="1:18" x14ac:dyDescent="0.25">
      <c r="A604" s="367">
        <v>41778</v>
      </c>
      <c r="B604" s="367" t="s">
        <v>279</v>
      </c>
      <c r="C604" s="279" t="s">
        <v>511</v>
      </c>
      <c r="D604" s="159" t="s">
        <v>989</v>
      </c>
      <c r="E604" s="45">
        <f t="shared" si="47"/>
        <v>41778</v>
      </c>
      <c r="F604" s="148" t="str">
        <f t="shared" si="48"/>
        <v>2013-14</v>
      </c>
      <c r="G604" s="1"/>
      <c r="H604" s="163"/>
      <c r="I604" s="37"/>
      <c r="J604" s="138">
        <f t="shared" si="49"/>
        <v>0.77968490742404351</v>
      </c>
      <c r="K604" s="114"/>
      <c r="L604" s="37">
        <v>59.671922180999999</v>
      </c>
      <c r="M604" s="37" t="s">
        <v>142</v>
      </c>
      <c r="N604" s="37">
        <v>621.96155034146341</v>
      </c>
      <c r="O604" s="132">
        <f t="shared" si="45"/>
        <v>37113.641231549918</v>
      </c>
      <c r="P604" s="134">
        <f t="shared" si="46"/>
        <v>13542.946408359985</v>
      </c>
      <c r="Q604" s="261">
        <v>0.46801574852285122</v>
      </c>
      <c r="R604" s="94"/>
    </row>
    <row r="605" spans="1:18" x14ac:dyDescent="0.25">
      <c r="A605" s="367">
        <v>41778</v>
      </c>
      <c r="B605" s="367" t="s">
        <v>279</v>
      </c>
      <c r="C605" s="279" t="s">
        <v>511</v>
      </c>
      <c r="D605" s="159" t="s">
        <v>989</v>
      </c>
      <c r="E605" s="45">
        <f t="shared" si="47"/>
        <v>41778</v>
      </c>
      <c r="F605" s="148" t="str">
        <f t="shared" si="48"/>
        <v>2013-14</v>
      </c>
      <c r="G605" s="1"/>
      <c r="H605" s="163"/>
      <c r="I605" s="37"/>
      <c r="J605" s="138">
        <f t="shared" si="49"/>
        <v>0.77968490742404351</v>
      </c>
      <c r="K605" s="114"/>
      <c r="L605" s="37">
        <v>150.51258171699999</v>
      </c>
      <c r="M605" s="37" t="s">
        <v>142</v>
      </c>
      <c r="N605" s="37">
        <v>621.96155034146341</v>
      </c>
      <c r="O605" s="132">
        <f t="shared" si="45"/>
        <v>93613.038670601512</v>
      </c>
      <c r="P605" s="134">
        <f t="shared" si="46"/>
        <v>34159.848610110144</v>
      </c>
      <c r="Q605" s="261">
        <v>0.46801574852285122</v>
      </c>
      <c r="R605" s="94"/>
    </row>
    <row r="606" spans="1:18" x14ac:dyDescent="0.25">
      <c r="A606" s="367">
        <v>41778</v>
      </c>
      <c r="B606" s="367" t="s">
        <v>279</v>
      </c>
      <c r="C606" s="279" t="s">
        <v>511</v>
      </c>
      <c r="D606" s="159" t="s">
        <v>989</v>
      </c>
      <c r="E606" s="45">
        <f t="shared" si="47"/>
        <v>41778</v>
      </c>
      <c r="F606" s="148" t="str">
        <f t="shared" si="48"/>
        <v>2013-14</v>
      </c>
      <c r="G606" s="1"/>
      <c r="H606" s="163"/>
      <c r="I606" s="37"/>
      <c r="J606" s="138">
        <f t="shared" si="49"/>
        <v>0.77968490742404351</v>
      </c>
      <c r="K606" s="114"/>
      <c r="L606" s="37">
        <v>3.0590014710700002</v>
      </c>
      <c r="M606" s="37" t="s">
        <v>142</v>
      </c>
      <c r="N606" s="37">
        <v>621.96155034146341</v>
      </c>
      <c r="O606" s="132">
        <f t="shared" ref="O606:O669" si="50">IF(N606="","-",L606*N606)</f>
        <v>1902.5812974435146</v>
      </c>
      <c r="P606" s="134">
        <f t="shared" ref="P606:P669" si="51">IF(O606="-","-",IF(OR(E606&lt;$E$15,E606&gt;$E$16),0,O606*J606))*Q606</f>
        <v>694.26107743159525</v>
      </c>
      <c r="Q606" s="261">
        <v>0.46801574852285122</v>
      </c>
      <c r="R606" s="94"/>
    </row>
    <row r="607" spans="1:18" x14ac:dyDescent="0.25">
      <c r="A607" s="367">
        <v>43661</v>
      </c>
      <c r="B607" s="367" t="s">
        <v>279</v>
      </c>
      <c r="C607" s="279" t="s">
        <v>512</v>
      </c>
      <c r="D607" s="159" t="s">
        <v>990</v>
      </c>
      <c r="E607" s="45">
        <f t="shared" si="47"/>
        <v>43661</v>
      </c>
      <c r="F607" s="148" t="str">
        <f t="shared" si="48"/>
        <v>2019-20</v>
      </c>
      <c r="G607" s="1"/>
      <c r="H607" s="163"/>
      <c r="I607" s="37"/>
      <c r="J607" s="138">
        <f t="shared" si="49"/>
        <v>0.77968490742404351</v>
      </c>
      <c r="K607" s="114"/>
      <c r="L607" s="37">
        <v>4.9994347662600003</v>
      </c>
      <c r="M607" s="37" t="s">
        <v>142</v>
      </c>
      <c r="N607" s="37">
        <v>771.6404230243902</v>
      </c>
      <c r="O607" s="132">
        <f t="shared" si="50"/>
        <v>3857.7659579197098</v>
      </c>
      <c r="P607" s="134">
        <f t="shared" si="51"/>
        <v>3007.8418937642555</v>
      </c>
      <c r="Q607" s="261">
        <v>1</v>
      </c>
      <c r="R607" s="94"/>
    </row>
    <row r="608" spans="1:18" x14ac:dyDescent="0.25">
      <c r="A608" s="367">
        <v>40460</v>
      </c>
      <c r="B608" s="367" t="s">
        <v>279</v>
      </c>
      <c r="C608" s="279" t="s">
        <v>513</v>
      </c>
      <c r="D608" s="159" t="s">
        <v>991</v>
      </c>
      <c r="E608" s="45">
        <f t="shared" si="47"/>
        <v>40460</v>
      </c>
      <c r="F608" s="148" t="str">
        <f t="shared" si="48"/>
        <v>2010-11</v>
      </c>
      <c r="G608" s="1"/>
      <c r="H608" s="163"/>
      <c r="I608" s="37"/>
      <c r="J608" s="138">
        <f t="shared" si="49"/>
        <v>0.77968490742404351</v>
      </c>
      <c r="K608" s="114"/>
      <c r="L608" s="37">
        <v>1.9117551183199999</v>
      </c>
      <c r="M608" s="37" t="s">
        <v>142</v>
      </c>
      <c r="N608" s="37">
        <v>514.18436487804865</v>
      </c>
      <c r="O608" s="132">
        <f t="shared" si="50"/>
        <v>982.99459131572792</v>
      </c>
      <c r="P608" s="134">
        <f t="shared" si="51"/>
        <v>766.42604692833879</v>
      </c>
      <c r="Q608" s="261">
        <v>1</v>
      </c>
      <c r="R608" s="94"/>
    </row>
    <row r="609" spans="1:18" x14ac:dyDescent="0.25">
      <c r="A609" s="367">
        <v>40460</v>
      </c>
      <c r="B609" s="367" t="s">
        <v>279</v>
      </c>
      <c r="C609" s="279" t="s">
        <v>513</v>
      </c>
      <c r="D609" s="159" t="s">
        <v>991</v>
      </c>
      <c r="E609" s="45">
        <f t="shared" si="47"/>
        <v>40460</v>
      </c>
      <c r="F609" s="148" t="str">
        <f t="shared" si="48"/>
        <v>2010-11</v>
      </c>
      <c r="G609" s="1"/>
      <c r="H609" s="163"/>
      <c r="I609" s="37"/>
      <c r="J609" s="138">
        <f t="shared" si="49"/>
        <v>0.77968490742404351</v>
      </c>
      <c r="K609" s="114"/>
      <c r="L609" s="37">
        <v>0.75047851401599996</v>
      </c>
      <c r="M609" s="37" t="s">
        <v>142</v>
      </c>
      <c r="N609" s="37">
        <v>514.18436487804865</v>
      </c>
      <c r="O609" s="132">
        <f t="shared" si="50"/>
        <v>385.88431808393869</v>
      </c>
      <c r="P609" s="134">
        <f t="shared" si="51"/>
        <v>300.86817882166588</v>
      </c>
      <c r="Q609" s="261">
        <v>1</v>
      </c>
      <c r="R609" s="94"/>
    </row>
    <row r="610" spans="1:18" x14ac:dyDescent="0.25">
      <c r="A610" s="367">
        <v>40460</v>
      </c>
      <c r="B610" s="367" t="s">
        <v>279</v>
      </c>
      <c r="C610" s="279" t="s">
        <v>513</v>
      </c>
      <c r="D610" s="159" t="s">
        <v>991</v>
      </c>
      <c r="E610" s="45">
        <f t="shared" si="47"/>
        <v>40460</v>
      </c>
      <c r="F610" s="148" t="str">
        <f t="shared" si="48"/>
        <v>2010-11</v>
      </c>
      <c r="G610" s="1"/>
      <c r="H610" s="163"/>
      <c r="I610" s="37"/>
      <c r="J610" s="138">
        <f t="shared" si="49"/>
        <v>0.77968490742404351</v>
      </c>
      <c r="K610" s="114"/>
      <c r="L610" s="37">
        <v>2.0005524029199999</v>
      </c>
      <c r="M610" s="37" t="s">
        <v>142</v>
      </c>
      <c r="N610" s="37">
        <v>514.18436487804865</v>
      </c>
      <c r="O610" s="132">
        <f t="shared" si="50"/>
        <v>1028.6527667006742</v>
      </c>
      <c r="P610" s="134">
        <f t="shared" si="51"/>
        <v>802.02503717650143</v>
      </c>
      <c r="Q610" s="261">
        <v>1</v>
      </c>
      <c r="R610" s="94"/>
    </row>
    <row r="611" spans="1:18" x14ac:dyDescent="0.25">
      <c r="A611" s="367">
        <v>40460</v>
      </c>
      <c r="B611" s="367" t="s">
        <v>279</v>
      </c>
      <c r="C611" s="279" t="s">
        <v>513</v>
      </c>
      <c r="D611" s="159" t="s">
        <v>991</v>
      </c>
      <c r="E611" s="45">
        <f t="shared" si="47"/>
        <v>40460</v>
      </c>
      <c r="F611" s="148" t="str">
        <f t="shared" si="48"/>
        <v>2010-11</v>
      </c>
      <c r="G611" s="1"/>
      <c r="H611" s="163"/>
      <c r="I611" s="37"/>
      <c r="J611" s="138">
        <f t="shared" si="49"/>
        <v>0.77968490742404351</v>
      </c>
      <c r="K611" s="114"/>
      <c r="L611" s="37">
        <v>0.70840101637399999</v>
      </c>
      <c r="M611" s="37" t="s">
        <v>142</v>
      </c>
      <c r="N611" s="37">
        <v>514.18436487804865</v>
      </c>
      <c r="O611" s="132">
        <f t="shared" si="50"/>
        <v>364.24872668322934</v>
      </c>
      <c r="P611" s="134">
        <f t="shared" si="51"/>
        <v>283.9992347433394</v>
      </c>
      <c r="Q611" s="261">
        <v>1</v>
      </c>
      <c r="R611" s="94"/>
    </row>
    <row r="612" spans="1:18" x14ac:dyDescent="0.25">
      <c r="A612" s="367">
        <v>41771</v>
      </c>
      <c r="B612" s="367" t="s">
        <v>279</v>
      </c>
      <c r="C612" s="279" t="s">
        <v>514</v>
      </c>
      <c r="D612" s="159" t="s">
        <v>966</v>
      </c>
      <c r="E612" s="45">
        <f t="shared" si="47"/>
        <v>41771</v>
      </c>
      <c r="F612" s="148" t="str">
        <f t="shared" si="48"/>
        <v>2013-14</v>
      </c>
      <c r="G612" s="1"/>
      <c r="H612" s="163"/>
      <c r="I612" s="37"/>
      <c r="J612" s="138">
        <f t="shared" si="49"/>
        <v>0.77968490742404351</v>
      </c>
      <c r="K612" s="114"/>
      <c r="L612" s="37">
        <v>13.3712310007</v>
      </c>
      <c r="M612" s="37" t="s">
        <v>142</v>
      </c>
      <c r="N612" s="37">
        <v>621.96155034146341</v>
      </c>
      <c r="O612" s="132">
        <f t="shared" si="50"/>
        <v>8316.3915631692089</v>
      </c>
      <c r="P612" s="134">
        <f t="shared" si="51"/>
        <v>6498.4987985259068</v>
      </c>
      <c r="Q612" s="261">
        <v>1.0022105872575888</v>
      </c>
      <c r="R612" s="94"/>
    </row>
    <row r="613" spans="1:18" x14ac:dyDescent="0.25">
      <c r="A613" s="367">
        <v>41771</v>
      </c>
      <c r="B613" s="367" t="s">
        <v>279</v>
      </c>
      <c r="C613" s="279" t="s">
        <v>514</v>
      </c>
      <c r="D613" s="159" t="s">
        <v>966</v>
      </c>
      <c r="E613" s="45">
        <f t="shared" si="47"/>
        <v>41771</v>
      </c>
      <c r="F613" s="148" t="str">
        <f t="shared" si="48"/>
        <v>2013-14</v>
      </c>
      <c r="G613" s="1"/>
      <c r="H613" s="163"/>
      <c r="I613" s="37"/>
      <c r="J613" s="138">
        <f t="shared" si="49"/>
        <v>0.77968490742404351</v>
      </c>
      <c r="K613" s="114"/>
      <c r="L613" s="37">
        <v>46.211821075700001</v>
      </c>
      <c r="M613" s="37" t="s">
        <v>142</v>
      </c>
      <c r="N613" s="37">
        <v>621.96155034146341</v>
      </c>
      <c r="O613" s="132">
        <f t="shared" si="50"/>
        <v>28741.975880344686</v>
      </c>
      <c r="P613" s="134">
        <f t="shared" si="51"/>
        <v>22459.223367123726</v>
      </c>
      <c r="Q613" s="261">
        <v>1.0022105872575888</v>
      </c>
      <c r="R613" s="94"/>
    </row>
    <row r="614" spans="1:18" x14ac:dyDescent="0.25">
      <c r="A614" s="367">
        <v>41771</v>
      </c>
      <c r="B614" s="367" t="s">
        <v>279</v>
      </c>
      <c r="C614" s="279" t="s">
        <v>514</v>
      </c>
      <c r="D614" s="159" t="s">
        <v>966</v>
      </c>
      <c r="E614" s="45">
        <f t="shared" si="47"/>
        <v>41771</v>
      </c>
      <c r="F614" s="148" t="str">
        <f t="shared" si="48"/>
        <v>2013-14</v>
      </c>
      <c r="G614" s="1"/>
      <c r="H614" s="163"/>
      <c r="I614" s="37"/>
      <c r="J614" s="138">
        <f t="shared" si="49"/>
        <v>0.77968490742404351</v>
      </c>
      <c r="K614" s="114"/>
      <c r="L614" s="37">
        <v>1.49972164084</v>
      </c>
      <c r="M614" s="37" t="s">
        <v>142</v>
      </c>
      <c r="N614" s="37">
        <v>470.74786858536584</v>
      </c>
      <c r="O614" s="132">
        <f t="shared" si="50"/>
        <v>705.99076589677759</v>
      </c>
      <c r="P614" s="134">
        <f t="shared" si="51"/>
        <v>551.66716346894157</v>
      </c>
      <c r="Q614" s="261">
        <v>1.0022105872575888</v>
      </c>
      <c r="R614" s="94"/>
    </row>
    <row r="615" spans="1:18" x14ac:dyDescent="0.25">
      <c r="A615" s="367">
        <v>41771</v>
      </c>
      <c r="B615" s="367" t="s">
        <v>279</v>
      </c>
      <c r="C615" s="279" t="s">
        <v>514</v>
      </c>
      <c r="D615" s="159" t="s">
        <v>966</v>
      </c>
      <c r="E615" s="45">
        <f t="shared" si="47"/>
        <v>41771</v>
      </c>
      <c r="F615" s="148" t="str">
        <f t="shared" si="48"/>
        <v>2013-14</v>
      </c>
      <c r="G615" s="1"/>
      <c r="H615" s="163"/>
      <c r="I615" s="37"/>
      <c r="J615" s="138">
        <f t="shared" si="49"/>
        <v>0.77968490742404351</v>
      </c>
      <c r="K615" s="114"/>
      <c r="L615" s="37">
        <v>1.4991160728899999</v>
      </c>
      <c r="M615" s="37" t="s">
        <v>142</v>
      </c>
      <c r="N615" s="37">
        <v>470.74786858536584</v>
      </c>
      <c r="O615" s="132">
        <f t="shared" si="50"/>
        <v>705.70569607503137</v>
      </c>
      <c r="P615" s="134">
        <f t="shared" si="51"/>
        <v>551.44440749598823</v>
      </c>
      <c r="Q615" s="261">
        <v>1.0022105872575888</v>
      </c>
      <c r="R615" s="94"/>
    </row>
    <row r="616" spans="1:18" x14ac:dyDescent="0.25">
      <c r="A616" s="367">
        <v>41771</v>
      </c>
      <c r="B616" s="367" t="s">
        <v>279</v>
      </c>
      <c r="C616" s="279" t="s">
        <v>514</v>
      </c>
      <c r="D616" s="159" t="s">
        <v>966</v>
      </c>
      <c r="E616" s="45">
        <f t="shared" si="47"/>
        <v>41771</v>
      </c>
      <c r="F616" s="148" t="str">
        <f t="shared" si="48"/>
        <v>2013-14</v>
      </c>
      <c r="G616" s="1"/>
      <c r="H616" s="163"/>
      <c r="I616" s="37"/>
      <c r="J616" s="138">
        <f t="shared" si="49"/>
        <v>0.77968490742404351</v>
      </c>
      <c r="K616" s="114"/>
      <c r="L616" s="37">
        <v>49.494541270799999</v>
      </c>
      <c r="M616" s="37" t="s">
        <v>142</v>
      </c>
      <c r="N616" s="37">
        <v>621.96155034146341</v>
      </c>
      <c r="O616" s="132">
        <f t="shared" si="50"/>
        <v>30783.701622226312</v>
      </c>
      <c r="P616" s="134">
        <f t="shared" si="51"/>
        <v>24054.645153093716</v>
      </c>
      <c r="Q616" s="261">
        <v>1.0022105872575888</v>
      </c>
      <c r="R616" s="94"/>
    </row>
    <row r="617" spans="1:18" x14ac:dyDescent="0.25">
      <c r="A617" s="367">
        <v>41771</v>
      </c>
      <c r="B617" s="367" t="s">
        <v>279</v>
      </c>
      <c r="C617" s="279" t="s">
        <v>514</v>
      </c>
      <c r="D617" s="159" t="s">
        <v>966</v>
      </c>
      <c r="E617" s="45">
        <f t="shared" si="47"/>
        <v>41771</v>
      </c>
      <c r="F617" s="148" t="str">
        <f t="shared" si="48"/>
        <v>2013-14</v>
      </c>
      <c r="G617" s="1"/>
      <c r="H617" s="163"/>
      <c r="I617" s="37"/>
      <c r="J617" s="138">
        <f t="shared" si="49"/>
        <v>0.77968490742404351</v>
      </c>
      <c r="K617" s="114"/>
      <c r="L617" s="37">
        <v>39.346369777600003</v>
      </c>
      <c r="M617" s="37" t="s">
        <v>142</v>
      </c>
      <c r="N617" s="37">
        <v>621.96155034146341</v>
      </c>
      <c r="O617" s="132">
        <f t="shared" si="50"/>
        <v>24471.929147184597</v>
      </c>
      <c r="P617" s="134">
        <f t="shared" si="51"/>
        <v>19122.572687040098</v>
      </c>
      <c r="Q617" s="261">
        <v>1.0022105872575888</v>
      </c>
      <c r="R617" s="94"/>
    </row>
    <row r="618" spans="1:18" x14ac:dyDescent="0.25">
      <c r="A618" s="367">
        <v>41771</v>
      </c>
      <c r="B618" s="367" t="s">
        <v>279</v>
      </c>
      <c r="C618" s="279" t="s">
        <v>514</v>
      </c>
      <c r="D618" s="159" t="s">
        <v>966</v>
      </c>
      <c r="E618" s="45">
        <f t="shared" si="47"/>
        <v>41771</v>
      </c>
      <c r="F618" s="148" t="str">
        <f t="shared" si="48"/>
        <v>2013-14</v>
      </c>
      <c r="G618" s="1"/>
      <c r="H618" s="163"/>
      <c r="I618" s="37"/>
      <c r="J618" s="138">
        <f t="shared" si="49"/>
        <v>0.77968490742404351</v>
      </c>
      <c r="K618" s="114"/>
      <c r="L618" s="37">
        <v>0.48129201115300002</v>
      </c>
      <c r="M618" s="37" t="s">
        <v>142</v>
      </c>
      <c r="N618" s="37">
        <v>514.18436487804865</v>
      </c>
      <c r="O618" s="132">
        <f t="shared" si="50"/>
        <v>247.47282707558404</v>
      </c>
      <c r="P618" s="134">
        <f t="shared" si="51"/>
        <v>193.37736291070436</v>
      </c>
      <c r="Q618" s="261">
        <v>1.0022105872575888</v>
      </c>
      <c r="R618" s="94"/>
    </row>
    <row r="619" spans="1:18" x14ac:dyDescent="0.25">
      <c r="A619" s="367">
        <v>41771</v>
      </c>
      <c r="B619" s="367" t="s">
        <v>279</v>
      </c>
      <c r="C619" s="279" t="s">
        <v>514</v>
      </c>
      <c r="D619" s="159" t="s">
        <v>966</v>
      </c>
      <c r="E619" s="45">
        <f t="shared" si="47"/>
        <v>41771</v>
      </c>
      <c r="F619" s="148" t="str">
        <f t="shared" si="48"/>
        <v>2013-14</v>
      </c>
      <c r="G619" s="1"/>
      <c r="H619" s="163"/>
      <c r="I619" s="37"/>
      <c r="J619" s="138">
        <f t="shared" si="49"/>
        <v>0.77968490742404351</v>
      </c>
      <c r="K619" s="114"/>
      <c r="L619" s="37">
        <v>22.517057286</v>
      </c>
      <c r="M619" s="37" t="s">
        <v>142</v>
      </c>
      <c r="N619" s="37">
        <v>621.96155034146341</v>
      </c>
      <c r="O619" s="132">
        <f t="shared" si="50"/>
        <v>14004.743858728105</v>
      </c>
      <c r="P619" s="134">
        <f t="shared" si="51"/>
        <v>10943.425456620234</v>
      </c>
      <c r="Q619" s="261">
        <v>1.0022105872575888</v>
      </c>
      <c r="R619" s="94"/>
    </row>
    <row r="620" spans="1:18" x14ac:dyDescent="0.25">
      <c r="A620" s="367">
        <v>41771</v>
      </c>
      <c r="B620" s="367" t="s">
        <v>279</v>
      </c>
      <c r="C620" s="279" t="s">
        <v>514</v>
      </c>
      <c r="D620" s="159" t="s">
        <v>966</v>
      </c>
      <c r="E620" s="45">
        <f t="shared" si="47"/>
        <v>41771</v>
      </c>
      <c r="F620" s="148" t="str">
        <f t="shared" si="48"/>
        <v>2013-14</v>
      </c>
      <c r="G620" s="1"/>
      <c r="H620" s="163"/>
      <c r="I620" s="37"/>
      <c r="J620" s="138">
        <f t="shared" si="49"/>
        <v>0.77968490742404351</v>
      </c>
      <c r="K620" s="114"/>
      <c r="L620" s="37">
        <v>8.4233614427599992</v>
      </c>
      <c r="M620" s="37" t="s">
        <v>142</v>
      </c>
      <c r="N620" s="37">
        <v>470.74786858536584</v>
      </c>
      <c r="O620" s="132">
        <f t="shared" si="50"/>
        <v>3965.2794455034218</v>
      </c>
      <c r="P620" s="134">
        <f t="shared" si="51"/>
        <v>3098.5029404512138</v>
      </c>
      <c r="Q620" s="261">
        <v>1.0022105872575888</v>
      </c>
      <c r="R620" s="94"/>
    </row>
    <row r="621" spans="1:18" x14ac:dyDescent="0.25">
      <c r="A621" s="367">
        <v>41703</v>
      </c>
      <c r="B621" s="367" t="s">
        <v>279</v>
      </c>
      <c r="C621" s="279" t="s">
        <v>515</v>
      </c>
      <c r="D621" s="159" t="s">
        <v>992</v>
      </c>
      <c r="E621" s="45">
        <f t="shared" si="47"/>
        <v>41703</v>
      </c>
      <c r="F621" s="148" t="str">
        <f t="shared" si="48"/>
        <v>2013-14</v>
      </c>
      <c r="G621" s="1"/>
      <c r="H621" s="163"/>
      <c r="I621" s="37"/>
      <c r="J621" s="138">
        <f t="shared" si="49"/>
        <v>0.77968490742404351</v>
      </c>
      <c r="K621" s="114"/>
      <c r="L621" s="37">
        <v>1.5000363328899999</v>
      </c>
      <c r="M621" s="37" t="s">
        <v>142</v>
      </c>
      <c r="N621" s="37">
        <v>514.18436487804865</v>
      </c>
      <c r="O621" s="132">
        <f t="shared" si="50"/>
        <v>771.29522912104176</v>
      </c>
      <c r="P621" s="134">
        <f t="shared" si="51"/>
        <v>589.05870532702443</v>
      </c>
      <c r="Q621" s="261">
        <v>0.97953240054082547</v>
      </c>
      <c r="R621" s="94"/>
    </row>
    <row r="622" spans="1:18" x14ac:dyDescent="0.25">
      <c r="A622" s="367">
        <v>40460</v>
      </c>
      <c r="B622" s="367" t="s">
        <v>279</v>
      </c>
      <c r="C622" s="279" t="s">
        <v>513</v>
      </c>
      <c r="D622" s="159" t="s">
        <v>991</v>
      </c>
      <c r="E622" s="45">
        <f t="shared" si="47"/>
        <v>40460</v>
      </c>
      <c r="F622" s="148" t="str">
        <f t="shared" si="48"/>
        <v>2010-11</v>
      </c>
      <c r="G622" s="1"/>
      <c r="H622" s="163"/>
      <c r="I622" s="37"/>
      <c r="J622" s="138">
        <f t="shared" si="49"/>
        <v>0.77968490742404351</v>
      </c>
      <c r="K622" s="114"/>
      <c r="L622" s="37">
        <v>167.768940818</v>
      </c>
      <c r="M622" s="37" t="s">
        <v>142</v>
      </c>
      <c r="N622" s="37">
        <v>514.18436487804865</v>
      </c>
      <c r="O622" s="132">
        <f t="shared" si="50"/>
        <v>86264.166280766265</v>
      </c>
      <c r="P622" s="134">
        <f t="shared" si="51"/>
        <v>67258.868500631535</v>
      </c>
      <c r="Q622" s="261">
        <v>1</v>
      </c>
      <c r="R622" s="94"/>
    </row>
    <row r="623" spans="1:18" x14ac:dyDescent="0.25">
      <c r="A623" s="367">
        <v>40460</v>
      </c>
      <c r="B623" s="367" t="s">
        <v>279</v>
      </c>
      <c r="C623" s="279" t="s">
        <v>513</v>
      </c>
      <c r="D623" s="159" t="s">
        <v>991</v>
      </c>
      <c r="E623" s="45">
        <f t="shared" si="47"/>
        <v>40460</v>
      </c>
      <c r="F623" s="148" t="str">
        <f t="shared" si="48"/>
        <v>2010-11</v>
      </c>
      <c r="G623" s="1"/>
      <c r="H623" s="163"/>
      <c r="I623" s="37"/>
      <c r="J623" s="138">
        <f t="shared" si="49"/>
        <v>0.77968490742404351</v>
      </c>
      <c r="K623" s="114"/>
      <c r="L623" s="37">
        <v>1.2998188335300001</v>
      </c>
      <c r="M623" s="37" t="s">
        <v>142</v>
      </c>
      <c r="N623" s="37">
        <v>470.74786858536584</v>
      </c>
      <c r="O623" s="132">
        <f t="shared" si="50"/>
        <v>611.88694543136398</v>
      </c>
      <c r="P623" s="134">
        <f t="shared" si="51"/>
        <v>477.07901640263378</v>
      </c>
      <c r="Q623" s="261">
        <v>1</v>
      </c>
      <c r="R623" s="94"/>
    </row>
    <row r="624" spans="1:18" x14ac:dyDescent="0.25">
      <c r="A624" s="367">
        <v>40460</v>
      </c>
      <c r="B624" s="367" t="s">
        <v>279</v>
      </c>
      <c r="C624" s="279" t="s">
        <v>513</v>
      </c>
      <c r="D624" s="159" t="s">
        <v>991</v>
      </c>
      <c r="E624" s="45">
        <f t="shared" si="47"/>
        <v>40460</v>
      </c>
      <c r="F624" s="148" t="str">
        <f t="shared" si="48"/>
        <v>2010-11</v>
      </c>
      <c r="G624" s="1"/>
      <c r="H624" s="163"/>
      <c r="I624" s="37"/>
      <c r="J624" s="138">
        <f t="shared" si="49"/>
        <v>0.77968490742404351</v>
      </c>
      <c r="K624" s="114"/>
      <c r="L624" s="37">
        <v>2.8409880356000001</v>
      </c>
      <c r="M624" s="37" t="s">
        <v>142</v>
      </c>
      <c r="N624" s="37">
        <v>470.74786858536584</v>
      </c>
      <c r="O624" s="132">
        <f t="shared" si="50"/>
        <v>1337.3890624352255</v>
      </c>
      <c r="P624" s="134">
        <f t="shared" si="51"/>
        <v>1042.7420673347372</v>
      </c>
      <c r="Q624" s="261">
        <v>1</v>
      </c>
      <c r="R624" s="94"/>
    </row>
    <row r="625" spans="1:18" x14ac:dyDescent="0.25">
      <c r="A625" s="367">
        <v>41703</v>
      </c>
      <c r="B625" s="367" t="s">
        <v>279</v>
      </c>
      <c r="C625" s="279" t="s">
        <v>515</v>
      </c>
      <c r="D625" s="159" t="s">
        <v>992</v>
      </c>
      <c r="E625" s="45">
        <f t="shared" si="47"/>
        <v>41703</v>
      </c>
      <c r="F625" s="148" t="str">
        <f t="shared" si="48"/>
        <v>2013-14</v>
      </c>
      <c r="G625" s="1"/>
      <c r="H625" s="163"/>
      <c r="I625" s="37"/>
      <c r="J625" s="138">
        <f t="shared" si="49"/>
        <v>0.77968490742404351</v>
      </c>
      <c r="K625" s="114"/>
      <c r="L625" s="37">
        <v>4.7922991461600004</v>
      </c>
      <c r="M625" s="37" t="s">
        <v>142</v>
      </c>
      <c r="N625" s="37">
        <v>470.74786858536584</v>
      </c>
      <c r="O625" s="132">
        <f t="shared" si="50"/>
        <v>2255.9646086782886</v>
      </c>
      <c r="P625" s="134">
        <f t="shared" si="51"/>
        <v>1722.9402458070597</v>
      </c>
      <c r="Q625" s="261">
        <v>0.97953240054082547</v>
      </c>
      <c r="R625" s="94"/>
    </row>
    <row r="626" spans="1:18" x14ac:dyDescent="0.25">
      <c r="A626" s="367">
        <v>41703</v>
      </c>
      <c r="B626" s="367" t="s">
        <v>279</v>
      </c>
      <c r="C626" s="279" t="s">
        <v>515</v>
      </c>
      <c r="D626" s="159" t="s">
        <v>992</v>
      </c>
      <c r="E626" s="45">
        <f t="shared" si="47"/>
        <v>41703</v>
      </c>
      <c r="F626" s="148" t="str">
        <f t="shared" si="48"/>
        <v>2013-14</v>
      </c>
      <c r="G626" s="1"/>
      <c r="H626" s="163"/>
      <c r="I626" s="37"/>
      <c r="J626" s="138">
        <f t="shared" si="49"/>
        <v>0.77968490742404351</v>
      </c>
      <c r="K626" s="114"/>
      <c r="L626" s="37">
        <v>174.923691254</v>
      </c>
      <c r="M626" s="37" t="s">
        <v>142</v>
      </c>
      <c r="N626" s="37">
        <v>514.18436487804865</v>
      </c>
      <c r="O626" s="132">
        <f t="shared" si="50"/>
        <v>89943.02708956186</v>
      </c>
      <c r="P626" s="134">
        <f t="shared" si="51"/>
        <v>68691.884884272004</v>
      </c>
      <c r="Q626" s="261">
        <v>0.97953240054082547</v>
      </c>
      <c r="R626" s="94"/>
    </row>
    <row r="627" spans="1:18" x14ac:dyDescent="0.25">
      <c r="A627" s="367">
        <v>41703</v>
      </c>
      <c r="B627" s="367" t="s">
        <v>279</v>
      </c>
      <c r="C627" s="279" t="s">
        <v>515</v>
      </c>
      <c r="D627" s="159" t="s">
        <v>992</v>
      </c>
      <c r="E627" s="45">
        <f t="shared" si="47"/>
        <v>41703</v>
      </c>
      <c r="F627" s="148" t="str">
        <f t="shared" si="48"/>
        <v>2013-14</v>
      </c>
      <c r="G627" s="1"/>
      <c r="H627" s="163"/>
      <c r="I627" s="37"/>
      <c r="J627" s="138">
        <f t="shared" si="49"/>
        <v>0.77968490742404351</v>
      </c>
      <c r="K627" s="114"/>
      <c r="L627" s="37">
        <v>7.8468815385999999</v>
      </c>
      <c r="M627" s="37" t="s">
        <v>142</v>
      </c>
      <c r="N627" s="37">
        <v>514.18436487804865</v>
      </c>
      <c r="O627" s="132">
        <f t="shared" si="50"/>
        <v>4034.743800198326</v>
      </c>
      <c r="P627" s="134">
        <f t="shared" si="51"/>
        <v>3081.4412815434148</v>
      </c>
      <c r="Q627" s="261">
        <v>0.97953240054082547</v>
      </c>
      <c r="R627" s="94"/>
    </row>
    <row r="628" spans="1:18" x14ac:dyDescent="0.25">
      <c r="A628" s="367">
        <v>41681</v>
      </c>
      <c r="B628" s="367" t="s">
        <v>279</v>
      </c>
      <c r="C628" s="279" t="s">
        <v>516</v>
      </c>
      <c r="D628" s="159" t="s">
        <v>993</v>
      </c>
      <c r="E628" s="45">
        <f t="shared" si="47"/>
        <v>41681</v>
      </c>
      <c r="F628" s="148" t="str">
        <f t="shared" si="48"/>
        <v>2013-14</v>
      </c>
      <c r="G628" s="1"/>
      <c r="H628" s="163"/>
      <c r="I628" s="37"/>
      <c r="J628" s="138">
        <f t="shared" si="49"/>
        <v>0.77968490742404351</v>
      </c>
      <c r="K628" s="114"/>
      <c r="L628" s="37">
        <v>51.772561619900003</v>
      </c>
      <c r="M628" s="37" t="s">
        <v>142</v>
      </c>
      <c r="N628" s="37">
        <v>621.96155034146341</v>
      </c>
      <c r="O628" s="132">
        <f t="shared" si="50"/>
        <v>32200.542690261951</v>
      </c>
      <c r="P628" s="134">
        <f t="shared" si="51"/>
        <v>6918.1902528645096</v>
      </c>
      <c r="Q628" s="261">
        <v>0.27555619706204609</v>
      </c>
      <c r="R628" s="94"/>
    </row>
    <row r="629" spans="1:18" x14ac:dyDescent="0.25">
      <c r="A629" s="367">
        <v>41681</v>
      </c>
      <c r="B629" s="367" t="s">
        <v>279</v>
      </c>
      <c r="C629" s="279" t="s">
        <v>516</v>
      </c>
      <c r="D629" s="159" t="s">
        <v>993</v>
      </c>
      <c r="E629" s="45">
        <f t="shared" si="47"/>
        <v>41681</v>
      </c>
      <c r="F629" s="148" t="str">
        <f t="shared" si="48"/>
        <v>2013-14</v>
      </c>
      <c r="G629" s="1"/>
      <c r="H629" s="163"/>
      <c r="I629" s="37"/>
      <c r="J629" s="138">
        <f t="shared" si="49"/>
        <v>0.77968490742404351</v>
      </c>
      <c r="K629" s="114"/>
      <c r="L629" s="37">
        <v>2.2309182515999999</v>
      </c>
      <c r="M629" s="37" t="s">
        <v>142</v>
      </c>
      <c r="N629" s="37">
        <v>621.96155034146341</v>
      </c>
      <c r="O629" s="132">
        <f t="shared" si="50"/>
        <v>1387.5453744502029</v>
      </c>
      <c r="P629" s="134">
        <f t="shared" si="51"/>
        <v>298.10997215993007</v>
      </c>
      <c r="Q629" s="261">
        <v>0.27555619706204609</v>
      </c>
      <c r="R629" s="94"/>
    </row>
    <row r="630" spans="1:18" x14ac:dyDescent="0.25">
      <c r="A630" s="367">
        <v>41681</v>
      </c>
      <c r="B630" s="367" t="s">
        <v>279</v>
      </c>
      <c r="C630" s="279" t="s">
        <v>516</v>
      </c>
      <c r="D630" s="159" t="s">
        <v>993</v>
      </c>
      <c r="E630" s="45">
        <f t="shared" si="47"/>
        <v>41681</v>
      </c>
      <c r="F630" s="148" t="str">
        <f t="shared" si="48"/>
        <v>2013-14</v>
      </c>
      <c r="G630" s="1"/>
      <c r="H630" s="163"/>
      <c r="I630" s="37"/>
      <c r="J630" s="138">
        <f t="shared" si="49"/>
        <v>0.77968490742404351</v>
      </c>
      <c r="K630" s="114"/>
      <c r="L630" s="37">
        <v>2.04182399928</v>
      </c>
      <c r="M630" s="37" t="s">
        <v>142</v>
      </c>
      <c r="N630" s="37">
        <v>514.18436487804865</v>
      </c>
      <c r="O630" s="132">
        <f t="shared" si="50"/>
        <v>1049.8739762625441</v>
      </c>
      <c r="P630" s="134">
        <f t="shared" si="51"/>
        <v>225.56228257333615</v>
      </c>
      <c r="Q630" s="261">
        <v>0.27555619706204609</v>
      </c>
      <c r="R630" s="94"/>
    </row>
    <row r="631" spans="1:18" x14ac:dyDescent="0.25">
      <c r="A631" s="367">
        <v>41880</v>
      </c>
      <c r="B631" s="367" t="s">
        <v>279</v>
      </c>
      <c r="C631" s="279" t="s">
        <v>517</v>
      </c>
      <c r="D631" s="159" t="s">
        <v>994</v>
      </c>
      <c r="E631" s="45">
        <f t="shared" si="47"/>
        <v>41880</v>
      </c>
      <c r="F631" s="148" t="str">
        <f t="shared" si="48"/>
        <v>2014-15</v>
      </c>
      <c r="G631" s="1"/>
      <c r="H631" s="163"/>
      <c r="I631" s="37"/>
      <c r="J631" s="138">
        <f t="shared" si="49"/>
        <v>0.77968490742404351</v>
      </c>
      <c r="K631" s="114"/>
      <c r="L631" s="37">
        <v>44.586764252899997</v>
      </c>
      <c r="M631" s="37" t="s">
        <v>142</v>
      </c>
      <c r="N631" s="37">
        <v>514.18436487804865</v>
      </c>
      <c r="O631" s="132">
        <f t="shared" si="50"/>
        <v>22925.817059344667</v>
      </c>
      <c r="P631" s="134">
        <f t="shared" si="51"/>
        <v>11917.682699465196</v>
      </c>
      <c r="Q631" s="261">
        <v>0.66672673213803046</v>
      </c>
      <c r="R631" s="94"/>
    </row>
    <row r="632" spans="1:18" x14ac:dyDescent="0.25">
      <c r="A632" s="367">
        <v>39160</v>
      </c>
      <c r="B632" s="367" t="s">
        <v>279</v>
      </c>
      <c r="C632" s="279" t="s">
        <v>518</v>
      </c>
      <c r="D632" s="159" t="s">
        <v>951</v>
      </c>
      <c r="E632" s="45">
        <f t="shared" si="47"/>
        <v>39160</v>
      </c>
      <c r="F632" s="148" t="str">
        <f t="shared" si="48"/>
        <v>2006-07</v>
      </c>
      <c r="G632" s="1"/>
      <c r="H632" s="163"/>
      <c r="I632" s="37"/>
      <c r="J632" s="138">
        <f t="shared" si="49"/>
        <v>0.77968490742404351</v>
      </c>
      <c r="K632" s="114"/>
      <c r="L632" s="37">
        <v>450.88151506700001</v>
      </c>
      <c r="M632" s="37" t="s">
        <v>142</v>
      </c>
      <c r="N632" s="37">
        <v>771.6404230243902</v>
      </c>
      <c r="O632" s="132">
        <f t="shared" si="50"/>
        <v>347918.40302017785</v>
      </c>
      <c r="P632" s="134">
        <f t="shared" si="51"/>
        <v>271266.72784990841</v>
      </c>
      <c r="Q632" s="261">
        <v>1</v>
      </c>
      <c r="R632" s="94"/>
    </row>
    <row r="633" spans="1:18" x14ac:dyDescent="0.25">
      <c r="A633" s="367">
        <v>39160</v>
      </c>
      <c r="B633" s="367" t="s">
        <v>279</v>
      </c>
      <c r="C633" s="279" t="s">
        <v>518</v>
      </c>
      <c r="D633" s="159" t="s">
        <v>995</v>
      </c>
      <c r="E633" s="45">
        <f t="shared" si="47"/>
        <v>39160</v>
      </c>
      <c r="F633" s="148" t="str">
        <f t="shared" si="48"/>
        <v>2006-07</v>
      </c>
      <c r="G633" s="1"/>
      <c r="H633" s="163"/>
      <c r="I633" s="37"/>
      <c r="J633" s="138">
        <f t="shared" si="49"/>
        <v>0.77968490742404351</v>
      </c>
      <c r="K633" s="114"/>
      <c r="L633" s="37">
        <v>3.0175170733200001</v>
      </c>
      <c r="M633" s="37" t="s">
        <v>142</v>
      </c>
      <c r="N633" s="37">
        <v>771.6404230243902</v>
      </c>
      <c r="O633" s="132">
        <f t="shared" si="50"/>
        <v>2328.4381509399645</v>
      </c>
      <c r="P633" s="134">
        <f t="shared" si="51"/>
        <v>1815.4480841582372</v>
      </c>
      <c r="Q633" s="261">
        <v>1</v>
      </c>
      <c r="R633" s="94"/>
    </row>
    <row r="634" spans="1:18" x14ac:dyDescent="0.25">
      <c r="A634" s="367">
        <v>39160</v>
      </c>
      <c r="B634" s="367" t="s">
        <v>279</v>
      </c>
      <c r="C634" s="279" t="s">
        <v>518</v>
      </c>
      <c r="D634" s="159" t="s">
        <v>995</v>
      </c>
      <c r="E634" s="45">
        <f t="shared" si="47"/>
        <v>39160</v>
      </c>
      <c r="F634" s="148" t="str">
        <f t="shared" si="48"/>
        <v>2006-07</v>
      </c>
      <c r="G634" s="1"/>
      <c r="H634" s="163"/>
      <c r="I634" s="37"/>
      <c r="J634" s="138">
        <f t="shared" si="49"/>
        <v>0.77968490742404351</v>
      </c>
      <c r="K634" s="114"/>
      <c r="L634" s="37">
        <v>2.49287825615</v>
      </c>
      <c r="M634" s="37" t="s">
        <v>142</v>
      </c>
      <c r="N634" s="37">
        <v>771.6404230243902</v>
      </c>
      <c r="O634" s="132">
        <f t="shared" si="50"/>
        <v>1923.6056321238902</v>
      </c>
      <c r="P634" s="134">
        <f t="shared" si="51"/>
        <v>1499.8062792028841</v>
      </c>
      <c r="Q634" s="261">
        <v>1</v>
      </c>
      <c r="R634" s="94"/>
    </row>
    <row r="635" spans="1:18" x14ac:dyDescent="0.25">
      <c r="A635" s="367">
        <v>39160</v>
      </c>
      <c r="B635" s="367" t="s">
        <v>279</v>
      </c>
      <c r="C635" s="279" t="s">
        <v>518</v>
      </c>
      <c r="D635" s="159" t="s">
        <v>951</v>
      </c>
      <c r="E635" s="45">
        <f t="shared" si="47"/>
        <v>39160</v>
      </c>
      <c r="F635" s="148" t="str">
        <f t="shared" si="48"/>
        <v>2006-07</v>
      </c>
      <c r="G635" s="1"/>
      <c r="H635" s="163"/>
      <c r="I635" s="37"/>
      <c r="J635" s="138">
        <f t="shared" si="49"/>
        <v>0.77968490742404351</v>
      </c>
      <c r="K635" s="114"/>
      <c r="L635" s="37">
        <v>3.5436459387700001</v>
      </c>
      <c r="M635" s="37" t="s">
        <v>142</v>
      </c>
      <c r="N635" s="37">
        <v>936.5640883902438</v>
      </c>
      <c r="O635" s="132">
        <f t="shared" si="50"/>
        <v>3318.851528221915</v>
      </c>
      <c r="P635" s="134">
        <f t="shared" si="51"/>
        <v>2587.6584465358492</v>
      </c>
      <c r="Q635" s="261">
        <v>1</v>
      </c>
      <c r="R635" s="94"/>
    </row>
    <row r="636" spans="1:18" x14ac:dyDescent="0.25">
      <c r="A636" s="367">
        <v>39160</v>
      </c>
      <c r="B636" s="367" t="s">
        <v>279</v>
      </c>
      <c r="C636" s="279" t="s">
        <v>518</v>
      </c>
      <c r="D636" s="159" t="s">
        <v>951</v>
      </c>
      <c r="E636" s="45">
        <f t="shared" si="47"/>
        <v>39160</v>
      </c>
      <c r="F636" s="148" t="str">
        <f t="shared" si="48"/>
        <v>2006-07</v>
      </c>
      <c r="G636" s="1"/>
      <c r="H636" s="163"/>
      <c r="I636" s="37"/>
      <c r="J636" s="138">
        <f t="shared" si="49"/>
        <v>0.77968490742404351</v>
      </c>
      <c r="K636" s="114"/>
      <c r="L636" s="37">
        <v>1.2137956994500001</v>
      </c>
      <c r="M636" s="37" t="s">
        <v>142</v>
      </c>
      <c r="N636" s="37">
        <v>771.6404230243902</v>
      </c>
      <c r="O636" s="132">
        <f t="shared" si="50"/>
        <v>936.61382698878367</v>
      </c>
      <c r="P636" s="134">
        <f t="shared" si="51"/>
        <v>730.26366498782886</v>
      </c>
      <c r="Q636" s="261">
        <v>1</v>
      </c>
      <c r="R636" s="94"/>
    </row>
    <row r="637" spans="1:18" x14ac:dyDescent="0.25">
      <c r="A637" s="367">
        <v>42653</v>
      </c>
      <c r="B637" s="367" t="s">
        <v>279</v>
      </c>
      <c r="C637" s="279" t="s">
        <v>519</v>
      </c>
      <c r="D637" s="159" t="s">
        <v>996</v>
      </c>
      <c r="E637" s="45">
        <f t="shared" si="47"/>
        <v>42653</v>
      </c>
      <c r="F637" s="148" t="str">
        <f t="shared" si="48"/>
        <v>2016-17</v>
      </c>
      <c r="G637" s="1"/>
      <c r="H637" s="163"/>
      <c r="I637" s="37"/>
      <c r="J637" s="138">
        <f t="shared" si="49"/>
        <v>0.77968490742404351</v>
      </c>
      <c r="K637" s="114"/>
      <c r="L637" s="37">
        <v>86.017875118899994</v>
      </c>
      <c r="M637" s="37" t="s">
        <v>142</v>
      </c>
      <c r="N637" s="37">
        <v>470.74786858536584</v>
      </c>
      <c r="O637" s="132">
        <f t="shared" si="50"/>
        <v>40492.731372464346</v>
      </c>
      <c r="P637" s="134">
        <f t="shared" si="51"/>
        <v>16559.477372010086</v>
      </c>
      <c r="Q637" s="261">
        <v>0.52450595834247071</v>
      </c>
      <c r="R637" s="94"/>
    </row>
    <row r="638" spans="1:18" x14ac:dyDescent="0.25">
      <c r="A638" s="367">
        <v>42653</v>
      </c>
      <c r="B638" s="367" t="s">
        <v>279</v>
      </c>
      <c r="C638" s="279" t="s">
        <v>519</v>
      </c>
      <c r="D638" s="159" t="s">
        <v>996</v>
      </c>
      <c r="E638" s="45">
        <f t="shared" si="47"/>
        <v>42653</v>
      </c>
      <c r="F638" s="148" t="str">
        <f t="shared" si="48"/>
        <v>2016-17</v>
      </c>
      <c r="G638" s="1"/>
      <c r="H638" s="163"/>
      <c r="I638" s="37"/>
      <c r="J638" s="138">
        <f t="shared" si="49"/>
        <v>0.77968490742404351</v>
      </c>
      <c r="K638" s="114"/>
      <c r="L638" s="37">
        <v>1.89009470662</v>
      </c>
      <c r="M638" s="37" t="s">
        <v>142</v>
      </c>
      <c r="N638" s="37">
        <v>470.74786858536584</v>
      </c>
      <c r="O638" s="132">
        <f t="shared" si="50"/>
        <v>889.75805456584737</v>
      </c>
      <c r="P638" s="134">
        <f t="shared" si="51"/>
        <v>363.86600438532417</v>
      </c>
      <c r="Q638" s="261">
        <v>0.52450595834247071</v>
      </c>
      <c r="R638" s="94"/>
    </row>
    <row r="639" spans="1:18" x14ac:dyDescent="0.25">
      <c r="A639" s="367">
        <v>42653</v>
      </c>
      <c r="B639" s="367" t="s">
        <v>279</v>
      </c>
      <c r="C639" s="279" t="s">
        <v>519</v>
      </c>
      <c r="D639" s="159" t="s">
        <v>996</v>
      </c>
      <c r="E639" s="45">
        <f t="shared" si="47"/>
        <v>42653</v>
      </c>
      <c r="F639" s="148" t="str">
        <f t="shared" si="48"/>
        <v>2016-17</v>
      </c>
      <c r="G639" s="1"/>
      <c r="H639" s="163"/>
      <c r="I639" s="37"/>
      <c r="J639" s="138">
        <f t="shared" si="49"/>
        <v>0.77968490742404351</v>
      </c>
      <c r="K639" s="114"/>
      <c r="L639" s="37">
        <v>37.7508109714</v>
      </c>
      <c r="M639" s="37" t="s">
        <v>142</v>
      </c>
      <c r="N639" s="37">
        <v>470.74786858536584</v>
      </c>
      <c r="O639" s="132">
        <f t="shared" si="50"/>
        <v>17771.113802155593</v>
      </c>
      <c r="P639" s="134">
        <f t="shared" si="51"/>
        <v>7267.4859637235204</v>
      </c>
      <c r="Q639" s="261">
        <v>0.52450595834247071</v>
      </c>
      <c r="R639" s="94"/>
    </row>
    <row r="640" spans="1:18" x14ac:dyDescent="0.25">
      <c r="A640" s="367">
        <v>42653</v>
      </c>
      <c r="B640" s="367" t="s">
        <v>279</v>
      </c>
      <c r="C640" s="279" t="s">
        <v>519</v>
      </c>
      <c r="D640" s="159" t="s">
        <v>996</v>
      </c>
      <c r="E640" s="45">
        <f t="shared" si="47"/>
        <v>42653</v>
      </c>
      <c r="F640" s="148" t="str">
        <f t="shared" si="48"/>
        <v>2016-17</v>
      </c>
      <c r="G640" s="1"/>
      <c r="H640" s="163"/>
      <c r="I640" s="37"/>
      <c r="J640" s="138">
        <f t="shared" si="49"/>
        <v>0.77968490742404351</v>
      </c>
      <c r="K640" s="114"/>
      <c r="L640" s="37">
        <v>1.50018832151</v>
      </c>
      <c r="M640" s="37" t="s">
        <v>142</v>
      </c>
      <c r="N640" s="37">
        <v>470.74786858536584</v>
      </c>
      <c r="O640" s="132">
        <f t="shared" si="50"/>
        <v>706.21045482749003</v>
      </c>
      <c r="P640" s="134">
        <f t="shared" si="51"/>
        <v>288.80432735009794</v>
      </c>
      <c r="Q640" s="261">
        <v>0.52450595834247071</v>
      </c>
      <c r="R640" s="94"/>
    </row>
    <row r="641" spans="1:18" x14ac:dyDescent="0.25">
      <c r="A641" s="367">
        <v>43395</v>
      </c>
      <c r="B641" s="367" t="s">
        <v>279</v>
      </c>
      <c r="C641" s="279" t="s">
        <v>520</v>
      </c>
      <c r="D641" s="159" t="s">
        <v>997</v>
      </c>
      <c r="E641" s="45">
        <f t="shared" si="47"/>
        <v>43395</v>
      </c>
      <c r="F641" s="148" t="str">
        <f t="shared" si="48"/>
        <v>2018-19</v>
      </c>
      <c r="G641" s="1"/>
      <c r="H641" s="163"/>
      <c r="I641" s="37"/>
      <c r="J641" s="138">
        <f t="shared" si="49"/>
        <v>0.77968490742404351</v>
      </c>
      <c r="K641" s="114"/>
      <c r="L641" s="37">
        <v>83.508696156200003</v>
      </c>
      <c r="M641" s="37" t="s">
        <v>142</v>
      </c>
      <c r="N641" s="37">
        <v>1128.7084557073169</v>
      </c>
      <c r="O641" s="132">
        <f t="shared" si="50"/>
        <v>94256.971476596053</v>
      </c>
      <c r="P641" s="134">
        <f t="shared" si="51"/>
        <v>73490.738079800503</v>
      </c>
      <c r="Q641" s="261">
        <v>1</v>
      </c>
      <c r="R641" s="94"/>
    </row>
    <row r="642" spans="1:18" x14ac:dyDescent="0.25">
      <c r="A642" s="367">
        <v>43395</v>
      </c>
      <c r="B642" s="367" t="s">
        <v>279</v>
      </c>
      <c r="C642" s="279" t="s">
        <v>521</v>
      </c>
      <c r="D642" s="159" t="s">
        <v>997</v>
      </c>
      <c r="E642" s="45">
        <f t="shared" si="47"/>
        <v>43395</v>
      </c>
      <c r="F642" s="148" t="str">
        <f t="shared" si="48"/>
        <v>2018-19</v>
      </c>
      <c r="G642" s="1"/>
      <c r="H642" s="163"/>
      <c r="I642" s="37"/>
      <c r="J642" s="138">
        <f t="shared" si="49"/>
        <v>0.77968490742404351</v>
      </c>
      <c r="K642" s="114"/>
      <c r="L642" s="37">
        <v>100.884338809</v>
      </c>
      <c r="M642" s="37" t="s">
        <v>142</v>
      </c>
      <c r="N642" s="37">
        <v>2042.4636684878049</v>
      </c>
      <c r="O642" s="132">
        <f t="shared" si="50"/>
        <v>206052.59673679675</v>
      </c>
      <c r="P642" s="134">
        <f t="shared" si="51"/>
        <v>160656.09981121315</v>
      </c>
      <c r="Q642" s="261">
        <v>1</v>
      </c>
      <c r="R642" s="94"/>
    </row>
    <row r="643" spans="1:18" x14ac:dyDescent="0.25">
      <c r="A643" s="367">
        <v>43395</v>
      </c>
      <c r="B643" s="367" t="s">
        <v>279</v>
      </c>
      <c r="C643" s="279" t="s">
        <v>521</v>
      </c>
      <c r="D643" s="159" t="s">
        <v>997</v>
      </c>
      <c r="E643" s="45">
        <f t="shared" si="47"/>
        <v>43395</v>
      </c>
      <c r="F643" s="148" t="str">
        <f t="shared" si="48"/>
        <v>2018-19</v>
      </c>
      <c r="G643" s="1"/>
      <c r="H643" s="163"/>
      <c r="I643" s="37"/>
      <c r="J643" s="138">
        <f t="shared" si="49"/>
        <v>0.77968490742404351</v>
      </c>
      <c r="K643" s="114"/>
      <c r="L643" s="37">
        <v>15.9780492794</v>
      </c>
      <c r="M643" s="37" t="s">
        <v>142</v>
      </c>
      <c r="N643" s="37">
        <v>2042.4636684878049</v>
      </c>
      <c r="O643" s="132">
        <f t="shared" si="50"/>
        <v>32634.585146482252</v>
      </c>
      <c r="P643" s="134">
        <f t="shared" si="51"/>
        <v>25444.693498757078</v>
      </c>
      <c r="Q643" s="261">
        <v>1</v>
      </c>
      <c r="R643" s="94"/>
    </row>
    <row r="644" spans="1:18" x14ac:dyDescent="0.25">
      <c r="A644" s="367">
        <v>43395</v>
      </c>
      <c r="B644" s="367" t="s">
        <v>279</v>
      </c>
      <c r="C644" s="279" t="s">
        <v>521</v>
      </c>
      <c r="D644" s="159" t="s">
        <v>997</v>
      </c>
      <c r="E644" s="45">
        <f t="shared" si="47"/>
        <v>43395</v>
      </c>
      <c r="F644" s="148" t="str">
        <f t="shared" si="48"/>
        <v>2018-19</v>
      </c>
      <c r="G644" s="1"/>
      <c r="H644" s="163"/>
      <c r="I644" s="37"/>
      <c r="J644" s="138">
        <f t="shared" si="49"/>
        <v>0.77968490742404351</v>
      </c>
      <c r="K644" s="114"/>
      <c r="L644" s="37">
        <v>18.110395741600001</v>
      </c>
      <c r="M644" s="37" t="s">
        <v>142</v>
      </c>
      <c r="N644" s="37">
        <v>2042.4636684878049</v>
      </c>
      <c r="O644" s="132">
        <f t="shared" si="50"/>
        <v>36989.825324154255</v>
      </c>
      <c r="P644" s="134">
        <f t="shared" si="51"/>
        <v>28840.408533494752</v>
      </c>
      <c r="Q644" s="261">
        <v>1</v>
      </c>
      <c r="R644" s="94"/>
    </row>
    <row r="645" spans="1:18" x14ac:dyDescent="0.25">
      <c r="A645" s="367">
        <v>43395</v>
      </c>
      <c r="B645" s="367" t="s">
        <v>279</v>
      </c>
      <c r="C645" s="279" t="s">
        <v>521</v>
      </c>
      <c r="D645" s="159" t="s">
        <v>997</v>
      </c>
      <c r="E645" s="45">
        <f t="shared" si="47"/>
        <v>43395</v>
      </c>
      <c r="F645" s="148" t="str">
        <f t="shared" si="48"/>
        <v>2018-19</v>
      </c>
      <c r="G645" s="1"/>
      <c r="H645" s="163"/>
      <c r="I645" s="37"/>
      <c r="J645" s="138">
        <f t="shared" si="49"/>
        <v>0.77968490742404351</v>
      </c>
      <c r="K645" s="114"/>
      <c r="L645" s="37">
        <v>7.5330282346599997</v>
      </c>
      <c r="M645" s="37" t="s">
        <v>142</v>
      </c>
      <c r="N645" s="37">
        <v>2042.4636684878049</v>
      </c>
      <c r="O645" s="132">
        <f t="shared" si="50"/>
        <v>15385.936482985875</v>
      </c>
      <c r="P645" s="134">
        <f t="shared" si="51"/>
        <v>11996.182462369055</v>
      </c>
      <c r="Q645" s="261">
        <v>1</v>
      </c>
      <c r="R645" s="94"/>
    </row>
    <row r="646" spans="1:18" x14ac:dyDescent="0.25">
      <c r="A646" s="367">
        <v>43395</v>
      </c>
      <c r="B646" s="367" t="s">
        <v>279</v>
      </c>
      <c r="C646" s="279" t="s">
        <v>520</v>
      </c>
      <c r="D646" s="159" t="s">
        <v>998</v>
      </c>
      <c r="E646" s="45">
        <f t="shared" si="47"/>
        <v>43395</v>
      </c>
      <c r="F646" s="148" t="str">
        <f t="shared" si="48"/>
        <v>2018-19</v>
      </c>
      <c r="G646" s="1"/>
      <c r="H646" s="163"/>
      <c r="I646" s="37"/>
      <c r="J646" s="138">
        <f t="shared" si="49"/>
        <v>0.77968490742404351</v>
      </c>
      <c r="K646" s="114"/>
      <c r="L646" s="37">
        <v>33.945069731700002</v>
      </c>
      <c r="M646" s="37" t="s">
        <v>142</v>
      </c>
      <c r="N646" s="37">
        <v>1128.7084557073169</v>
      </c>
      <c r="O646" s="132">
        <f t="shared" si="50"/>
        <v>38314.0872357443</v>
      </c>
      <c r="P646" s="134">
        <f t="shared" si="51"/>
        <v>29872.915559438021</v>
      </c>
      <c r="Q646" s="261">
        <v>1</v>
      </c>
      <c r="R646" s="94"/>
    </row>
    <row r="647" spans="1:18" x14ac:dyDescent="0.25">
      <c r="A647" s="367">
        <v>43395</v>
      </c>
      <c r="B647" s="367" t="s">
        <v>279</v>
      </c>
      <c r="C647" s="279" t="s">
        <v>521</v>
      </c>
      <c r="D647" s="159" t="s">
        <v>997</v>
      </c>
      <c r="E647" s="45">
        <f t="shared" si="47"/>
        <v>43395</v>
      </c>
      <c r="F647" s="148" t="str">
        <f t="shared" si="48"/>
        <v>2018-19</v>
      </c>
      <c r="G647" s="1"/>
      <c r="H647" s="163"/>
      <c r="I647" s="37"/>
      <c r="J647" s="138">
        <f t="shared" si="49"/>
        <v>0.77968490742404351</v>
      </c>
      <c r="K647" s="114"/>
      <c r="L647" s="37">
        <v>43.856515851600001</v>
      </c>
      <c r="M647" s="37" t="s">
        <v>142</v>
      </c>
      <c r="N647" s="37">
        <v>2042.4636684878049</v>
      </c>
      <c r="O647" s="132">
        <f t="shared" si="50"/>
        <v>89575.340253352508</v>
      </c>
      <c r="P647" s="134">
        <f t="shared" si="51"/>
        <v>69840.540872912345</v>
      </c>
      <c r="Q647" s="261">
        <v>1</v>
      </c>
      <c r="R647" s="94"/>
    </row>
    <row r="648" spans="1:18" x14ac:dyDescent="0.25">
      <c r="A648" s="367">
        <v>43395</v>
      </c>
      <c r="B648" s="367" t="s">
        <v>279</v>
      </c>
      <c r="C648" s="279" t="s">
        <v>520</v>
      </c>
      <c r="D648" s="159" t="s">
        <v>997</v>
      </c>
      <c r="E648" s="45">
        <f t="shared" si="47"/>
        <v>43395</v>
      </c>
      <c r="F648" s="148" t="str">
        <f t="shared" si="48"/>
        <v>2018-19</v>
      </c>
      <c r="G648" s="1"/>
      <c r="H648" s="163"/>
      <c r="I648" s="37"/>
      <c r="J648" s="138">
        <f t="shared" si="49"/>
        <v>0.77968490742404351</v>
      </c>
      <c r="K648" s="114"/>
      <c r="L648" s="37">
        <v>38.207031469599997</v>
      </c>
      <c r="M648" s="37" t="s">
        <v>142</v>
      </c>
      <c r="N648" s="37">
        <v>1128.7084557073169</v>
      </c>
      <c r="O648" s="132">
        <f t="shared" si="50"/>
        <v>43124.599487213076</v>
      </c>
      <c r="P648" s="134">
        <f t="shared" si="51"/>
        <v>33623.599358886684</v>
      </c>
      <c r="Q648" s="261">
        <v>1</v>
      </c>
      <c r="R648" s="94"/>
    </row>
    <row r="649" spans="1:18" x14ac:dyDescent="0.25">
      <c r="A649" s="367">
        <v>43395</v>
      </c>
      <c r="B649" s="367" t="s">
        <v>279</v>
      </c>
      <c r="C649" s="279" t="s">
        <v>521</v>
      </c>
      <c r="D649" s="159" t="s">
        <v>997</v>
      </c>
      <c r="E649" s="45">
        <f t="shared" si="47"/>
        <v>43395</v>
      </c>
      <c r="F649" s="148" t="str">
        <f t="shared" si="48"/>
        <v>2018-19</v>
      </c>
      <c r="G649" s="1"/>
      <c r="H649" s="163"/>
      <c r="I649" s="37"/>
      <c r="J649" s="138">
        <f t="shared" si="49"/>
        <v>0.77968490742404351</v>
      </c>
      <c r="K649" s="114"/>
      <c r="L649" s="37">
        <v>19.929808077299999</v>
      </c>
      <c r="M649" s="37" t="s">
        <v>142</v>
      </c>
      <c r="N649" s="37">
        <v>2042.4636684878049</v>
      </c>
      <c r="O649" s="132">
        <f t="shared" si="50"/>
        <v>40705.908917820037</v>
      </c>
      <c r="P649" s="134">
        <f t="shared" si="51"/>
        <v>31737.782826202063</v>
      </c>
      <c r="Q649" s="261">
        <v>1</v>
      </c>
      <c r="R649" s="94"/>
    </row>
    <row r="650" spans="1:18" x14ac:dyDescent="0.25">
      <c r="A650" s="367">
        <v>43395</v>
      </c>
      <c r="B650" s="367" t="s">
        <v>279</v>
      </c>
      <c r="C650" s="279" t="s">
        <v>521</v>
      </c>
      <c r="D650" s="159" t="s">
        <v>997</v>
      </c>
      <c r="E650" s="45">
        <f t="shared" si="47"/>
        <v>43395</v>
      </c>
      <c r="F650" s="148" t="str">
        <f t="shared" si="48"/>
        <v>2018-19</v>
      </c>
      <c r="G650" s="1"/>
      <c r="H650" s="163"/>
      <c r="I650" s="37"/>
      <c r="J650" s="138">
        <f t="shared" si="49"/>
        <v>0.77968490742404351</v>
      </c>
      <c r="K650" s="114"/>
      <c r="L650" s="37">
        <v>10.0084759161</v>
      </c>
      <c r="M650" s="37" t="s">
        <v>142</v>
      </c>
      <c r="N650" s="37">
        <v>2042.4636684878049</v>
      </c>
      <c r="O650" s="132">
        <f t="shared" si="50"/>
        <v>20441.948435569451</v>
      </c>
      <c r="P650" s="134">
        <f t="shared" si="51"/>
        <v>15938.278673554039</v>
      </c>
      <c r="Q650" s="261">
        <v>1</v>
      </c>
      <c r="R650" s="94"/>
    </row>
    <row r="651" spans="1:18" x14ac:dyDescent="0.25">
      <c r="A651" s="367">
        <v>43395</v>
      </c>
      <c r="B651" s="367" t="s">
        <v>279</v>
      </c>
      <c r="C651" s="279" t="s">
        <v>521</v>
      </c>
      <c r="D651" s="159" t="s">
        <v>997</v>
      </c>
      <c r="E651" s="45">
        <f t="shared" si="47"/>
        <v>43395</v>
      </c>
      <c r="F651" s="148" t="str">
        <f t="shared" si="48"/>
        <v>2018-19</v>
      </c>
      <c r="G651" s="1"/>
      <c r="H651" s="163"/>
      <c r="I651" s="37"/>
      <c r="J651" s="138">
        <f t="shared" si="49"/>
        <v>0.77968490742404351</v>
      </c>
      <c r="K651" s="114"/>
      <c r="L651" s="37">
        <v>2.9710612348800001</v>
      </c>
      <c r="M651" s="37" t="s">
        <v>142</v>
      </c>
      <c r="N651" s="37">
        <v>2042.4636684878049</v>
      </c>
      <c r="O651" s="132">
        <f t="shared" si="50"/>
        <v>6068.2846290949128</v>
      </c>
      <c r="P651" s="134">
        <f t="shared" si="51"/>
        <v>4731.3499392586136</v>
      </c>
      <c r="Q651" s="261">
        <v>1</v>
      </c>
      <c r="R651" s="94"/>
    </row>
    <row r="652" spans="1:18" x14ac:dyDescent="0.25">
      <c r="A652" s="367">
        <v>43395</v>
      </c>
      <c r="B652" s="367" t="s">
        <v>279</v>
      </c>
      <c r="C652" s="279" t="s">
        <v>520</v>
      </c>
      <c r="D652" s="159" t="s">
        <v>997</v>
      </c>
      <c r="E652" s="45">
        <f t="shared" si="47"/>
        <v>43395</v>
      </c>
      <c r="F652" s="148" t="str">
        <f t="shared" si="48"/>
        <v>2018-19</v>
      </c>
      <c r="G652" s="1"/>
      <c r="H652" s="163"/>
      <c r="I652" s="37"/>
      <c r="J652" s="138">
        <f t="shared" si="49"/>
        <v>0.77968490742404351</v>
      </c>
      <c r="K652" s="114"/>
      <c r="L652" s="37">
        <v>14.9989696979</v>
      </c>
      <c r="M652" s="37" t="s">
        <v>142</v>
      </c>
      <c r="N652" s="37">
        <v>1128.7084557073169</v>
      </c>
      <c r="O652" s="132">
        <f t="shared" si="50"/>
        <v>16929.463924917553</v>
      </c>
      <c r="P652" s="134">
        <f t="shared" si="51"/>
        <v>13199.647513038026</v>
      </c>
      <c r="Q652" s="261">
        <v>1</v>
      </c>
      <c r="R652" s="94"/>
    </row>
    <row r="653" spans="1:18" x14ac:dyDescent="0.25">
      <c r="A653" s="367">
        <v>43395</v>
      </c>
      <c r="B653" s="367" t="s">
        <v>279</v>
      </c>
      <c r="C653" s="279" t="s">
        <v>521</v>
      </c>
      <c r="D653" s="159" t="s">
        <v>997</v>
      </c>
      <c r="E653" s="45">
        <f t="shared" si="47"/>
        <v>43395</v>
      </c>
      <c r="F653" s="148" t="str">
        <f t="shared" si="48"/>
        <v>2018-19</v>
      </c>
      <c r="G653" s="1"/>
      <c r="H653" s="163"/>
      <c r="I653" s="37"/>
      <c r="J653" s="138">
        <f t="shared" si="49"/>
        <v>0.77968490742404351</v>
      </c>
      <c r="K653" s="114"/>
      <c r="L653" s="37">
        <v>4.7919083881100004</v>
      </c>
      <c r="M653" s="37" t="s">
        <v>142</v>
      </c>
      <c r="N653" s="37">
        <v>2042.4636684878049</v>
      </c>
      <c r="O653" s="132">
        <f t="shared" si="50"/>
        <v>9787.2987854366347</v>
      </c>
      <c r="P653" s="134">
        <f t="shared" si="51"/>
        <v>7631.0091474546161</v>
      </c>
      <c r="Q653" s="261">
        <v>1</v>
      </c>
      <c r="R653" s="94"/>
    </row>
    <row r="654" spans="1:18" x14ac:dyDescent="0.25">
      <c r="A654" s="367">
        <v>43395</v>
      </c>
      <c r="B654" s="367" t="s">
        <v>279</v>
      </c>
      <c r="C654" s="279" t="s">
        <v>520</v>
      </c>
      <c r="D654" s="159" t="s">
        <v>997</v>
      </c>
      <c r="E654" s="45">
        <f t="shared" si="47"/>
        <v>43395</v>
      </c>
      <c r="F654" s="148" t="str">
        <f t="shared" si="48"/>
        <v>2018-19</v>
      </c>
      <c r="G654" s="1"/>
      <c r="H654" s="163"/>
      <c r="I654" s="37"/>
      <c r="J654" s="138">
        <f t="shared" si="49"/>
        <v>0.77968490742404351</v>
      </c>
      <c r="K654" s="114"/>
      <c r="L654" s="37">
        <v>12.946791404200001</v>
      </c>
      <c r="M654" s="37" t="s">
        <v>142</v>
      </c>
      <c r="N654" s="37">
        <v>1128.7084557073169</v>
      </c>
      <c r="O654" s="132">
        <f t="shared" si="50"/>
        <v>14613.152932199348</v>
      </c>
      <c r="P654" s="134">
        <f t="shared" si="51"/>
        <v>11393.654791115237</v>
      </c>
      <c r="Q654" s="261">
        <v>1</v>
      </c>
      <c r="R654" s="94"/>
    </row>
    <row r="655" spans="1:18" x14ac:dyDescent="0.25">
      <c r="A655" s="367">
        <v>43395</v>
      </c>
      <c r="B655" s="367" t="s">
        <v>279</v>
      </c>
      <c r="C655" s="279" t="s">
        <v>520</v>
      </c>
      <c r="D655" s="159" t="s">
        <v>997</v>
      </c>
      <c r="E655" s="45">
        <f t="shared" si="47"/>
        <v>43395</v>
      </c>
      <c r="F655" s="148" t="str">
        <f t="shared" si="48"/>
        <v>2018-19</v>
      </c>
      <c r="G655" s="1"/>
      <c r="H655" s="163"/>
      <c r="I655" s="37"/>
      <c r="J655" s="138">
        <f t="shared" si="49"/>
        <v>0.77968490742404351</v>
      </c>
      <c r="K655" s="114"/>
      <c r="L655" s="37">
        <v>16.8470898506</v>
      </c>
      <c r="M655" s="37" t="s">
        <v>142</v>
      </c>
      <c r="N655" s="37">
        <v>1128.7084557073169</v>
      </c>
      <c r="O655" s="132">
        <f t="shared" si="50"/>
        <v>19015.452768433137</v>
      </c>
      <c r="P655" s="134">
        <f t="shared" si="51"/>
        <v>14826.061531382062</v>
      </c>
      <c r="Q655" s="261">
        <v>1</v>
      </c>
      <c r="R655" s="94"/>
    </row>
    <row r="656" spans="1:18" x14ac:dyDescent="0.25">
      <c r="A656" s="367">
        <v>43395</v>
      </c>
      <c r="B656" s="367" t="s">
        <v>279</v>
      </c>
      <c r="C656" s="279" t="s">
        <v>521</v>
      </c>
      <c r="D656" s="159" t="s">
        <v>997</v>
      </c>
      <c r="E656" s="45">
        <f t="shared" si="47"/>
        <v>43395</v>
      </c>
      <c r="F656" s="148" t="str">
        <f t="shared" si="48"/>
        <v>2018-19</v>
      </c>
      <c r="G656" s="1"/>
      <c r="H656" s="163"/>
      <c r="I656" s="37"/>
      <c r="J656" s="138">
        <f t="shared" si="49"/>
        <v>0.77968490742404351</v>
      </c>
      <c r="K656" s="114"/>
      <c r="L656" s="37">
        <v>13.849309526800001</v>
      </c>
      <c r="M656" s="37" t="s">
        <v>142</v>
      </c>
      <c r="N656" s="37">
        <v>2042.4636684878049</v>
      </c>
      <c r="O656" s="132">
        <f t="shared" si="50"/>
        <v>28286.711542131034</v>
      </c>
      <c r="P656" s="134">
        <f t="shared" si="51"/>
        <v>22054.722070057058</v>
      </c>
      <c r="Q656" s="261">
        <v>1</v>
      </c>
      <c r="R656" s="94"/>
    </row>
    <row r="657" spans="1:18" x14ac:dyDescent="0.25">
      <c r="A657" s="367">
        <v>43395</v>
      </c>
      <c r="B657" s="367" t="s">
        <v>279</v>
      </c>
      <c r="C657" s="279" t="s">
        <v>521</v>
      </c>
      <c r="D657" s="159" t="s">
        <v>997</v>
      </c>
      <c r="E657" s="45">
        <f t="shared" si="47"/>
        <v>43395</v>
      </c>
      <c r="F657" s="148" t="str">
        <f t="shared" si="48"/>
        <v>2018-19</v>
      </c>
      <c r="G657" s="1"/>
      <c r="H657" s="163"/>
      <c r="I657" s="37"/>
      <c r="J657" s="138">
        <f t="shared" si="49"/>
        <v>0.77968490742404351</v>
      </c>
      <c r="K657" s="114"/>
      <c r="L657" s="37">
        <v>5.6608013777200004</v>
      </c>
      <c r="M657" s="37" t="s">
        <v>142</v>
      </c>
      <c r="N657" s="37">
        <v>2042.4636684878049</v>
      </c>
      <c r="O657" s="132">
        <f t="shared" si="50"/>
        <v>11561.981148518811</v>
      </c>
      <c r="P657" s="134">
        <f t="shared" si="51"/>
        <v>9014.7022014214253</v>
      </c>
      <c r="Q657" s="261">
        <v>1</v>
      </c>
      <c r="R657" s="94"/>
    </row>
    <row r="658" spans="1:18" x14ac:dyDescent="0.25">
      <c r="A658" s="367">
        <v>43395</v>
      </c>
      <c r="B658" s="367" t="s">
        <v>279</v>
      </c>
      <c r="C658" s="279" t="s">
        <v>520</v>
      </c>
      <c r="D658" s="159" t="s">
        <v>997</v>
      </c>
      <c r="E658" s="45">
        <f t="shared" si="47"/>
        <v>43395</v>
      </c>
      <c r="F658" s="148" t="str">
        <f t="shared" si="48"/>
        <v>2018-19</v>
      </c>
      <c r="G658" s="1"/>
      <c r="H658" s="163"/>
      <c r="I658" s="37"/>
      <c r="J658" s="138">
        <f t="shared" si="49"/>
        <v>0.77968490742404351</v>
      </c>
      <c r="K658" s="114"/>
      <c r="L658" s="37">
        <v>7.1094421560100001</v>
      </c>
      <c r="M658" s="37" t="s">
        <v>142</v>
      </c>
      <c r="N658" s="37">
        <v>1128.7084557073169</v>
      </c>
      <c r="O658" s="132">
        <f t="shared" si="50"/>
        <v>8024.4874768505451</v>
      </c>
      <c r="P658" s="134">
        <f t="shared" si="51"/>
        <v>6256.5717755136138</v>
      </c>
      <c r="Q658" s="261">
        <v>1</v>
      </c>
      <c r="R658" s="94"/>
    </row>
    <row r="659" spans="1:18" x14ac:dyDescent="0.25">
      <c r="A659" s="367">
        <v>41880</v>
      </c>
      <c r="B659" s="367" t="s">
        <v>279</v>
      </c>
      <c r="C659" s="279" t="s">
        <v>517</v>
      </c>
      <c r="D659" s="159" t="s">
        <v>994</v>
      </c>
      <c r="E659" s="45">
        <f t="shared" si="47"/>
        <v>41880</v>
      </c>
      <c r="F659" s="148" t="str">
        <f t="shared" si="48"/>
        <v>2014-15</v>
      </c>
      <c r="G659" s="1"/>
      <c r="H659" s="163"/>
      <c r="I659" s="37"/>
      <c r="J659" s="138">
        <f t="shared" si="49"/>
        <v>0.77968490742404351</v>
      </c>
      <c r="K659" s="114"/>
      <c r="L659" s="37">
        <v>1.4994975825300001</v>
      </c>
      <c r="M659" s="37" t="s">
        <v>142</v>
      </c>
      <c r="N659" s="37">
        <v>514.18436487804865</v>
      </c>
      <c r="O659" s="132">
        <f t="shared" si="50"/>
        <v>771.01821210935748</v>
      </c>
      <c r="P659" s="134">
        <f t="shared" si="51"/>
        <v>400.80361732115017</v>
      </c>
      <c r="Q659" s="261">
        <v>0.66672673213803046</v>
      </c>
      <c r="R659" s="94"/>
    </row>
    <row r="660" spans="1:18" x14ac:dyDescent="0.25">
      <c r="A660" s="367">
        <v>41698</v>
      </c>
      <c r="B660" s="367" t="s">
        <v>279</v>
      </c>
      <c r="C660" s="279" t="s">
        <v>522</v>
      </c>
      <c r="D660" s="159" t="s">
        <v>999</v>
      </c>
      <c r="E660" s="45">
        <f t="shared" si="47"/>
        <v>41698</v>
      </c>
      <c r="F660" s="148" t="str">
        <f t="shared" si="48"/>
        <v>2013-14</v>
      </c>
      <c r="G660" s="1"/>
      <c r="H660" s="163"/>
      <c r="I660" s="37"/>
      <c r="J660" s="138">
        <f t="shared" si="49"/>
        <v>0.77968490742404351</v>
      </c>
      <c r="K660" s="114"/>
      <c r="L660" s="37">
        <v>368.092004385</v>
      </c>
      <c r="M660" s="37" t="s">
        <v>142</v>
      </c>
      <c r="N660" s="37">
        <v>514.18436487804865</v>
      </c>
      <c r="O660" s="132">
        <f t="shared" si="50"/>
        <v>189267.15349138912</v>
      </c>
      <c r="P660" s="134">
        <f t="shared" si="51"/>
        <v>35682.901162417453</v>
      </c>
      <c r="Q660" s="261">
        <v>0.24180527952811215</v>
      </c>
      <c r="R660" s="94"/>
    </row>
    <row r="661" spans="1:18" x14ac:dyDescent="0.25">
      <c r="A661" s="367">
        <v>41698</v>
      </c>
      <c r="B661" s="367" t="s">
        <v>279</v>
      </c>
      <c r="C661" s="279" t="s">
        <v>522</v>
      </c>
      <c r="D661" s="159" t="s">
        <v>999</v>
      </c>
      <c r="E661" s="45">
        <f t="shared" si="47"/>
        <v>41698</v>
      </c>
      <c r="F661" s="148" t="str">
        <f t="shared" si="48"/>
        <v>2013-14</v>
      </c>
      <c r="G661" s="1"/>
      <c r="H661" s="163"/>
      <c r="I661" s="37"/>
      <c r="J661" s="138">
        <f t="shared" si="49"/>
        <v>0.77968490742404351</v>
      </c>
      <c r="K661" s="114"/>
      <c r="L661" s="37">
        <v>167.387237212</v>
      </c>
      <c r="M661" s="37" t="s">
        <v>142</v>
      </c>
      <c r="N661" s="37">
        <v>514.18436487804865</v>
      </c>
      <c r="O661" s="132">
        <f t="shared" si="50"/>
        <v>86067.900254543492</v>
      </c>
      <c r="P661" s="134">
        <f t="shared" si="51"/>
        <v>16226.547086414568</v>
      </c>
      <c r="Q661" s="261">
        <v>0.24180527952811215</v>
      </c>
      <c r="R661" s="94"/>
    </row>
    <row r="662" spans="1:18" x14ac:dyDescent="0.25">
      <c r="A662" s="367">
        <v>41698</v>
      </c>
      <c r="B662" s="367" t="s">
        <v>279</v>
      </c>
      <c r="C662" s="279" t="s">
        <v>522</v>
      </c>
      <c r="D662" s="159" t="s">
        <v>999</v>
      </c>
      <c r="E662" s="45">
        <f t="shared" si="47"/>
        <v>41698</v>
      </c>
      <c r="F662" s="148" t="str">
        <f t="shared" si="48"/>
        <v>2013-14</v>
      </c>
      <c r="G662" s="1"/>
      <c r="H662" s="163"/>
      <c r="I662" s="37"/>
      <c r="J662" s="138">
        <f t="shared" si="49"/>
        <v>0.77968490742404351</v>
      </c>
      <c r="K662" s="114"/>
      <c r="L662" s="37">
        <v>61.548888111099998</v>
      </c>
      <c r="M662" s="37" t="s">
        <v>142</v>
      </c>
      <c r="N662" s="37">
        <v>514.18436487804865</v>
      </c>
      <c r="O662" s="132">
        <f t="shared" si="50"/>
        <v>31647.475942356032</v>
      </c>
      <c r="P662" s="134">
        <f t="shared" si="51"/>
        <v>5966.5596235770072</v>
      </c>
      <c r="Q662" s="261">
        <v>0.24180527952811215</v>
      </c>
      <c r="R662" s="94"/>
    </row>
    <row r="663" spans="1:18" x14ac:dyDescent="0.25">
      <c r="A663" s="367">
        <v>41698</v>
      </c>
      <c r="B663" s="367" t="s">
        <v>279</v>
      </c>
      <c r="C663" s="279" t="s">
        <v>522</v>
      </c>
      <c r="D663" s="159" t="s">
        <v>999</v>
      </c>
      <c r="E663" s="45">
        <f t="shared" ref="E663:E726" si="52">IF(A663&lt;2022,DATEVALUE("30 Jun "&amp;A663),A663)</f>
        <v>41698</v>
      </c>
      <c r="F663" s="148" t="str">
        <f t="shared" si="48"/>
        <v>2013-14</v>
      </c>
      <c r="G663" s="1"/>
      <c r="H663" s="163"/>
      <c r="I663" s="37"/>
      <c r="J663" s="138">
        <f t="shared" si="49"/>
        <v>0.77968490742404351</v>
      </c>
      <c r="K663" s="114"/>
      <c r="L663" s="37">
        <v>41.467133904400001</v>
      </c>
      <c r="M663" s="37" t="s">
        <v>142</v>
      </c>
      <c r="N663" s="37">
        <v>514.18436487804865</v>
      </c>
      <c r="O663" s="132">
        <f t="shared" si="50"/>
        <v>21321.751909946914</v>
      </c>
      <c r="P663" s="134">
        <f t="shared" si="51"/>
        <v>4019.8309742468628</v>
      </c>
      <c r="Q663" s="261">
        <v>0.24180527952811215</v>
      </c>
      <c r="R663" s="94"/>
    </row>
    <row r="664" spans="1:18" x14ac:dyDescent="0.25">
      <c r="A664" s="367">
        <v>41698</v>
      </c>
      <c r="B664" s="367" t="s">
        <v>279</v>
      </c>
      <c r="C664" s="279" t="s">
        <v>522</v>
      </c>
      <c r="D664" s="159" t="s">
        <v>999</v>
      </c>
      <c r="E664" s="45">
        <f t="shared" si="52"/>
        <v>41698</v>
      </c>
      <c r="F664" s="148" t="str">
        <f t="shared" ref="F664:F727" si="53">IF(E664="","-",IF(OR(E664&lt;$E$15,E664&gt;$E$16),"ERROR - date outside of range",IF(MONTH(E664)&gt;=7,YEAR(E664)&amp;"-"&amp;IF(YEAR(E664)=1999,"00",IF(AND(YEAR(E664)&gt;=2000,YEAR(E664)&lt;2009),"0","")&amp;RIGHT(YEAR(E664),2)+1),RIGHT(YEAR(E664),4)-1&amp;"-"&amp;RIGHT(YEAR(E664),2))))</f>
        <v>2013-14</v>
      </c>
      <c r="G664" s="1"/>
      <c r="H664" s="163"/>
      <c r="I664" s="37"/>
      <c r="J664" s="138">
        <f t="shared" ref="J664:J727" si="54">J663</f>
        <v>0.77968490742404351</v>
      </c>
      <c r="K664" s="114"/>
      <c r="L664" s="37">
        <v>2.9996901506700002</v>
      </c>
      <c r="M664" s="37" t="s">
        <v>142</v>
      </c>
      <c r="N664" s="37">
        <v>798.44393414634135</v>
      </c>
      <c r="O664" s="132">
        <f t="shared" si="50"/>
        <v>2395.0844051209865</v>
      </c>
      <c r="P664" s="134">
        <f t="shared" si="51"/>
        <v>451.54987818563984</v>
      </c>
      <c r="Q664" s="261">
        <v>0.24180527952811215</v>
      </c>
      <c r="R664" s="94"/>
    </row>
    <row r="665" spans="1:18" x14ac:dyDescent="0.25">
      <c r="A665" s="367">
        <v>41698</v>
      </c>
      <c r="B665" s="367" t="s">
        <v>279</v>
      </c>
      <c r="C665" s="279" t="s">
        <v>522</v>
      </c>
      <c r="D665" s="159" t="s">
        <v>999</v>
      </c>
      <c r="E665" s="45">
        <f t="shared" si="52"/>
        <v>41698</v>
      </c>
      <c r="F665" s="148" t="str">
        <f t="shared" si="53"/>
        <v>2013-14</v>
      </c>
      <c r="G665" s="1"/>
      <c r="H665" s="163"/>
      <c r="I665" s="37"/>
      <c r="J665" s="138">
        <f t="shared" si="54"/>
        <v>0.77968490742404351</v>
      </c>
      <c r="K665" s="114"/>
      <c r="L665" s="37">
        <v>1.4997509793299999</v>
      </c>
      <c r="M665" s="37" t="s">
        <v>142</v>
      </c>
      <c r="N665" s="37">
        <v>798.44393414634135</v>
      </c>
      <c r="O665" s="132">
        <f t="shared" si="50"/>
        <v>1197.4670721760733</v>
      </c>
      <c r="P665" s="134">
        <f t="shared" si="51"/>
        <v>225.76077461667023</v>
      </c>
      <c r="Q665" s="261">
        <v>0.24180527952811215</v>
      </c>
      <c r="R665" s="94"/>
    </row>
    <row r="666" spans="1:18" x14ac:dyDescent="0.25">
      <c r="A666" s="367">
        <v>41698</v>
      </c>
      <c r="B666" s="367" t="s">
        <v>279</v>
      </c>
      <c r="C666" s="279" t="s">
        <v>522</v>
      </c>
      <c r="D666" s="159" t="s">
        <v>999</v>
      </c>
      <c r="E666" s="45">
        <f t="shared" si="52"/>
        <v>41698</v>
      </c>
      <c r="F666" s="148" t="str">
        <f t="shared" si="53"/>
        <v>2013-14</v>
      </c>
      <c r="G666" s="1"/>
      <c r="H666" s="163"/>
      <c r="I666" s="37"/>
      <c r="J666" s="138">
        <f t="shared" si="54"/>
        <v>0.77968490742404351</v>
      </c>
      <c r="K666" s="114"/>
      <c r="L666" s="37">
        <v>1.4999393321100001</v>
      </c>
      <c r="M666" s="37" t="s">
        <v>142</v>
      </c>
      <c r="N666" s="37">
        <v>798.44393414634135</v>
      </c>
      <c r="O666" s="132">
        <f t="shared" si="50"/>
        <v>1197.6174613107441</v>
      </c>
      <c r="P666" s="134">
        <f t="shared" si="51"/>
        <v>225.78912777002711</v>
      </c>
      <c r="Q666" s="261">
        <v>0.24180527952811215</v>
      </c>
      <c r="R666" s="94"/>
    </row>
    <row r="667" spans="1:18" x14ac:dyDescent="0.25">
      <c r="A667" s="367">
        <v>41698</v>
      </c>
      <c r="B667" s="367" t="s">
        <v>279</v>
      </c>
      <c r="C667" s="279" t="s">
        <v>522</v>
      </c>
      <c r="D667" s="159" t="s">
        <v>999</v>
      </c>
      <c r="E667" s="45">
        <f t="shared" si="52"/>
        <v>41698</v>
      </c>
      <c r="F667" s="148" t="str">
        <f t="shared" si="53"/>
        <v>2013-14</v>
      </c>
      <c r="G667" s="1"/>
      <c r="H667" s="163"/>
      <c r="I667" s="37"/>
      <c r="J667" s="138">
        <f t="shared" si="54"/>
        <v>0.77968490742404351</v>
      </c>
      <c r="K667" s="114"/>
      <c r="L667" s="37">
        <v>12.897599505300001</v>
      </c>
      <c r="M667" s="37" t="s">
        <v>142</v>
      </c>
      <c r="N667" s="37">
        <v>514.18436487804865</v>
      </c>
      <c r="O667" s="132">
        <f t="shared" si="50"/>
        <v>6631.744010084115</v>
      </c>
      <c r="P667" s="134">
        <f t="shared" si="51"/>
        <v>1250.2954774825819</v>
      </c>
      <c r="Q667" s="261">
        <v>0.24180527952811215</v>
      </c>
      <c r="R667" s="94"/>
    </row>
    <row r="668" spans="1:18" x14ac:dyDescent="0.25">
      <c r="A668" s="367">
        <v>39708</v>
      </c>
      <c r="B668" s="367" t="s">
        <v>279</v>
      </c>
      <c r="C668" s="279" t="s">
        <v>523</v>
      </c>
      <c r="D668" s="159" t="s">
        <v>1000</v>
      </c>
      <c r="E668" s="45">
        <f t="shared" si="52"/>
        <v>39708</v>
      </c>
      <c r="F668" s="148" t="str">
        <f t="shared" si="53"/>
        <v>2008-09</v>
      </c>
      <c r="G668" s="1"/>
      <c r="H668" s="163"/>
      <c r="I668" s="37"/>
      <c r="J668" s="138">
        <f t="shared" si="54"/>
        <v>0.77968490742404351</v>
      </c>
      <c r="K668" s="114"/>
      <c r="L668" s="37">
        <v>2.5000480502000002</v>
      </c>
      <c r="M668" s="37" t="s">
        <v>142</v>
      </c>
      <c r="N668" s="37">
        <v>916.52160117073151</v>
      </c>
      <c r="O668" s="132">
        <f t="shared" si="50"/>
        <v>2291.3480419730695</v>
      </c>
      <c r="P668" s="134">
        <f t="shared" si="51"/>
        <v>1082.5649191257021</v>
      </c>
      <c r="Q668" s="261">
        <v>0.60595972673276521</v>
      </c>
      <c r="R668" s="94"/>
    </row>
    <row r="669" spans="1:18" x14ac:dyDescent="0.25">
      <c r="A669" s="367">
        <v>39997</v>
      </c>
      <c r="B669" s="367" t="s">
        <v>279</v>
      </c>
      <c r="C669" s="279" t="s">
        <v>524</v>
      </c>
      <c r="D669" s="159" t="s">
        <v>1000</v>
      </c>
      <c r="E669" s="45">
        <f t="shared" si="52"/>
        <v>39997</v>
      </c>
      <c r="F669" s="148" t="str">
        <f t="shared" si="53"/>
        <v>2009-10</v>
      </c>
      <c r="G669" s="1"/>
      <c r="H669" s="163"/>
      <c r="I669" s="37"/>
      <c r="J669" s="138">
        <f t="shared" si="54"/>
        <v>0.77968490742404351</v>
      </c>
      <c r="K669" s="114"/>
      <c r="L669" s="37">
        <v>1.9384818802399999</v>
      </c>
      <c r="M669" s="37" t="s">
        <v>142</v>
      </c>
      <c r="N669" s="37">
        <v>514.18436487804865</v>
      </c>
      <c r="O669" s="132">
        <f t="shared" si="50"/>
        <v>996.73707441880993</v>
      </c>
      <c r="P669" s="134">
        <f t="shared" si="51"/>
        <v>604.61008694309942</v>
      </c>
      <c r="Q669" s="261">
        <v>0.77799292643891638</v>
      </c>
      <c r="R669" s="94"/>
    </row>
    <row r="670" spans="1:18" x14ac:dyDescent="0.25">
      <c r="A670" s="367">
        <v>41698</v>
      </c>
      <c r="B670" s="367" t="s">
        <v>279</v>
      </c>
      <c r="C670" s="279" t="s">
        <v>522</v>
      </c>
      <c r="D670" s="159" t="s">
        <v>999</v>
      </c>
      <c r="E670" s="45">
        <f t="shared" si="52"/>
        <v>41698</v>
      </c>
      <c r="F670" s="148" t="str">
        <f t="shared" si="53"/>
        <v>2013-14</v>
      </c>
      <c r="G670" s="1"/>
      <c r="H670" s="163"/>
      <c r="I670" s="37"/>
      <c r="J670" s="138">
        <f t="shared" si="54"/>
        <v>0.77968490742404351</v>
      </c>
      <c r="K670" s="114"/>
      <c r="L670" s="37">
        <v>147.57889579299999</v>
      </c>
      <c r="M670" s="37" t="s">
        <v>142</v>
      </c>
      <c r="N670" s="37">
        <v>514.18436487804865</v>
      </c>
      <c r="O670" s="132">
        <f t="shared" ref="O670:O733" si="55">IF(N670="","-",L670*N670)</f>
        <v>75882.760802727425</v>
      </c>
      <c r="P670" s="134">
        <f t="shared" ref="P670:P733" si="56">IF(O670="-","-",IF(OR(E670&lt;$E$15,E670&gt;$E$16),0,O670*J670))*Q670</f>
        <v>14306.323118967803</v>
      </c>
      <c r="Q670" s="261">
        <v>0.24180527952811215</v>
      </c>
      <c r="R670" s="94"/>
    </row>
    <row r="671" spans="1:18" x14ac:dyDescent="0.25">
      <c r="A671" s="367">
        <v>43236</v>
      </c>
      <c r="B671" s="367" t="s">
        <v>279</v>
      </c>
      <c r="C671" s="279" t="s">
        <v>525</v>
      </c>
      <c r="D671" s="159" t="s">
        <v>963</v>
      </c>
      <c r="E671" s="45">
        <f t="shared" si="52"/>
        <v>43236</v>
      </c>
      <c r="F671" s="148" t="str">
        <f t="shared" si="53"/>
        <v>2017-18</v>
      </c>
      <c r="G671" s="1"/>
      <c r="H671" s="163"/>
      <c r="I671" s="37"/>
      <c r="J671" s="138">
        <f t="shared" si="54"/>
        <v>0.77968490742404351</v>
      </c>
      <c r="K671" s="114"/>
      <c r="L671" s="37">
        <v>62.677641688900003</v>
      </c>
      <c r="M671" s="37" t="s">
        <v>142</v>
      </c>
      <c r="N671" s="37">
        <v>771.6404230243902</v>
      </c>
      <c r="O671" s="132">
        <f t="shared" si="55"/>
        <v>48364.601946993957</v>
      </c>
      <c r="P671" s="134">
        <f t="shared" si="56"/>
        <v>37709.150191642701</v>
      </c>
      <c r="Q671" s="261">
        <v>1</v>
      </c>
      <c r="R671" s="94"/>
    </row>
    <row r="672" spans="1:18" x14ac:dyDescent="0.25">
      <c r="A672" s="367">
        <v>41698</v>
      </c>
      <c r="B672" s="367" t="s">
        <v>279</v>
      </c>
      <c r="C672" s="279" t="s">
        <v>522</v>
      </c>
      <c r="D672" s="159" t="s">
        <v>999</v>
      </c>
      <c r="E672" s="45">
        <f t="shared" si="52"/>
        <v>41698</v>
      </c>
      <c r="F672" s="148" t="str">
        <f t="shared" si="53"/>
        <v>2013-14</v>
      </c>
      <c r="G672" s="1"/>
      <c r="H672" s="163"/>
      <c r="I672" s="37"/>
      <c r="J672" s="138">
        <f t="shared" si="54"/>
        <v>0.77968490742404351</v>
      </c>
      <c r="K672" s="114"/>
      <c r="L672" s="37">
        <v>6.2601899783299997</v>
      </c>
      <c r="M672" s="37" t="s">
        <v>142</v>
      </c>
      <c r="N672" s="37">
        <v>514.18436487804865</v>
      </c>
      <c r="O672" s="132">
        <f t="shared" si="55"/>
        <v>3218.8918080235362</v>
      </c>
      <c r="P672" s="134">
        <f t="shared" si="56"/>
        <v>606.86387531814751</v>
      </c>
      <c r="Q672" s="261">
        <v>0.24180527952811215</v>
      </c>
      <c r="R672" s="94"/>
    </row>
    <row r="673" spans="1:18" x14ac:dyDescent="0.25">
      <c r="A673" s="367">
        <v>41698</v>
      </c>
      <c r="B673" s="367" t="s">
        <v>279</v>
      </c>
      <c r="C673" s="279" t="s">
        <v>522</v>
      </c>
      <c r="D673" s="159" t="s">
        <v>999</v>
      </c>
      <c r="E673" s="45">
        <f t="shared" si="52"/>
        <v>41698</v>
      </c>
      <c r="F673" s="148" t="str">
        <f t="shared" si="53"/>
        <v>2013-14</v>
      </c>
      <c r="G673" s="1"/>
      <c r="H673" s="163"/>
      <c r="I673" s="37"/>
      <c r="J673" s="138">
        <f t="shared" si="54"/>
        <v>0.77968490742404351</v>
      </c>
      <c r="K673" s="114"/>
      <c r="L673" s="37">
        <v>28.733891139200001</v>
      </c>
      <c r="M673" s="37" t="s">
        <v>142</v>
      </c>
      <c r="N673" s="37">
        <v>514.18436487804865</v>
      </c>
      <c r="O673" s="132">
        <f t="shared" si="55"/>
        <v>14774.517565884542</v>
      </c>
      <c r="P673" s="134">
        <f t="shared" si="56"/>
        <v>2785.4682669480944</v>
      </c>
      <c r="Q673" s="261">
        <v>0.24180527952811215</v>
      </c>
      <c r="R673" s="94"/>
    </row>
    <row r="674" spans="1:18" x14ac:dyDescent="0.25">
      <c r="A674" s="367">
        <v>41698</v>
      </c>
      <c r="B674" s="367" t="s">
        <v>279</v>
      </c>
      <c r="C674" s="279" t="s">
        <v>522</v>
      </c>
      <c r="D674" s="159" t="s">
        <v>999</v>
      </c>
      <c r="E674" s="45">
        <f t="shared" si="52"/>
        <v>41698</v>
      </c>
      <c r="F674" s="148" t="str">
        <f t="shared" si="53"/>
        <v>2013-14</v>
      </c>
      <c r="G674" s="1"/>
      <c r="H674" s="163"/>
      <c r="I674" s="37"/>
      <c r="J674" s="138">
        <f t="shared" si="54"/>
        <v>0.77968490742404351</v>
      </c>
      <c r="K674" s="114"/>
      <c r="L674" s="37">
        <v>5.7987489210399996</v>
      </c>
      <c r="M674" s="37" t="s">
        <v>142</v>
      </c>
      <c r="N674" s="37">
        <v>514.18436487804865</v>
      </c>
      <c r="O674" s="132">
        <f t="shared" si="55"/>
        <v>2981.6260310522221</v>
      </c>
      <c r="P674" s="134">
        <f t="shared" si="56"/>
        <v>562.13170117850325</v>
      </c>
      <c r="Q674" s="261">
        <v>0.24180527952811215</v>
      </c>
      <c r="R674" s="94"/>
    </row>
    <row r="675" spans="1:18" x14ac:dyDescent="0.25">
      <c r="A675" s="367">
        <v>39997</v>
      </c>
      <c r="B675" s="367" t="s">
        <v>279</v>
      </c>
      <c r="C675" s="279" t="s">
        <v>524</v>
      </c>
      <c r="D675" s="159" t="s">
        <v>1000</v>
      </c>
      <c r="E675" s="45">
        <f t="shared" si="52"/>
        <v>39997</v>
      </c>
      <c r="F675" s="148" t="str">
        <f t="shared" si="53"/>
        <v>2009-10</v>
      </c>
      <c r="G675" s="1"/>
      <c r="H675" s="163"/>
      <c r="I675" s="37"/>
      <c r="J675" s="138">
        <f t="shared" si="54"/>
        <v>0.77968490742404351</v>
      </c>
      <c r="K675" s="114"/>
      <c r="L675" s="37">
        <v>59.706404776399999</v>
      </c>
      <c r="M675" s="37" t="s">
        <v>142</v>
      </c>
      <c r="N675" s="37">
        <v>514.18436487804865</v>
      </c>
      <c r="O675" s="132">
        <f t="shared" si="55"/>
        <v>30700.099819104926</v>
      </c>
      <c r="P675" s="134">
        <f t="shared" si="56"/>
        <v>18622.353373996837</v>
      </c>
      <c r="Q675" s="261">
        <v>0.77799292643891638</v>
      </c>
      <c r="R675" s="94"/>
    </row>
    <row r="676" spans="1:18" x14ac:dyDescent="0.25">
      <c r="A676" s="367">
        <v>39708</v>
      </c>
      <c r="B676" s="367" t="s">
        <v>279</v>
      </c>
      <c r="C676" s="279" t="s">
        <v>523</v>
      </c>
      <c r="D676" s="159" t="s">
        <v>962</v>
      </c>
      <c r="E676" s="45">
        <f t="shared" si="52"/>
        <v>39708</v>
      </c>
      <c r="F676" s="148" t="str">
        <f t="shared" si="53"/>
        <v>2008-09</v>
      </c>
      <c r="G676" s="1"/>
      <c r="H676" s="163"/>
      <c r="I676" s="37"/>
      <c r="J676" s="138">
        <f t="shared" si="54"/>
        <v>0.77968490742404351</v>
      </c>
      <c r="K676" s="114"/>
      <c r="L676" s="37">
        <v>101.39803620000001</v>
      </c>
      <c r="M676" s="37" t="s">
        <v>142</v>
      </c>
      <c r="N676" s="37">
        <v>621.96155034146341</v>
      </c>
      <c r="O676" s="132">
        <f t="shared" si="55"/>
        <v>63065.679796531833</v>
      </c>
      <c r="P676" s="134">
        <f t="shared" si="56"/>
        <v>29795.863089288956</v>
      </c>
      <c r="Q676" s="261">
        <v>0.60595972673276521</v>
      </c>
      <c r="R676" s="94"/>
    </row>
    <row r="677" spans="1:18" x14ac:dyDescent="0.25">
      <c r="A677" s="367">
        <v>39708</v>
      </c>
      <c r="B677" s="367" t="s">
        <v>279</v>
      </c>
      <c r="C677" s="279" t="s">
        <v>523</v>
      </c>
      <c r="D677" s="159" t="s">
        <v>1000</v>
      </c>
      <c r="E677" s="45">
        <f t="shared" si="52"/>
        <v>39708</v>
      </c>
      <c r="F677" s="148" t="str">
        <f t="shared" si="53"/>
        <v>2008-09</v>
      </c>
      <c r="G677" s="1"/>
      <c r="H677" s="163"/>
      <c r="I677" s="37"/>
      <c r="J677" s="138">
        <f t="shared" si="54"/>
        <v>0.77968490742404351</v>
      </c>
      <c r="K677" s="114"/>
      <c r="L677" s="37">
        <v>128.62882919</v>
      </c>
      <c r="M677" s="37" t="s">
        <v>142</v>
      </c>
      <c r="N677" s="37">
        <v>916.52160117073151</v>
      </c>
      <c r="O677" s="132">
        <f t="shared" si="55"/>
        <v>117891.10048593533</v>
      </c>
      <c r="P677" s="134">
        <f t="shared" si="56"/>
        <v>55698.552697083709</v>
      </c>
      <c r="Q677" s="261">
        <v>0.60595972673276521</v>
      </c>
      <c r="R677" s="94"/>
    </row>
    <row r="678" spans="1:18" x14ac:dyDescent="0.25">
      <c r="A678" s="367">
        <v>39708</v>
      </c>
      <c r="B678" s="367" t="s">
        <v>279</v>
      </c>
      <c r="C678" s="279" t="s">
        <v>523</v>
      </c>
      <c r="D678" s="159" t="s">
        <v>1000</v>
      </c>
      <c r="E678" s="45">
        <f t="shared" si="52"/>
        <v>39708</v>
      </c>
      <c r="F678" s="148" t="str">
        <f t="shared" si="53"/>
        <v>2008-09</v>
      </c>
      <c r="G678" s="1"/>
      <c r="H678" s="163"/>
      <c r="I678" s="37"/>
      <c r="J678" s="138">
        <f t="shared" si="54"/>
        <v>0.77968490742404351</v>
      </c>
      <c r="K678" s="114"/>
      <c r="L678" s="37">
        <v>17.234882215999999</v>
      </c>
      <c r="M678" s="37" t="s">
        <v>142</v>
      </c>
      <c r="N678" s="37">
        <v>621.96155034146341</v>
      </c>
      <c r="O678" s="132">
        <f t="shared" si="55"/>
        <v>10719.434063015875</v>
      </c>
      <c r="P678" s="134">
        <f t="shared" si="56"/>
        <v>5064.4786636208737</v>
      </c>
      <c r="Q678" s="261">
        <v>0.60595972673276521</v>
      </c>
      <c r="R678" s="94"/>
    </row>
    <row r="679" spans="1:18" x14ac:dyDescent="0.25">
      <c r="A679" s="367">
        <v>39708</v>
      </c>
      <c r="B679" s="367" t="s">
        <v>279</v>
      </c>
      <c r="C679" s="279" t="s">
        <v>523</v>
      </c>
      <c r="D679" s="159" t="s">
        <v>1000</v>
      </c>
      <c r="E679" s="45">
        <f t="shared" si="52"/>
        <v>39708</v>
      </c>
      <c r="F679" s="148" t="str">
        <f t="shared" si="53"/>
        <v>2008-09</v>
      </c>
      <c r="G679" s="1"/>
      <c r="H679" s="163"/>
      <c r="I679" s="37"/>
      <c r="J679" s="138">
        <f t="shared" si="54"/>
        <v>0.77968490742404351</v>
      </c>
      <c r="K679" s="114"/>
      <c r="L679" s="37">
        <v>5.7943865310699998</v>
      </c>
      <c r="M679" s="37" t="s">
        <v>142</v>
      </c>
      <c r="N679" s="37">
        <v>621.96155034146341</v>
      </c>
      <c r="O679" s="132">
        <f t="shared" si="55"/>
        <v>3603.885630141991</v>
      </c>
      <c r="P679" s="134">
        <f t="shared" si="56"/>
        <v>1702.6833480842272</v>
      </c>
      <c r="Q679" s="261">
        <v>0.60595972673276521</v>
      </c>
      <c r="R679" s="94"/>
    </row>
    <row r="680" spans="1:18" x14ac:dyDescent="0.25">
      <c r="A680" s="367">
        <v>39708</v>
      </c>
      <c r="B680" s="367" t="s">
        <v>279</v>
      </c>
      <c r="C680" s="279" t="s">
        <v>523</v>
      </c>
      <c r="D680" s="159" t="s">
        <v>962</v>
      </c>
      <c r="E680" s="45">
        <f t="shared" si="52"/>
        <v>39708</v>
      </c>
      <c r="F680" s="148" t="str">
        <f t="shared" si="53"/>
        <v>2008-09</v>
      </c>
      <c r="G680" s="1"/>
      <c r="H680" s="163"/>
      <c r="I680" s="37"/>
      <c r="J680" s="138">
        <f t="shared" si="54"/>
        <v>0.77968490742404351</v>
      </c>
      <c r="K680" s="114"/>
      <c r="L680" s="37">
        <v>4.6005570641900002</v>
      </c>
      <c r="M680" s="37" t="s">
        <v>142</v>
      </c>
      <c r="N680" s="37">
        <v>621.96155034146341</v>
      </c>
      <c r="O680" s="132">
        <f t="shared" si="55"/>
        <v>2861.3696040779837</v>
      </c>
      <c r="P680" s="134">
        <f t="shared" si="56"/>
        <v>1351.8759687681841</v>
      </c>
      <c r="Q680" s="261">
        <v>0.60595972673276521</v>
      </c>
      <c r="R680" s="94"/>
    </row>
    <row r="681" spans="1:18" x14ac:dyDescent="0.25">
      <c r="A681" s="367">
        <v>39708</v>
      </c>
      <c r="B681" s="367" t="s">
        <v>279</v>
      </c>
      <c r="C681" s="279" t="s">
        <v>523</v>
      </c>
      <c r="D681" s="159" t="s">
        <v>962</v>
      </c>
      <c r="E681" s="45">
        <f t="shared" si="52"/>
        <v>39708</v>
      </c>
      <c r="F681" s="148" t="str">
        <f t="shared" si="53"/>
        <v>2008-09</v>
      </c>
      <c r="G681" s="1"/>
      <c r="H681" s="163"/>
      <c r="I681" s="37"/>
      <c r="J681" s="138">
        <f t="shared" si="54"/>
        <v>0.77968490742404351</v>
      </c>
      <c r="K681" s="114"/>
      <c r="L681" s="37">
        <v>66.467706666300003</v>
      </c>
      <c r="M681" s="37" t="s">
        <v>142</v>
      </c>
      <c r="N681" s="37">
        <v>916.52160117073151</v>
      </c>
      <c r="O681" s="132">
        <f t="shared" si="55"/>
        <v>60919.088939943787</v>
      </c>
      <c r="P681" s="134">
        <f t="shared" si="56"/>
        <v>28781.689810288888</v>
      </c>
      <c r="Q681" s="261">
        <v>0.60595972673276521</v>
      </c>
      <c r="R681" s="94"/>
    </row>
    <row r="682" spans="1:18" x14ac:dyDescent="0.25">
      <c r="A682" s="367">
        <v>39708</v>
      </c>
      <c r="B682" s="367" t="s">
        <v>279</v>
      </c>
      <c r="C682" s="279" t="s">
        <v>523</v>
      </c>
      <c r="D682" s="159" t="s">
        <v>962</v>
      </c>
      <c r="E682" s="45">
        <f t="shared" si="52"/>
        <v>39708</v>
      </c>
      <c r="F682" s="148" t="str">
        <f t="shared" si="53"/>
        <v>2008-09</v>
      </c>
      <c r="G682" s="1"/>
      <c r="H682" s="163"/>
      <c r="I682" s="37"/>
      <c r="J682" s="138">
        <f t="shared" si="54"/>
        <v>0.77968490742404351</v>
      </c>
      <c r="K682" s="114"/>
      <c r="L682" s="37">
        <v>7.7886053660099996</v>
      </c>
      <c r="M682" s="37" t="s">
        <v>142</v>
      </c>
      <c r="N682" s="37">
        <v>916.52160117073151</v>
      </c>
      <c r="O682" s="132">
        <f t="shared" si="55"/>
        <v>7138.4250609424362</v>
      </c>
      <c r="P682" s="134">
        <f t="shared" si="56"/>
        <v>3372.6035535525416</v>
      </c>
      <c r="Q682" s="261">
        <v>0.60595972673276521</v>
      </c>
      <c r="R682" s="94"/>
    </row>
    <row r="683" spans="1:18" x14ac:dyDescent="0.25">
      <c r="A683" s="367">
        <v>40213</v>
      </c>
      <c r="B683" s="367" t="s">
        <v>279</v>
      </c>
      <c r="C683" s="279" t="s">
        <v>526</v>
      </c>
      <c r="D683" s="159" t="s">
        <v>1001</v>
      </c>
      <c r="E683" s="45">
        <f t="shared" si="52"/>
        <v>40213</v>
      </c>
      <c r="F683" s="148" t="str">
        <f t="shared" si="53"/>
        <v>2009-10</v>
      </c>
      <c r="G683" s="1"/>
      <c r="H683" s="163"/>
      <c r="I683" s="37"/>
      <c r="J683" s="138">
        <f t="shared" si="54"/>
        <v>0.77968490742404351</v>
      </c>
      <c r="K683" s="114"/>
      <c r="L683" s="37">
        <v>8.6940570181699997</v>
      </c>
      <c r="M683" s="37" t="s">
        <v>142</v>
      </c>
      <c r="N683" s="37">
        <v>470.74786858536584</v>
      </c>
      <c r="O683" s="132">
        <f t="shared" si="55"/>
        <v>4092.7088106631686</v>
      </c>
      <c r="P683" s="134">
        <f t="shared" si="56"/>
        <v>1915.3322236771669</v>
      </c>
      <c r="Q683" s="261">
        <v>0.60022508440665245</v>
      </c>
      <c r="R683" s="94"/>
    </row>
    <row r="684" spans="1:18" x14ac:dyDescent="0.25">
      <c r="A684" s="367">
        <v>40213</v>
      </c>
      <c r="B684" s="367" t="s">
        <v>279</v>
      </c>
      <c r="C684" s="279" t="s">
        <v>526</v>
      </c>
      <c r="D684" s="159" t="s">
        <v>1001</v>
      </c>
      <c r="E684" s="45">
        <f t="shared" si="52"/>
        <v>40213</v>
      </c>
      <c r="F684" s="148" t="str">
        <f t="shared" si="53"/>
        <v>2009-10</v>
      </c>
      <c r="G684" s="1"/>
      <c r="H684" s="163"/>
      <c r="I684" s="37"/>
      <c r="J684" s="138">
        <f t="shared" si="54"/>
        <v>0.77968490742404351</v>
      </c>
      <c r="K684" s="114"/>
      <c r="L684" s="37">
        <v>163.613651089</v>
      </c>
      <c r="M684" s="37" t="s">
        <v>142</v>
      </c>
      <c r="N684" s="37">
        <v>470.74786858536584</v>
      </c>
      <c r="O684" s="132">
        <f t="shared" si="55"/>
        <v>77020.777521616474</v>
      </c>
      <c r="P684" s="134">
        <f t="shared" si="56"/>
        <v>36044.6794297878</v>
      </c>
      <c r="Q684" s="261">
        <v>0.60022508440665245</v>
      </c>
      <c r="R684" s="94"/>
    </row>
    <row r="685" spans="1:18" x14ac:dyDescent="0.25">
      <c r="A685" s="367">
        <v>40213</v>
      </c>
      <c r="B685" s="367" t="s">
        <v>279</v>
      </c>
      <c r="C685" s="279" t="s">
        <v>526</v>
      </c>
      <c r="D685" s="159" t="s">
        <v>1001</v>
      </c>
      <c r="E685" s="45">
        <f t="shared" si="52"/>
        <v>40213</v>
      </c>
      <c r="F685" s="148" t="str">
        <f t="shared" si="53"/>
        <v>2009-10</v>
      </c>
      <c r="G685" s="1"/>
      <c r="H685" s="163"/>
      <c r="I685" s="37"/>
      <c r="J685" s="138">
        <f t="shared" si="54"/>
        <v>0.77968490742404351</v>
      </c>
      <c r="K685" s="114"/>
      <c r="L685" s="37">
        <v>19.691566167600001</v>
      </c>
      <c r="M685" s="37" t="s">
        <v>142</v>
      </c>
      <c r="N685" s="37">
        <v>470.74786858536584</v>
      </c>
      <c r="O685" s="132">
        <f t="shared" si="55"/>
        <v>9269.7628025054019</v>
      </c>
      <c r="P685" s="134">
        <f t="shared" si="56"/>
        <v>4338.1232877414632</v>
      </c>
      <c r="Q685" s="261">
        <v>0.60022508440665245</v>
      </c>
      <c r="R685" s="94"/>
    </row>
    <row r="686" spans="1:18" x14ac:dyDescent="0.25">
      <c r="A686" s="367">
        <v>41698</v>
      </c>
      <c r="B686" s="367" t="s">
        <v>279</v>
      </c>
      <c r="C686" s="279" t="s">
        <v>522</v>
      </c>
      <c r="D686" s="159" t="s">
        <v>999</v>
      </c>
      <c r="E686" s="45">
        <f t="shared" si="52"/>
        <v>41698</v>
      </c>
      <c r="F686" s="148" t="str">
        <f t="shared" si="53"/>
        <v>2013-14</v>
      </c>
      <c r="G686" s="1"/>
      <c r="H686" s="163"/>
      <c r="I686" s="37"/>
      <c r="J686" s="138">
        <f t="shared" si="54"/>
        <v>0.77968490742404351</v>
      </c>
      <c r="K686" s="114"/>
      <c r="L686" s="37">
        <v>4.1991733710299997</v>
      </c>
      <c r="M686" s="37" t="s">
        <v>142</v>
      </c>
      <c r="N686" s="37">
        <v>514.18436487804865</v>
      </c>
      <c r="O686" s="132">
        <f t="shared" si="55"/>
        <v>2159.1492927958748</v>
      </c>
      <c r="P686" s="134">
        <f t="shared" si="56"/>
        <v>407.06857681591305</v>
      </c>
      <c r="Q686" s="261">
        <v>0.24180527952811215</v>
      </c>
      <c r="R686" s="94"/>
    </row>
    <row r="687" spans="1:18" x14ac:dyDescent="0.25">
      <c r="A687" s="367">
        <v>41698</v>
      </c>
      <c r="B687" s="367" t="s">
        <v>279</v>
      </c>
      <c r="C687" s="279" t="s">
        <v>522</v>
      </c>
      <c r="D687" s="159" t="s">
        <v>999</v>
      </c>
      <c r="E687" s="45">
        <f t="shared" si="52"/>
        <v>41698</v>
      </c>
      <c r="F687" s="148" t="str">
        <f t="shared" si="53"/>
        <v>2013-14</v>
      </c>
      <c r="G687" s="1"/>
      <c r="H687" s="163"/>
      <c r="I687" s="37"/>
      <c r="J687" s="138">
        <f t="shared" si="54"/>
        <v>0.77968490742404351</v>
      </c>
      <c r="K687" s="114"/>
      <c r="L687" s="37">
        <v>37.731987207899998</v>
      </c>
      <c r="M687" s="37" t="s">
        <v>142</v>
      </c>
      <c r="N687" s="37">
        <v>514.18436487804865</v>
      </c>
      <c r="O687" s="132">
        <f t="shared" si="55"/>
        <v>19401.197878080719</v>
      </c>
      <c r="P687" s="134">
        <f t="shared" si="56"/>
        <v>3657.7452217431583</v>
      </c>
      <c r="Q687" s="261">
        <v>0.24180527952811215</v>
      </c>
      <c r="R687" s="94"/>
    </row>
    <row r="688" spans="1:18" x14ac:dyDescent="0.25">
      <c r="A688" s="367">
        <v>41698</v>
      </c>
      <c r="B688" s="367" t="s">
        <v>279</v>
      </c>
      <c r="C688" s="279" t="s">
        <v>522</v>
      </c>
      <c r="D688" s="159" t="s">
        <v>999</v>
      </c>
      <c r="E688" s="45">
        <f t="shared" si="52"/>
        <v>41698</v>
      </c>
      <c r="F688" s="148" t="str">
        <f t="shared" si="53"/>
        <v>2013-14</v>
      </c>
      <c r="G688" s="1"/>
      <c r="H688" s="163"/>
      <c r="I688" s="37"/>
      <c r="J688" s="138">
        <f t="shared" si="54"/>
        <v>0.77968490742404351</v>
      </c>
      <c r="K688" s="114"/>
      <c r="L688" s="37">
        <v>9.5338846354599998</v>
      </c>
      <c r="M688" s="37" t="s">
        <v>142</v>
      </c>
      <c r="N688" s="37">
        <v>514.18436487804865</v>
      </c>
      <c r="O688" s="132">
        <f t="shared" si="55"/>
        <v>4902.1744161045863</v>
      </c>
      <c r="P688" s="134">
        <f t="shared" si="56"/>
        <v>924.21638907751492</v>
      </c>
      <c r="Q688" s="261">
        <v>0.24180527952811215</v>
      </c>
      <c r="R688" s="94"/>
    </row>
    <row r="689" spans="1:18" x14ac:dyDescent="0.25">
      <c r="A689" s="367">
        <v>41698</v>
      </c>
      <c r="B689" s="367" t="s">
        <v>279</v>
      </c>
      <c r="C689" s="279" t="s">
        <v>522</v>
      </c>
      <c r="D689" s="159" t="s">
        <v>999</v>
      </c>
      <c r="E689" s="45">
        <f t="shared" si="52"/>
        <v>41698</v>
      </c>
      <c r="F689" s="148" t="str">
        <f t="shared" si="53"/>
        <v>2013-14</v>
      </c>
      <c r="G689" s="1"/>
      <c r="H689" s="163"/>
      <c r="I689" s="37"/>
      <c r="J689" s="138">
        <f t="shared" si="54"/>
        <v>0.77968490742404351</v>
      </c>
      <c r="K689" s="114"/>
      <c r="L689" s="37">
        <v>22.412106798</v>
      </c>
      <c r="M689" s="37" t="s">
        <v>142</v>
      </c>
      <c r="N689" s="37">
        <v>514.18436487804865</v>
      </c>
      <c r="O689" s="132">
        <f t="shared" si="55"/>
        <v>11523.954899508626</v>
      </c>
      <c r="P689" s="134">
        <f t="shared" si="56"/>
        <v>2172.6334236755501</v>
      </c>
      <c r="Q689" s="261">
        <v>0.24180527952811215</v>
      </c>
      <c r="R689" s="94"/>
    </row>
    <row r="690" spans="1:18" x14ac:dyDescent="0.25">
      <c r="A690" s="367">
        <v>41698</v>
      </c>
      <c r="B690" s="367" t="s">
        <v>279</v>
      </c>
      <c r="C690" s="279" t="s">
        <v>522</v>
      </c>
      <c r="D690" s="159" t="s">
        <v>999</v>
      </c>
      <c r="E690" s="45">
        <f t="shared" si="52"/>
        <v>41698</v>
      </c>
      <c r="F690" s="148" t="str">
        <f t="shared" si="53"/>
        <v>2013-14</v>
      </c>
      <c r="G690" s="1"/>
      <c r="H690" s="163"/>
      <c r="I690" s="37"/>
      <c r="J690" s="138">
        <f t="shared" si="54"/>
        <v>0.77968490742404351</v>
      </c>
      <c r="K690" s="114"/>
      <c r="L690" s="37">
        <v>16.472242769299999</v>
      </c>
      <c r="M690" s="37" t="s">
        <v>142</v>
      </c>
      <c r="N690" s="37">
        <v>514.18436487804865</v>
      </c>
      <c r="O690" s="132">
        <f t="shared" si="55"/>
        <v>8469.7696864495501</v>
      </c>
      <c r="P690" s="134">
        <f t="shared" si="56"/>
        <v>1596.8220000929468</v>
      </c>
      <c r="Q690" s="261">
        <v>0.24180527952811215</v>
      </c>
      <c r="R690" s="94"/>
    </row>
    <row r="691" spans="1:18" x14ac:dyDescent="0.25">
      <c r="A691" s="367">
        <v>41698</v>
      </c>
      <c r="B691" s="367" t="s">
        <v>279</v>
      </c>
      <c r="C691" s="279" t="s">
        <v>522</v>
      </c>
      <c r="D691" s="159" t="s">
        <v>999</v>
      </c>
      <c r="E691" s="45">
        <f t="shared" si="52"/>
        <v>41698</v>
      </c>
      <c r="F691" s="148" t="str">
        <f t="shared" si="53"/>
        <v>2013-14</v>
      </c>
      <c r="G691" s="1"/>
      <c r="H691" s="163"/>
      <c r="I691" s="37"/>
      <c r="J691" s="138">
        <f t="shared" si="54"/>
        <v>0.77968490742404351</v>
      </c>
      <c r="K691" s="114"/>
      <c r="L691" s="37">
        <v>2.4001041655000002</v>
      </c>
      <c r="M691" s="37" t="s">
        <v>142</v>
      </c>
      <c r="N691" s="37">
        <v>514.18436487804865</v>
      </c>
      <c r="O691" s="132">
        <f t="shared" si="55"/>
        <v>1234.0960359787766</v>
      </c>
      <c r="P691" s="134">
        <f t="shared" si="56"/>
        <v>232.66650374580354</v>
      </c>
      <c r="Q691" s="261">
        <v>0.24180527952811215</v>
      </c>
      <c r="R691" s="94"/>
    </row>
    <row r="692" spans="1:18" x14ac:dyDescent="0.25">
      <c r="A692" s="367">
        <v>41698</v>
      </c>
      <c r="B692" s="367" t="s">
        <v>279</v>
      </c>
      <c r="C692" s="279" t="s">
        <v>522</v>
      </c>
      <c r="D692" s="159" t="s">
        <v>999</v>
      </c>
      <c r="E692" s="45">
        <f t="shared" si="52"/>
        <v>41698</v>
      </c>
      <c r="F692" s="148" t="str">
        <f t="shared" si="53"/>
        <v>2013-14</v>
      </c>
      <c r="G692" s="1"/>
      <c r="H692" s="163"/>
      <c r="I692" s="37"/>
      <c r="J692" s="138">
        <f t="shared" si="54"/>
        <v>0.77968490742404351</v>
      </c>
      <c r="K692" s="114"/>
      <c r="L692" s="37">
        <v>2.6993880788100002</v>
      </c>
      <c r="M692" s="37" t="s">
        <v>142</v>
      </c>
      <c r="N692" s="37">
        <v>514.18436487804865</v>
      </c>
      <c r="O692" s="132">
        <f t="shared" si="55"/>
        <v>1387.9831448622958</v>
      </c>
      <c r="P692" s="134">
        <f t="shared" si="56"/>
        <v>261.67913692153633</v>
      </c>
      <c r="Q692" s="261">
        <v>0.24180527952811215</v>
      </c>
      <c r="R692" s="94"/>
    </row>
    <row r="693" spans="1:18" x14ac:dyDescent="0.25">
      <c r="A693" s="367">
        <v>43199</v>
      </c>
      <c r="B693" s="367" t="s">
        <v>279</v>
      </c>
      <c r="C693" s="279" t="s">
        <v>527</v>
      </c>
      <c r="D693" s="159" t="s">
        <v>1002</v>
      </c>
      <c r="E693" s="45">
        <f t="shared" si="52"/>
        <v>43199</v>
      </c>
      <c r="F693" s="148" t="str">
        <f t="shared" si="53"/>
        <v>2017-18</v>
      </c>
      <c r="G693" s="1"/>
      <c r="H693" s="163"/>
      <c r="I693" s="37"/>
      <c r="J693" s="138">
        <f t="shared" si="54"/>
        <v>0.77968490742404351</v>
      </c>
      <c r="K693" s="114"/>
      <c r="L693" s="37">
        <v>76.461259877000003</v>
      </c>
      <c r="M693" s="37" t="s">
        <v>142</v>
      </c>
      <c r="N693" s="37">
        <v>621.96155034146341</v>
      </c>
      <c r="O693" s="132">
        <f t="shared" si="55"/>
        <v>47555.963734160454</v>
      </c>
      <c r="P693" s="134">
        <f t="shared" si="56"/>
        <v>4393.0919825205156</v>
      </c>
      <c r="Q693" s="261">
        <v>0.11848031001256806</v>
      </c>
      <c r="R693" s="94"/>
    </row>
    <row r="694" spans="1:18" x14ac:dyDescent="0.25">
      <c r="A694" s="367">
        <v>43199</v>
      </c>
      <c r="B694" s="367" t="s">
        <v>279</v>
      </c>
      <c r="C694" s="279" t="s">
        <v>527</v>
      </c>
      <c r="D694" s="159" t="s">
        <v>1002</v>
      </c>
      <c r="E694" s="45">
        <f t="shared" si="52"/>
        <v>43199</v>
      </c>
      <c r="F694" s="148" t="str">
        <f t="shared" si="53"/>
        <v>2017-18</v>
      </c>
      <c r="G694" s="1"/>
      <c r="H694" s="163"/>
      <c r="I694" s="37"/>
      <c r="J694" s="138">
        <f t="shared" si="54"/>
        <v>0.77968490742404351</v>
      </c>
      <c r="K694" s="114"/>
      <c r="L694" s="37">
        <v>5.0284942080099997</v>
      </c>
      <c r="M694" s="37" t="s">
        <v>142</v>
      </c>
      <c r="N694" s="37">
        <v>514.18436487804865</v>
      </c>
      <c r="O694" s="132">
        <f t="shared" si="55"/>
        <v>2585.5731006385681</v>
      </c>
      <c r="P694" s="134">
        <f t="shared" si="56"/>
        <v>238.84828666560776</v>
      </c>
      <c r="Q694" s="261">
        <v>0.11848031001256806</v>
      </c>
      <c r="R694" s="94"/>
    </row>
    <row r="695" spans="1:18" x14ac:dyDescent="0.25">
      <c r="A695" s="367">
        <v>41698</v>
      </c>
      <c r="B695" s="367" t="s">
        <v>279</v>
      </c>
      <c r="C695" s="279" t="s">
        <v>522</v>
      </c>
      <c r="D695" s="159" t="s">
        <v>999</v>
      </c>
      <c r="E695" s="45">
        <f t="shared" si="52"/>
        <v>41698</v>
      </c>
      <c r="F695" s="148" t="str">
        <f t="shared" si="53"/>
        <v>2013-14</v>
      </c>
      <c r="G695" s="1"/>
      <c r="H695" s="163"/>
      <c r="I695" s="37"/>
      <c r="J695" s="138">
        <f t="shared" si="54"/>
        <v>0.77968490742404351</v>
      </c>
      <c r="K695" s="114"/>
      <c r="L695" s="37">
        <v>34.194354812900002</v>
      </c>
      <c r="M695" s="37" t="s">
        <v>142</v>
      </c>
      <c r="N695" s="37">
        <v>514.18436487804865</v>
      </c>
      <c r="O695" s="132">
        <f t="shared" si="55"/>
        <v>17582.202611885634</v>
      </c>
      <c r="P695" s="134">
        <f t="shared" si="56"/>
        <v>3314.8065390334959</v>
      </c>
      <c r="Q695" s="261">
        <v>0.24180527952811215</v>
      </c>
      <c r="R695" s="94"/>
    </row>
    <row r="696" spans="1:18" x14ac:dyDescent="0.25">
      <c r="A696" s="367">
        <v>43199</v>
      </c>
      <c r="B696" s="367" t="s">
        <v>279</v>
      </c>
      <c r="C696" s="279" t="s">
        <v>527</v>
      </c>
      <c r="D696" s="159" t="s">
        <v>1002</v>
      </c>
      <c r="E696" s="45">
        <f t="shared" si="52"/>
        <v>43199</v>
      </c>
      <c r="F696" s="148" t="str">
        <f t="shared" si="53"/>
        <v>2017-18</v>
      </c>
      <c r="G696" s="1"/>
      <c r="H696" s="163"/>
      <c r="I696" s="37"/>
      <c r="J696" s="138">
        <f t="shared" si="54"/>
        <v>0.77968490742404351</v>
      </c>
      <c r="K696" s="114"/>
      <c r="L696" s="37">
        <v>112.113270099</v>
      </c>
      <c r="M696" s="37" t="s">
        <v>142</v>
      </c>
      <c r="N696" s="37">
        <v>621.96155034146341</v>
      </c>
      <c r="O696" s="132">
        <f t="shared" si="55"/>
        <v>69730.143284625272</v>
      </c>
      <c r="P696" s="134">
        <f t="shared" si="56"/>
        <v>6441.4830307318543</v>
      </c>
      <c r="Q696" s="261">
        <v>0.11848031001256806</v>
      </c>
      <c r="R696" s="94"/>
    </row>
    <row r="697" spans="1:18" x14ac:dyDescent="0.25">
      <c r="A697" s="367">
        <v>41624</v>
      </c>
      <c r="B697" s="367" t="s">
        <v>279</v>
      </c>
      <c r="C697" s="279" t="s">
        <v>528</v>
      </c>
      <c r="D697" s="159" t="s">
        <v>1003</v>
      </c>
      <c r="E697" s="45">
        <f t="shared" si="52"/>
        <v>41624</v>
      </c>
      <c r="F697" s="148" t="str">
        <f t="shared" si="53"/>
        <v>2013-14</v>
      </c>
      <c r="G697" s="1"/>
      <c r="H697" s="163"/>
      <c r="I697" s="37"/>
      <c r="J697" s="138">
        <f t="shared" si="54"/>
        <v>0.77968490742404351</v>
      </c>
      <c r="K697" s="114"/>
      <c r="L697" s="37">
        <v>100.398420229</v>
      </c>
      <c r="M697" s="37" t="s">
        <v>142</v>
      </c>
      <c r="N697" s="37">
        <v>470.74786858536584</v>
      </c>
      <c r="O697" s="132">
        <f t="shared" si="55"/>
        <v>47262.342332139626</v>
      </c>
      <c r="P697" s="134">
        <f t="shared" si="56"/>
        <v>20327.238224329689</v>
      </c>
      <c r="Q697" s="261">
        <v>0.55162508552876655</v>
      </c>
      <c r="R697" s="94"/>
    </row>
    <row r="698" spans="1:18" x14ac:dyDescent="0.25">
      <c r="A698" s="367">
        <v>41624</v>
      </c>
      <c r="B698" s="367" t="s">
        <v>279</v>
      </c>
      <c r="C698" s="279" t="s">
        <v>528</v>
      </c>
      <c r="D698" s="159" t="s">
        <v>1003</v>
      </c>
      <c r="E698" s="45">
        <f t="shared" si="52"/>
        <v>41624</v>
      </c>
      <c r="F698" s="148" t="str">
        <f t="shared" si="53"/>
        <v>2013-14</v>
      </c>
      <c r="G698" s="1"/>
      <c r="H698" s="163"/>
      <c r="I698" s="37"/>
      <c r="J698" s="138">
        <f t="shared" si="54"/>
        <v>0.77968490742404351</v>
      </c>
      <c r="K698" s="114"/>
      <c r="L698" s="37">
        <v>6.1131485580499998</v>
      </c>
      <c r="M698" s="37" t="s">
        <v>142</v>
      </c>
      <c r="N698" s="37">
        <v>470.74786858536584</v>
      </c>
      <c r="O698" s="132">
        <f t="shared" si="55"/>
        <v>2877.75165404774</v>
      </c>
      <c r="P698" s="134">
        <f t="shared" si="56"/>
        <v>1237.703011230315</v>
      </c>
      <c r="Q698" s="261">
        <v>0.55162508552876655</v>
      </c>
      <c r="R698" s="94"/>
    </row>
    <row r="699" spans="1:18" x14ac:dyDescent="0.25">
      <c r="A699" s="367">
        <v>43705</v>
      </c>
      <c r="B699" s="367" t="s">
        <v>279</v>
      </c>
      <c r="C699" s="279" t="s">
        <v>529</v>
      </c>
      <c r="D699" s="159" t="s">
        <v>987</v>
      </c>
      <c r="E699" s="45">
        <f t="shared" si="52"/>
        <v>43705</v>
      </c>
      <c r="F699" s="148" t="str">
        <f t="shared" si="53"/>
        <v>2019-20</v>
      </c>
      <c r="G699" s="1"/>
      <c r="H699" s="163"/>
      <c r="I699" s="37"/>
      <c r="J699" s="138">
        <f t="shared" si="54"/>
        <v>0.77968490742404351</v>
      </c>
      <c r="K699" s="114"/>
      <c r="L699" s="37">
        <v>3.53305385586</v>
      </c>
      <c r="M699" s="37" t="s">
        <v>142</v>
      </c>
      <c r="N699" s="37">
        <v>621.96155034146341</v>
      </c>
      <c r="O699" s="132">
        <f t="shared" si="55"/>
        <v>2197.4236536305707</v>
      </c>
      <c r="P699" s="134">
        <f t="shared" si="56"/>
        <v>1434.1586877390212</v>
      </c>
      <c r="Q699" s="261">
        <v>0.83707483416694772</v>
      </c>
      <c r="R699" s="94"/>
    </row>
    <row r="700" spans="1:18" x14ac:dyDescent="0.25">
      <c r="A700" s="367">
        <v>40298</v>
      </c>
      <c r="B700" s="367" t="s">
        <v>279</v>
      </c>
      <c r="C700" s="279" t="s">
        <v>530</v>
      </c>
      <c r="D700" s="159" t="s">
        <v>932</v>
      </c>
      <c r="E700" s="45">
        <f t="shared" si="52"/>
        <v>40298</v>
      </c>
      <c r="F700" s="148" t="str">
        <f t="shared" si="53"/>
        <v>2009-10</v>
      </c>
      <c r="G700" s="1"/>
      <c r="H700" s="163"/>
      <c r="I700" s="37"/>
      <c r="J700" s="138">
        <f t="shared" si="54"/>
        <v>0.77968490742404351</v>
      </c>
      <c r="K700" s="114"/>
      <c r="L700" s="37">
        <v>92.492809164600004</v>
      </c>
      <c r="M700" s="37" t="s">
        <v>142</v>
      </c>
      <c r="N700" s="37">
        <v>916.52160117073151</v>
      </c>
      <c r="O700" s="132">
        <f t="shared" si="55"/>
        <v>84771.657552318109</v>
      </c>
      <c r="P700" s="134">
        <f t="shared" si="56"/>
        <v>64761.146118354904</v>
      </c>
      <c r="Q700" s="261">
        <v>0.97981644330603301</v>
      </c>
      <c r="R700" s="94"/>
    </row>
    <row r="701" spans="1:18" x14ac:dyDescent="0.25">
      <c r="A701" s="367">
        <v>40298</v>
      </c>
      <c r="B701" s="367" t="s">
        <v>279</v>
      </c>
      <c r="C701" s="279" t="s">
        <v>530</v>
      </c>
      <c r="D701" s="159" t="s">
        <v>932</v>
      </c>
      <c r="E701" s="45">
        <f t="shared" si="52"/>
        <v>40298</v>
      </c>
      <c r="F701" s="148" t="str">
        <f t="shared" si="53"/>
        <v>2009-10</v>
      </c>
      <c r="G701" s="1"/>
      <c r="H701" s="163"/>
      <c r="I701" s="37"/>
      <c r="J701" s="138">
        <f t="shared" si="54"/>
        <v>0.77968490742404351</v>
      </c>
      <c r="K701" s="114"/>
      <c r="L701" s="37">
        <v>3.1502712581600001</v>
      </c>
      <c r="M701" s="37" t="s">
        <v>142</v>
      </c>
      <c r="N701" s="37">
        <v>514.18436487804865</v>
      </c>
      <c r="O701" s="132">
        <f t="shared" si="55"/>
        <v>1619.8202260705709</v>
      </c>
      <c r="P701" s="134">
        <f t="shared" si="56"/>
        <v>1237.4585725338854</v>
      </c>
      <c r="Q701" s="261">
        <v>0.97981644330603301</v>
      </c>
      <c r="R701" s="94"/>
    </row>
    <row r="702" spans="1:18" x14ac:dyDescent="0.25">
      <c r="A702" s="367">
        <v>40298</v>
      </c>
      <c r="B702" s="367" t="s">
        <v>279</v>
      </c>
      <c r="C702" s="279" t="s">
        <v>530</v>
      </c>
      <c r="D702" s="159" t="s">
        <v>932</v>
      </c>
      <c r="E702" s="45">
        <f t="shared" si="52"/>
        <v>40298</v>
      </c>
      <c r="F702" s="148" t="str">
        <f t="shared" si="53"/>
        <v>2009-10</v>
      </c>
      <c r="G702" s="1"/>
      <c r="H702" s="163"/>
      <c r="I702" s="37"/>
      <c r="J702" s="138">
        <f t="shared" si="54"/>
        <v>0.77968490742404351</v>
      </c>
      <c r="K702" s="114"/>
      <c r="L702" s="37">
        <v>3.1492983586099998</v>
      </c>
      <c r="M702" s="37" t="s">
        <v>142</v>
      </c>
      <c r="N702" s="37">
        <v>514.18436487804865</v>
      </c>
      <c r="O702" s="132">
        <f t="shared" si="55"/>
        <v>1619.3199763333639</v>
      </c>
      <c r="P702" s="134">
        <f t="shared" si="56"/>
        <v>1237.0764077011765</v>
      </c>
      <c r="Q702" s="261">
        <v>0.97981644330603301</v>
      </c>
      <c r="R702" s="94"/>
    </row>
    <row r="703" spans="1:18" x14ac:dyDescent="0.25">
      <c r="A703" s="367">
        <v>40217</v>
      </c>
      <c r="B703" s="367" t="s">
        <v>279</v>
      </c>
      <c r="C703" s="279" t="s">
        <v>531</v>
      </c>
      <c r="D703" s="159" t="s">
        <v>932</v>
      </c>
      <c r="E703" s="45">
        <f t="shared" si="52"/>
        <v>40217</v>
      </c>
      <c r="F703" s="148" t="str">
        <f t="shared" si="53"/>
        <v>2009-10</v>
      </c>
      <c r="G703" s="1"/>
      <c r="H703" s="163"/>
      <c r="I703" s="37"/>
      <c r="J703" s="138">
        <f t="shared" si="54"/>
        <v>0.77968490742404351</v>
      </c>
      <c r="K703" s="114"/>
      <c r="L703" s="37">
        <v>82.794247288600005</v>
      </c>
      <c r="M703" s="37" t="s">
        <v>142</v>
      </c>
      <c r="N703" s="37">
        <v>514.18436487804865</v>
      </c>
      <c r="O703" s="132">
        <f t="shared" si="55"/>
        <v>42571.507457644897</v>
      </c>
      <c r="P703" s="134">
        <f t="shared" si="56"/>
        <v>32138.171737008692</v>
      </c>
      <c r="Q703" s="261">
        <v>0.96823997886203794</v>
      </c>
      <c r="R703" s="94"/>
    </row>
    <row r="704" spans="1:18" x14ac:dyDescent="0.25">
      <c r="A704" s="367">
        <v>40298</v>
      </c>
      <c r="B704" s="367" t="s">
        <v>279</v>
      </c>
      <c r="C704" s="279" t="s">
        <v>530</v>
      </c>
      <c r="D704" s="159" t="s">
        <v>932</v>
      </c>
      <c r="E704" s="45">
        <f t="shared" si="52"/>
        <v>40298</v>
      </c>
      <c r="F704" s="148" t="str">
        <f t="shared" si="53"/>
        <v>2009-10</v>
      </c>
      <c r="G704" s="1"/>
      <c r="H704" s="163"/>
      <c r="I704" s="37"/>
      <c r="J704" s="138">
        <f t="shared" si="54"/>
        <v>0.77968490742404351</v>
      </c>
      <c r="K704" s="114"/>
      <c r="L704" s="37">
        <v>5.0004560871199999</v>
      </c>
      <c r="M704" s="37" t="s">
        <v>142</v>
      </c>
      <c r="N704" s="37">
        <v>514.18436487804865</v>
      </c>
      <c r="O704" s="132">
        <f t="shared" si="55"/>
        <v>2571.1563372563696</v>
      </c>
      <c r="P704" s="134">
        <f t="shared" si="56"/>
        <v>1964.2299803732064</v>
      </c>
      <c r="Q704" s="261">
        <v>0.97981644330603301</v>
      </c>
      <c r="R704" s="94"/>
    </row>
    <row r="705" spans="1:18" x14ac:dyDescent="0.25">
      <c r="A705" s="367">
        <v>43273</v>
      </c>
      <c r="B705" s="367" t="s">
        <v>279</v>
      </c>
      <c r="C705" s="279" t="s">
        <v>532</v>
      </c>
      <c r="D705" s="159" t="s">
        <v>1004</v>
      </c>
      <c r="E705" s="45">
        <f t="shared" si="52"/>
        <v>43273</v>
      </c>
      <c r="F705" s="148" t="str">
        <f t="shared" si="53"/>
        <v>2017-18</v>
      </c>
      <c r="G705" s="1"/>
      <c r="H705" s="163"/>
      <c r="I705" s="37"/>
      <c r="J705" s="138">
        <f t="shared" si="54"/>
        <v>0.77968490742404351</v>
      </c>
      <c r="K705" s="114"/>
      <c r="L705" s="37">
        <v>25.598422080300001</v>
      </c>
      <c r="M705" s="37" t="s">
        <v>142</v>
      </c>
      <c r="N705" s="37">
        <v>1003.0093919999996</v>
      </c>
      <c r="O705" s="132">
        <f t="shared" si="55"/>
        <v>25675.457766921067</v>
      </c>
      <c r="P705" s="134">
        <f t="shared" si="56"/>
        <v>18198.879010974353</v>
      </c>
      <c r="Q705" s="261">
        <v>0.90909090909090906</v>
      </c>
      <c r="R705" s="94"/>
    </row>
    <row r="706" spans="1:18" x14ac:dyDescent="0.25">
      <c r="A706" s="367">
        <v>43273</v>
      </c>
      <c r="B706" s="367" t="s">
        <v>279</v>
      </c>
      <c r="C706" s="279" t="s">
        <v>532</v>
      </c>
      <c r="D706" s="159" t="s">
        <v>1004</v>
      </c>
      <c r="E706" s="45">
        <f t="shared" si="52"/>
        <v>43273</v>
      </c>
      <c r="F706" s="148" t="str">
        <f t="shared" si="53"/>
        <v>2017-18</v>
      </c>
      <c r="G706" s="1"/>
      <c r="H706" s="163"/>
      <c r="I706" s="37"/>
      <c r="J706" s="138">
        <f t="shared" si="54"/>
        <v>0.77968490742404351</v>
      </c>
      <c r="K706" s="114"/>
      <c r="L706" s="37">
        <v>11.699658382200001</v>
      </c>
      <c r="M706" s="37" t="s">
        <v>142</v>
      </c>
      <c r="N706" s="37">
        <v>621.96155034146341</v>
      </c>
      <c r="O706" s="132">
        <f t="shared" si="55"/>
        <v>7276.7376658586099</v>
      </c>
      <c r="P706" s="134">
        <f t="shared" si="56"/>
        <v>5157.7841212309277</v>
      </c>
      <c r="Q706" s="261">
        <v>0.90909090909090906</v>
      </c>
      <c r="R706" s="94"/>
    </row>
    <row r="707" spans="1:18" x14ac:dyDescent="0.25">
      <c r="A707" s="367">
        <v>43273</v>
      </c>
      <c r="B707" s="367" t="s">
        <v>279</v>
      </c>
      <c r="C707" s="279" t="s">
        <v>532</v>
      </c>
      <c r="D707" s="159" t="s">
        <v>1004</v>
      </c>
      <c r="E707" s="45">
        <f t="shared" si="52"/>
        <v>43273</v>
      </c>
      <c r="F707" s="148" t="str">
        <f t="shared" si="53"/>
        <v>2017-18</v>
      </c>
      <c r="G707" s="1"/>
      <c r="H707" s="163"/>
      <c r="I707" s="37"/>
      <c r="J707" s="138">
        <f t="shared" si="54"/>
        <v>0.77968490742404351</v>
      </c>
      <c r="K707" s="114"/>
      <c r="L707" s="37">
        <v>12.167860349</v>
      </c>
      <c r="M707" s="37" t="s">
        <v>142</v>
      </c>
      <c r="N707" s="37">
        <v>514.18436487804865</v>
      </c>
      <c r="O707" s="132">
        <f t="shared" si="55"/>
        <v>6256.5235454753565</v>
      </c>
      <c r="P707" s="134">
        <f t="shared" si="56"/>
        <v>4434.6518012275474</v>
      </c>
      <c r="Q707" s="261">
        <v>0.90909090909090906</v>
      </c>
      <c r="R707" s="94"/>
    </row>
    <row r="708" spans="1:18" x14ac:dyDescent="0.25">
      <c r="A708" s="367">
        <v>43273</v>
      </c>
      <c r="B708" s="367" t="s">
        <v>279</v>
      </c>
      <c r="C708" s="279" t="s">
        <v>532</v>
      </c>
      <c r="D708" s="159" t="s">
        <v>1004</v>
      </c>
      <c r="E708" s="45">
        <f t="shared" si="52"/>
        <v>43273</v>
      </c>
      <c r="F708" s="148" t="str">
        <f t="shared" si="53"/>
        <v>2017-18</v>
      </c>
      <c r="G708" s="1"/>
      <c r="H708" s="163"/>
      <c r="I708" s="37"/>
      <c r="J708" s="138">
        <f t="shared" si="54"/>
        <v>0.77968490742404351</v>
      </c>
      <c r="K708" s="114"/>
      <c r="L708" s="37">
        <v>3.3871222298600001</v>
      </c>
      <c r="M708" s="37" t="s">
        <v>142</v>
      </c>
      <c r="N708" s="37">
        <v>798.44393414634135</v>
      </c>
      <c r="O708" s="132">
        <f t="shared" si="55"/>
        <v>2704.4271986439467</v>
      </c>
      <c r="P708" s="134">
        <f t="shared" si="56"/>
        <v>1916.9100636452463</v>
      </c>
      <c r="Q708" s="261">
        <v>0.90909090909090906</v>
      </c>
      <c r="R708" s="94"/>
    </row>
    <row r="709" spans="1:18" x14ac:dyDescent="0.25">
      <c r="A709" s="367">
        <v>43237</v>
      </c>
      <c r="B709" s="367" t="s">
        <v>279</v>
      </c>
      <c r="C709" s="279" t="s">
        <v>533</v>
      </c>
      <c r="D709" s="159" t="s">
        <v>1004</v>
      </c>
      <c r="E709" s="45">
        <f t="shared" si="52"/>
        <v>43237</v>
      </c>
      <c r="F709" s="148" t="str">
        <f t="shared" si="53"/>
        <v>2017-18</v>
      </c>
      <c r="G709" s="1"/>
      <c r="H709" s="163"/>
      <c r="I709" s="37"/>
      <c r="J709" s="138">
        <f t="shared" si="54"/>
        <v>0.77968490742404351</v>
      </c>
      <c r="K709" s="114"/>
      <c r="L709" s="37">
        <v>70.417874256499999</v>
      </c>
      <c r="M709" s="37" t="s">
        <v>142</v>
      </c>
      <c r="N709" s="37">
        <v>696.6467060487804</v>
      </c>
      <c r="O709" s="132">
        <f t="shared" si="55"/>
        <v>49056.380147747936</v>
      </c>
      <c r="P709" s="134">
        <f t="shared" si="56"/>
        <v>10345.231716396273</v>
      </c>
      <c r="Q709" s="261">
        <v>0.27047404524341989</v>
      </c>
      <c r="R709" s="94"/>
    </row>
    <row r="710" spans="1:18" x14ac:dyDescent="0.25">
      <c r="A710" s="367">
        <v>43237</v>
      </c>
      <c r="B710" s="367" t="s">
        <v>279</v>
      </c>
      <c r="C710" s="279" t="s">
        <v>533</v>
      </c>
      <c r="D710" s="159" t="s">
        <v>1004</v>
      </c>
      <c r="E710" s="45">
        <f t="shared" si="52"/>
        <v>43237</v>
      </c>
      <c r="F710" s="148" t="str">
        <f t="shared" si="53"/>
        <v>2017-18</v>
      </c>
      <c r="G710" s="1"/>
      <c r="H710" s="163"/>
      <c r="I710" s="37"/>
      <c r="J710" s="138">
        <f t="shared" si="54"/>
        <v>0.77968490742404351</v>
      </c>
      <c r="K710" s="114"/>
      <c r="L710" s="37">
        <v>31.633436650099998</v>
      </c>
      <c r="M710" s="37" t="s">
        <v>142</v>
      </c>
      <c r="N710" s="37">
        <v>696.6467060487804</v>
      </c>
      <c r="O710" s="132">
        <f t="shared" si="55"/>
        <v>22037.32944329493</v>
      </c>
      <c r="P710" s="134">
        <f t="shared" si="56"/>
        <v>4647.3318825158813</v>
      </c>
      <c r="Q710" s="261">
        <v>0.27047404524341989</v>
      </c>
      <c r="R710" s="94"/>
    </row>
    <row r="711" spans="1:18" x14ac:dyDescent="0.25">
      <c r="A711" s="367">
        <v>43237</v>
      </c>
      <c r="B711" s="367" t="s">
        <v>279</v>
      </c>
      <c r="C711" s="279" t="s">
        <v>533</v>
      </c>
      <c r="D711" s="159" t="s">
        <v>1004</v>
      </c>
      <c r="E711" s="45">
        <f t="shared" si="52"/>
        <v>43237</v>
      </c>
      <c r="F711" s="148" t="str">
        <f t="shared" si="53"/>
        <v>2017-18</v>
      </c>
      <c r="G711" s="1"/>
      <c r="H711" s="163"/>
      <c r="I711" s="37"/>
      <c r="J711" s="138">
        <f t="shared" si="54"/>
        <v>0.77968490742404351</v>
      </c>
      <c r="K711" s="114"/>
      <c r="L711" s="37">
        <v>6.2997349739199997</v>
      </c>
      <c r="M711" s="37" t="s">
        <v>142</v>
      </c>
      <c r="N711" s="37">
        <v>696.6467060487804</v>
      </c>
      <c r="O711" s="132">
        <f t="shared" si="55"/>
        <v>4388.689618561667</v>
      </c>
      <c r="P711" s="134">
        <f t="shared" si="56"/>
        <v>925.50675159115906</v>
      </c>
      <c r="Q711" s="261">
        <v>0.27047404524341989</v>
      </c>
      <c r="R711" s="94"/>
    </row>
    <row r="712" spans="1:18" x14ac:dyDescent="0.25">
      <c r="A712" s="367">
        <v>43237</v>
      </c>
      <c r="B712" s="367" t="s">
        <v>279</v>
      </c>
      <c r="C712" s="279" t="s">
        <v>533</v>
      </c>
      <c r="D712" s="159" t="s">
        <v>1004</v>
      </c>
      <c r="E712" s="45">
        <f t="shared" si="52"/>
        <v>43237</v>
      </c>
      <c r="F712" s="148" t="str">
        <f t="shared" si="53"/>
        <v>2017-18</v>
      </c>
      <c r="G712" s="1"/>
      <c r="H712" s="163"/>
      <c r="I712" s="37"/>
      <c r="J712" s="138">
        <f t="shared" si="54"/>
        <v>0.77968490742404351</v>
      </c>
      <c r="K712" s="114"/>
      <c r="L712" s="37">
        <v>3.99920792158</v>
      </c>
      <c r="M712" s="37" t="s">
        <v>142</v>
      </c>
      <c r="N712" s="37">
        <v>696.6467060487804</v>
      </c>
      <c r="O712" s="132">
        <f t="shared" si="55"/>
        <v>2786.0350253728961</v>
      </c>
      <c r="P712" s="134">
        <f t="shared" si="56"/>
        <v>587.53168946978928</v>
      </c>
      <c r="Q712" s="261">
        <v>0.27047404524341989</v>
      </c>
      <c r="R712" s="94"/>
    </row>
    <row r="713" spans="1:18" x14ac:dyDescent="0.25">
      <c r="A713" s="367">
        <v>43237</v>
      </c>
      <c r="B713" s="367" t="s">
        <v>279</v>
      </c>
      <c r="C713" s="279" t="s">
        <v>533</v>
      </c>
      <c r="D713" s="159" t="s">
        <v>1004</v>
      </c>
      <c r="E713" s="45">
        <f t="shared" si="52"/>
        <v>43237</v>
      </c>
      <c r="F713" s="148" t="str">
        <f t="shared" si="53"/>
        <v>2017-18</v>
      </c>
      <c r="G713" s="1"/>
      <c r="H713" s="163"/>
      <c r="I713" s="37"/>
      <c r="J713" s="138">
        <f t="shared" si="54"/>
        <v>0.77968490742404351</v>
      </c>
      <c r="K713" s="114"/>
      <c r="L713" s="37">
        <v>18.837156363399998</v>
      </c>
      <c r="M713" s="37" t="s">
        <v>142</v>
      </c>
      <c r="N713" s="37">
        <v>514.18436487804865</v>
      </c>
      <c r="O713" s="132">
        <f t="shared" si="55"/>
        <v>9685.7712808233209</v>
      </c>
      <c r="P713" s="134">
        <f t="shared" si="56"/>
        <v>2042.5793332151025</v>
      </c>
      <c r="Q713" s="261">
        <v>0.27047404524341989</v>
      </c>
      <c r="R713" s="94"/>
    </row>
    <row r="714" spans="1:18" x14ac:dyDescent="0.25">
      <c r="A714" s="367">
        <v>43360</v>
      </c>
      <c r="B714" s="367" t="s">
        <v>279</v>
      </c>
      <c r="C714" s="279" t="s">
        <v>534</v>
      </c>
      <c r="D714" s="159" t="s">
        <v>1004</v>
      </c>
      <c r="E714" s="45">
        <f t="shared" si="52"/>
        <v>43360</v>
      </c>
      <c r="F714" s="148" t="str">
        <f t="shared" si="53"/>
        <v>2018-19</v>
      </c>
      <c r="G714" s="1"/>
      <c r="H714" s="163"/>
      <c r="I714" s="37"/>
      <c r="J714" s="138">
        <f t="shared" si="54"/>
        <v>0.77968490742404351</v>
      </c>
      <c r="K714" s="114"/>
      <c r="L714" s="37">
        <v>61.328260519399997</v>
      </c>
      <c r="M714" s="37" t="s">
        <v>142</v>
      </c>
      <c r="N714" s="37">
        <v>621.96155034146341</v>
      </c>
      <c r="O714" s="132">
        <f t="shared" si="55"/>
        <v>38143.819992391182</v>
      </c>
      <c r="P714" s="134">
        <f t="shared" si="56"/>
        <v>26796.558247744331</v>
      </c>
      <c r="Q714" s="261">
        <v>0.90102264289625067</v>
      </c>
      <c r="R714" s="94"/>
    </row>
    <row r="715" spans="1:18" x14ac:dyDescent="0.25">
      <c r="A715" s="367">
        <v>43237</v>
      </c>
      <c r="B715" s="367" t="s">
        <v>279</v>
      </c>
      <c r="C715" s="279" t="s">
        <v>533</v>
      </c>
      <c r="D715" s="159" t="s">
        <v>1004</v>
      </c>
      <c r="E715" s="45">
        <f t="shared" si="52"/>
        <v>43237</v>
      </c>
      <c r="F715" s="148" t="str">
        <f t="shared" si="53"/>
        <v>2017-18</v>
      </c>
      <c r="G715" s="1"/>
      <c r="H715" s="163"/>
      <c r="I715" s="37"/>
      <c r="J715" s="138">
        <f t="shared" si="54"/>
        <v>0.77968490742404351</v>
      </c>
      <c r="K715" s="114"/>
      <c r="L715" s="37">
        <v>71.328003981400002</v>
      </c>
      <c r="M715" s="37" t="s">
        <v>142</v>
      </c>
      <c r="N715" s="37">
        <v>696.6467060487804</v>
      </c>
      <c r="O715" s="132">
        <f t="shared" si="55"/>
        <v>49690.419022676608</v>
      </c>
      <c r="P715" s="134">
        <f t="shared" si="56"/>
        <v>10478.940707124595</v>
      </c>
      <c r="Q715" s="261">
        <v>0.27047404524341989</v>
      </c>
      <c r="R715" s="94"/>
    </row>
    <row r="716" spans="1:18" x14ac:dyDescent="0.25">
      <c r="A716" s="367">
        <v>43237</v>
      </c>
      <c r="B716" s="367" t="s">
        <v>279</v>
      </c>
      <c r="C716" s="279" t="s">
        <v>533</v>
      </c>
      <c r="D716" s="159" t="s">
        <v>1004</v>
      </c>
      <c r="E716" s="45">
        <f t="shared" si="52"/>
        <v>43237</v>
      </c>
      <c r="F716" s="148" t="str">
        <f t="shared" si="53"/>
        <v>2017-18</v>
      </c>
      <c r="G716" s="1"/>
      <c r="H716" s="163"/>
      <c r="I716" s="37"/>
      <c r="J716" s="138">
        <f t="shared" si="54"/>
        <v>0.77968490742404351</v>
      </c>
      <c r="K716" s="114"/>
      <c r="L716" s="37">
        <v>58.595140720300002</v>
      </c>
      <c r="M716" s="37" t="s">
        <v>142</v>
      </c>
      <c r="N716" s="37">
        <v>621.96155034146341</v>
      </c>
      <c r="O716" s="132">
        <f t="shared" si="55"/>
        <v>36443.924564874003</v>
      </c>
      <c r="P716" s="134">
        <f t="shared" si="56"/>
        <v>7685.4599369740872</v>
      </c>
      <c r="Q716" s="261">
        <v>0.27047404524341989</v>
      </c>
      <c r="R716" s="94"/>
    </row>
    <row r="717" spans="1:18" x14ac:dyDescent="0.25">
      <c r="A717" s="367">
        <v>43237</v>
      </c>
      <c r="B717" s="367" t="s">
        <v>279</v>
      </c>
      <c r="C717" s="279" t="s">
        <v>533</v>
      </c>
      <c r="D717" s="159" t="s">
        <v>1004</v>
      </c>
      <c r="E717" s="45">
        <f t="shared" si="52"/>
        <v>43237</v>
      </c>
      <c r="F717" s="148" t="str">
        <f t="shared" si="53"/>
        <v>2017-18</v>
      </c>
      <c r="G717" s="1"/>
      <c r="H717" s="163"/>
      <c r="I717" s="37"/>
      <c r="J717" s="138">
        <f t="shared" si="54"/>
        <v>0.77968490742404351</v>
      </c>
      <c r="K717" s="114"/>
      <c r="L717" s="37">
        <v>13.699520418400001</v>
      </c>
      <c r="M717" s="37" t="s">
        <v>142</v>
      </c>
      <c r="N717" s="37">
        <v>696.6467060487804</v>
      </c>
      <c r="O717" s="132">
        <f t="shared" si="55"/>
        <v>9543.7257739263696</v>
      </c>
      <c r="P717" s="134">
        <f t="shared" si="56"/>
        <v>2012.6241331229612</v>
      </c>
      <c r="Q717" s="261">
        <v>0.27047404524341989</v>
      </c>
      <c r="R717" s="94"/>
    </row>
    <row r="718" spans="1:18" x14ac:dyDescent="0.25">
      <c r="A718" s="367">
        <v>43237</v>
      </c>
      <c r="B718" s="367" t="s">
        <v>279</v>
      </c>
      <c r="C718" s="279" t="s">
        <v>533</v>
      </c>
      <c r="D718" s="159" t="s">
        <v>1004</v>
      </c>
      <c r="E718" s="45">
        <f t="shared" si="52"/>
        <v>43237</v>
      </c>
      <c r="F718" s="148" t="str">
        <f t="shared" si="53"/>
        <v>2017-18</v>
      </c>
      <c r="G718" s="1"/>
      <c r="H718" s="163"/>
      <c r="I718" s="37"/>
      <c r="J718" s="138">
        <f t="shared" si="54"/>
        <v>0.77968490742404351</v>
      </c>
      <c r="K718" s="114"/>
      <c r="L718" s="37">
        <v>4.9000108501700002</v>
      </c>
      <c r="M718" s="37" t="s">
        <v>142</v>
      </c>
      <c r="N718" s="37">
        <v>621.96155034146341</v>
      </c>
      <c r="O718" s="132">
        <f t="shared" si="55"/>
        <v>3047.6183450617254</v>
      </c>
      <c r="P718" s="134">
        <f t="shared" si="56"/>
        <v>642.69556514049214</v>
      </c>
      <c r="Q718" s="261">
        <v>0.27047404524341989</v>
      </c>
      <c r="R718" s="94"/>
    </row>
    <row r="719" spans="1:18" x14ac:dyDescent="0.25">
      <c r="A719" s="367">
        <v>43237</v>
      </c>
      <c r="B719" s="367" t="s">
        <v>279</v>
      </c>
      <c r="C719" s="279" t="s">
        <v>533</v>
      </c>
      <c r="D719" s="159" t="s">
        <v>1004</v>
      </c>
      <c r="E719" s="45">
        <f t="shared" si="52"/>
        <v>43237</v>
      </c>
      <c r="F719" s="148" t="str">
        <f t="shared" si="53"/>
        <v>2017-18</v>
      </c>
      <c r="G719" s="1"/>
      <c r="H719" s="163"/>
      <c r="I719" s="37"/>
      <c r="J719" s="138">
        <f t="shared" si="54"/>
        <v>0.77968490742404351</v>
      </c>
      <c r="K719" s="114"/>
      <c r="L719" s="37">
        <v>22.569452935699999</v>
      </c>
      <c r="M719" s="37" t="s">
        <v>142</v>
      </c>
      <c r="N719" s="37">
        <v>621.96155034146341</v>
      </c>
      <c r="O719" s="132">
        <f t="shared" si="55"/>
        <v>14037.331938246663</v>
      </c>
      <c r="P719" s="134">
        <f t="shared" si="56"/>
        <v>2960.2561612528275</v>
      </c>
      <c r="Q719" s="261">
        <v>0.27047404524341989</v>
      </c>
      <c r="R719" s="94"/>
    </row>
    <row r="720" spans="1:18" x14ac:dyDescent="0.25">
      <c r="A720" s="367">
        <v>43237</v>
      </c>
      <c r="B720" s="367" t="s">
        <v>279</v>
      </c>
      <c r="C720" s="279" t="s">
        <v>533</v>
      </c>
      <c r="D720" s="159" t="s">
        <v>1004</v>
      </c>
      <c r="E720" s="45">
        <f t="shared" si="52"/>
        <v>43237</v>
      </c>
      <c r="F720" s="148" t="str">
        <f t="shared" si="53"/>
        <v>2017-18</v>
      </c>
      <c r="G720" s="1"/>
      <c r="H720" s="163"/>
      <c r="I720" s="37"/>
      <c r="J720" s="138">
        <f t="shared" si="54"/>
        <v>0.77968490742404351</v>
      </c>
      <c r="K720" s="114"/>
      <c r="L720" s="37">
        <v>5.8702547025299996</v>
      </c>
      <c r="M720" s="37" t="s">
        <v>142</v>
      </c>
      <c r="N720" s="37">
        <v>621.96155034146341</v>
      </c>
      <c r="O720" s="132">
        <f t="shared" si="55"/>
        <v>3651.0727156848247</v>
      </c>
      <c r="P720" s="134">
        <f t="shared" si="56"/>
        <v>769.95475702472322</v>
      </c>
      <c r="Q720" s="261">
        <v>0.27047404524341989</v>
      </c>
      <c r="R720" s="94"/>
    </row>
    <row r="721" spans="1:18" x14ac:dyDescent="0.25">
      <c r="A721" s="367">
        <v>43237</v>
      </c>
      <c r="B721" s="367" t="s">
        <v>279</v>
      </c>
      <c r="C721" s="279" t="s">
        <v>533</v>
      </c>
      <c r="D721" s="159" t="s">
        <v>1004</v>
      </c>
      <c r="E721" s="45">
        <f t="shared" si="52"/>
        <v>43237</v>
      </c>
      <c r="F721" s="148" t="str">
        <f t="shared" si="53"/>
        <v>2017-18</v>
      </c>
      <c r="G721" s="1"/>
      <c r="H721" s="163"/>
      <c r="I721" s="37"/>
      <c r="J721" s="138">
        <f t="shared" si="54"/>
        <v>0.77968490742404351</v>
      </c>
      <c r="K721" s="114"/>
      <c r="L721" s="37">
        <v>1.35160534181</v>
      </c>
      <c r="M721" s="37" t="s">
        <v>142</v>
      </c>
      <c r="N721" s="37">
        <v>621.96155034146341</v>
      </c>
      <c r="O721" s="132">
        <f t="shared" si="55"/>
        <v>840.64655384195123</v>
      </c>
      <c r="P721" s="134">
        <f t="shared" si="56"/>
        <v>177.27935418170526</v>
      </c>
      <c r="Q721" s="261">
        <v>0.27047404524341989</v>
      </c>
      <c r="R721" s="94"/>
    </row>
    <row r="722" spans="1:18" x14ac:dyDescent="0.25">
      <c r="A722" s="367">
        <v>43237</v>
      </c>
      <c r="B722" s="367" t="s">
        <v>279</v>
      </c>
      <c r="C722" s="279" t="s">
        <v>533</v>
      </c>
      <c r="D722" s="159" t="s">
        <v>1004</v>
      </c>
      <c r="E722" s="45">
        <f t="shared" si="52"/>
        <v>43237</v>
      </c>
      <c r="F722" s="148" t="str">
        <f t="shared" si="53"/>
        <v>2017-18</v>
      </c>
      <c r="G722" s="1"/>
      <c r="H722" s="163"/>
      <c r="I722" s="37"/>
      <c r="J722" s="138">
        <f t="shared" si="54"/>
        <v>0.77968490742404351</v>
      </c>
      <c r="K722" s="114"/>
      <c r="L722" s="37">
        <v>39.097942668599998</v>
      </c>
      <c r="M722" s="37" t="s">
        <v>142</v>
      </c>
      <c r="N722" s="37">
        <v>621.96155034146341</v>
      </c>
      <c r="O722" s="132">
        <f t="shared" si="55"/>
        <v>24317.417037324107</v>
      </c>
      <c r="P722" s="134">
        <f t="shared" si="56"/>
        <v>5128.1670852534235</v>
      </c>
      <c r="Q722" s="261">
        <v>0.27047404524341989</v>
      </c>
      <c r="R722" s="94"/>
    </row>
    <row r="723" spans="1:18" x14ac:dyDescent="0.25">
      <c r="A723" s="367">
        <v>43360</v>
      </c>
      <c r="B723" s="367" t="s">
        <v>279</v>
      </c>
      <c r="C723" s="279" t="s">
        <v>534</v>
      </c>
      <c r="D723" s="159" t="s">
        <v>1004</v>
      </c>
      <c r="E723" s="45">
        <f t="shared" si="52"/>
        <v>43360</v>
      </c>
      <c r="F723" s="148" t="str">
        <f t="shared" si="53"/>
        <v>2018-19</v>
      </c>
      <c r="G723" s="1"/>
      <c r="H723" s="163"/>
      <c r="I723" s="37"/>
      <c r="J723" s="138">
        <f t="shared" si="54"/>
        <v>0.77968490742404351</v>
      </c>
      <c r="K723" s="114"/>
      <c r="L723" s="37">
        <v>22.042307728499999</v>
      </c>
      <c r="M723" s="37" t="s">
        <v>142</v>
      </c>
      <c r="N723" s="37">
        <v>621.96155034146341</v>
      </c>
      <c r="O723" s="132">
        <f t="shared" si="55"/>
        <v>13709.467887921481</v>
      </c>
      <c r="P723" s="134">
        <f t="shared" si="56"/>
        <v>9631.0897775196518</v>
      </c>
      <c r="Q723" s="261">
        <v>0.90102264289625067</v>
      </c>
      <c r="R723" s="94"/>
    </row>
    <row r="724" spans="1:18" x14ac:dyDescent="0.25">
      <c r="A724" s="367">
        <v>43360</v>
      </c>
      <c r="B724" s="367" t="s">
        <v>279</v>
      </c>
      <c r="C724" s="279" t="s">
        <v>534</v>
      </c>
      <c r="D724" s="159" t="s">
        <v>1004</v>
      </c>
      <c r="E724" s="45">
        <f t="shared" si="52"/>
        <v>43360</v>
      </c>
      <c r="F724" s="148" t="str">
        <f t="shared" si="53"/>
        <v>2018-19</v>
      </c>
      <c r="G724" s="1"/>
      <c r="H724" s="163"/>
      <c r="I724" s="37"/>
      <c r="J724" s="138">
        <f t="shared" si="54"/>
        <v>0.77968490742404351</v>
      </c>
      <c r="K724" s="114"/>
      <c r="L724" s="37">
        <v>1.4836878795199999</v>
      </c>
      <c r="M724" s="37" t="s">
        <v>142</v>
      </c>
      <c r="N724" s="37">
        <v>514.18436487804865</v>
      </c>
      <c r="O724" s="132">
        <f t="shared" si="55"/>
        <v>762.88911000824999</v>
      </c>
      <c r="P724" s="134">
        <f t="shared" si="56"/>
        <v>535.94009401742596</v>
      </c>
      <c r="Q724" s="261">
        <v>0.90102264289625067</v>
      </c>
      <c r="R724" s="94"/>
    </row>
    <row r="725" spans="1:18" x14ac:dyDescent="0.25">
      <c r="A725" s="367">
        <v>43360</v>
      </c>
      <c r="B725" s="367" t="s">
        <v>279</v>
      </c>
      <c r="C725" s="279" t="s">
        <v>534</v>
      </c>
      <c r="D725" s="159" t="s">
        <v>1004</v>
      </c>
      <c r="E725" s="45">
        <f t="shared" si="52"/>
        <v>43360</v>
      </c>
      <c r="F725" s="148" t="str">
        <f t="shared" si="53"/>
        <v>2018-19</v>
      </c>
      <c r="G725" s="1"/>
      <c r="H725" s="163"/>
      <c r="I725" s="37"/>
      <c r="J725" s="138">
        <f t="shared" si="54"/>
        <v>0.77968490742404351</v>
      </c>
      <c r="K725" s="114"/>
      <c r="L725" s="37">
        <v>9.5601519051199997</v>
      </c>
      <c r="M725" s="37" t="s">
        <v>142</v>
      </c>
      <c r="N725" s="37">
        <v>916.52160117073151</v>
      </c>
      <c r="O725" s="132">
        <f t="shared" si="55"/>
        <v>8762.085731516001</v>
      </c>
      <c r="P725" s="134">
        <f t="shared" si="56"/>
        <v>6155.4857568836578</v>
      </c>
      <c r="Q725" s="261">
        <v>0.90102264289625067</v>
      </c>
      <c r="R725" s="94"/>
    </row>
    <row r="726" spans="1:18" x14ac:dyDescent="0.25">
      <c r="A726" s="367">
        <v>43360</v>
      </c>
      <c r="B726" s="367" t="s">
        <v>279</v>
      </c>
      <c r="C726" s="279" t="s">
        <v>534</v>
      </c>
      <c r="D726" s="159" t="s">
        <v>1004</v>
      </c>
      <c r="E726" s="45">
        <f t="shared" si="52"/>
        <v>43360</v>
      </c>
      <c r="F726" s="148" t="str">
        <f t="shared" si="53"/>
        <v>2018-19</v>
      </c>
      <c r="G726" s="1"/>
      <c r="H726" s="163"/>
      <c r="I726" s="37"/>
      <c r="J726" s="138">
        <f t="shared" si="54"/>
        <v>0.77968490742404351</v>
      </c>
      <c r="K726" s="114"/>
      <c r="L726" s="37">
        <v>3.8074785099700001</v>
      </c>
      <c r="M726" s="37" t="s">
        <v>142</v>
      </c>
      <c r="N726" s="37">
        <v>621.96155034146341</v>
      </c>
      <c r="O726" s="132">
        <f t="shared" si="55"/>
        <v>2368.1052369527465</v>
      </c>
      <c r="P726" s="134">
        <f t="shared" si="56"/>
        <v>1663.6265044101744</v>
      </c>
      <c r="Q726" s="261">
        <v>0.90102264289625067</v>
      </c>
      <c r="R726" s="94"/>
    </row>
    <row r="727" spans="1:18" x14ac:dyDescent="0.25">
      <c r="A727" s="367">
        <v>43360</v>
      </c>
      <c r="B727" s="367" t="s">
        <v>279</v>
      </c>
      <c r="C727" s="279" t="s">
        <v>534</v>
      </c>
      <c r="D727" s="159" t="s">
        <v>1004</v>
      </c>
      <c r="E727" s="45">
        <f t="shared" ref="E727:E790" si="57">IF(A727&lt;2022,DATEVALUE("30 Jun "&amp;A727),A727)</f>
        <v>43360</v>
      </c>
      <c r="F727" s="148" t="str">
        <f t="shared" si="53"/>
        <v>2018-19</v>
      </c>
      <c r="G727" s="1"/>
      <c r="H727" s="163"/>
      <c r="I727" s="37"/>
      <c r="J727" s="138">
        <f t="shared" si="54"/>
        <v>0.77968490742404351</v>
      </c>
      <c r="K727" s="114"/>
      <c r="L727" s="37">
        <v>1.19146170732</v>
      </c>
      <c r="M727" s="37" t="s">
        <v>142</v>
      </c>
      <c r="N727" s="37">
        <v>514.18436487804865</v>
      </c>
      <c r="O727" s="132">
        <f t="shared" si="55"/>
        <v>612.63098125484964</v>
      </c>
      <c r="P727" s="134">
        <f t="shared" si="56"/>
        <v>430.38169163033592</v>
      </c>
      <c r="Q727" s="261">
        <v>0.90102264289625067</v>
      </c>
      <c r="R727" s="94"/>
    </row>
    <row r="728" spans="1:18" x14ac:dyDescent="0.25">
      <c r="A728" s="367">
        <v>43360</v>
      </c>
      <c r="B728" s="367" t="s">
        <v>279</v>
      </c>
      <c r="C728" s="279" t="s">
        <v>534</v>
      </c>
      <c r="D728" s="159" t="s">
        <v>1004</v>
      </c>
      <c r="E728" s="45">
        <f t="shared" si="57"/>
        <v>43360</v>
      </c>
      <c r="F728" s="148" t="str">
        <f t="shared" ref="F728:F791" si="58">IF(E728="","-",IF(OR(E728&lt;$E$15,E728&gt;$E$16),"ERROR - date outside of range",IF(MONTH(E728)&gt;=7,YEAR(E728)&amp;"-"&amp;IF(YEAR(E728)=1999,"00",IF(AND(YEAR(E728)&gt;=2000,YEAR(E728)&lt;2009),"0","")&amp;RIGHT(YEAR(E728),2)+1),RIGHT(YEAR(E728),4)-1&amp;"-"&amp;RIGHT(YEAR(E728),2))))</f>
        <v>2018-19</v>
      </c>
      <c r="G728" s="1"/>
      <c r="H728" s="163"/>
      <c r="I728" s="37"/>
      <c r="J728" s="138">
        <f t="shared" ref="J728:J791" si="59">J727</f>
        <v>0.77968490742404351</v>
      </c>
      <c r="K728" s="114"/>
      <c r="L728" s="37">
        <v>1.1924403549</v>
      </c>
      <c r="M728" s="37" t="s">
        <v>142</v>
      </c>
      <c r="N728" s="37">
        <v>514.18436487804865</v>
      </c>
      <c r="O728" s="132">
        <f t="shared" si="55"/>
        <v>613.13418653921144</v>
      </c>
      <c r="P728" s="134">
        <f t="shared" si="56"/>
        <v>430.73520026464848</v>
      </c>
      <c r="Q728" s="261">
        <v>0.90102264289625067</v>
      </c>
      <c r="R728" s="94"/>
    </row>
    <row r="729" spans="1:18" x14ac:dyDescent="0.25">
      <c r="A729" s="367">
        <v>43360</v>
      </c>
      <c r="B729" s="367" t="s">
        <v>279</v>
      </c>
      <c r="C729" s="279" t="s">
        <v>534</v>
      </c>
      <c r="D729" s="159" t="s">
        <v>1004</v>
      </c>
      <c r="E729" s="45">
        <f t="shared" si="57"/>
        <v>43360</v>
      </c>
      <c r="F729" s="148" t="str">
        <f t="shared" si="58"/>
        <v>2018-19</v>
      </c>
      <c r="G729" s="1"/>
      <c r="H729" s="163"/>
      <c r="I729" s="37"/>
      <c r="J729" s="138">
        <f t="shared" si="59"/>
        <v>0.77968490742404351</v>
      </c>
      <c r="K729" s="114"/>
      <c r="L729" s="37">
        <v>28.712582537300001</v>
      </c>
      <c r="M729" s="37" t="s">
        <v>142</v>
      </c>
      <c r="N729" s="37">
        <v>621.96155034146341</v>
      </c>
      <c r="O729" s="132">
        <f t="shared" si="55"/>
        <v>17858.122349206336</v>
      </c>
      <c r="P729" s="134">
        <f t="shared" si="56"/>
        <v>12545.576605104299</v>
      </c>
      <c r="Q729" s="261">
        <v>0.90102264289625067</v>
      </c>
      <c r="R729" s="94"/>
    </row>
    <row r="730" spans="1:18" x14ac:dyDescent="0.25">
      <c r="A730" s="367">
        <v>43360</v>
      </c>
      <c r="B730" s="367" t="s">
        <v>279</v>
      </c>
      <c r="C730" s="279" t="s">
        <v>534</v>
      </c>
      <c r="D730" s="159" t="s">
        <v>1004</v>
      </c>
      <c r="E730" s="45">
        <f t="shared" si="57"/>
        <v>43360</v>
      </c>
      <c r="F730" s="148" t="str">
        <f t="shared" si="58"/>
        <v>2018-19</v>
      </c>
      <c r="G730" s="1"/>
      <c r="H730" s="163"/>
      <c r="I730" s="37"/>
      <c r="J730" s="138">
        <f t="shared" si="59"/>
        <v>0.77968490742404351</v>
      </c>
      <c r="K730" s="114"/>
      <c r="L730" s="37">
        <v>49.061445308300001</v>
      </c>
      <c r="M730" s="37" t="s">
        <v>142</v>
      </c>
      <c r="N730" s="37">
        <v>696.6467060487804</v>
      </c>
      <c r="O730" s="132">
        <f t="shared" si="55"/>
        <v>34178.494268019589</v>
      </c>
      <c r="P730" s="134">
        <f t="shared" si="56"/>
        <v>24010.862379695507</v>
      </c>
      <c r="Q730" s="261">
        <v>0.90102264289625067</v>
      </c>
      <c r="R730" s="94"/>
    </row>
    <row r="731" spans="1:18" x14ac:dyDescent="0.25">
      <c r="A731" s="367">
        <v>43237</v>
      </c>
      <c r="B731" s="367" t="s">
        <v>279</v>
      </c>
      <c r="C731" s="279" t="s">
        <v>533</v>
      </c>
      <c r="D731" s="159" t="s">
        <v>1004</v>
      </c>
      <c r="E731" s="45">
        <f t="shared" si="57"/>
        <v>43237</v>
      </c>
      <c r="F731" s="148" t="str">
        <f t="shared" si="58"/>
        <v>2017-18</v>
      </c>
      <c r="G731" s="1"/>
      <c r="H731" s="163"/>
      <c r="I731" s="37"/>
      <c r="J731" s="138">
        <f t="shared" si="59"/>
        <v>0.77968490742404351</v>
      </c>
      <c r="K731" s="114"/>
      <c r="L731" s="37">
        <v>24.8986100212</v>
      </c>
      <c r="M731" s="37" t="s">
        <v>142</v>
      </c>
      <c r="N731" s="37">
        <v>696.6467060487804</v>
      </c>
      <c r="O731" s="132">
        <f t="shared" si="55"/>
        <v>17345.534656462136</v>
      </c>
      <c r="P731" s="134">
        <f t="shared" si="56"/>
        <v>3657.9049396925516</v>
      </c>
      <c r="Q731" s="261">
        <v>0.27047404524341989</v>
      </c>
      <c r="R731" s="94"/>
    </row>
    <row r="732" spans="1:18" x14ac:dyDescent="0.25">
      <c r="A732" s="367">
        <v>43360</v>
      </c>
      <c r="B732" s="367" t="s">
        <v>279</v>
      </c>
      <c r="C732" s="279" t="s">
        <v>534</v>
      </c>
      <c r="D732" s="159" t="s">
        <v>1004</v>
      </c>
      <c r="E732" s="45">
        <f t="shared" si="57"/>
        <v>43360</v>
      </c>
      <c r="F732" s="148" t="str">
        <f t="shared" si="58"/>
        <v>2018-19</v>
      </c>
      <c r="G732" s="1"/>
      <c r="H732" s="163"/>
      <c r="I732" s="37"/>
      <c r="J732" s="138">
        <f t="shared" si="59"/>
        <v>0.77968490742404351</v>
      </c>
      <c r="K732" s="114"/>
      <c r="L732" s="37">
        <v>12.670147138200001</v>
      </c>
      <c r="M732" s="37" t="s">
        <v>142</v>
      </c>
      <c r="N732" s="37">
        <v>696.6467060487804</v>
      </c>
      <c r="O732" s="132">
        <f t="shared" si="55"/>
        <v>8826.6162689804114</v>
      </c>
      <c r="P732" s="134">
        <f t="shared" si="56"/>
        <v>6200.8193471288996</v>
      </c>
      <c r="Q732" s="261">
        <v>0.90102264289625067</v>
      </c>
      <c r="R732" s="94"/>
    </row>
    <row r="733" spans="1:18" x14ac:dyDescent="0.25">
      <c r="A733" s="367">
        <v>43360</v>
      </c>
      <c r="B733" s="367" t="s">
        <v>279</v>
      </c>
      <c r="C733" s="279" t="s">
        <v>534</v>
      </c>
      <c r="D733" s="159" t="s">
        <v>1004</v>
      </c>
      <c r="E733" s="45">
        <f t="shared" si="57"/>
        <v>43360</v>
      </c>
      <c r="F733" s="148" t="str">
        <f t="shared" si="58"/>
        <v>2018-19</v>
      </c>
      <c r="G733" s="1"/>
      <c r="H733" s="163"/>
      <c r="I733" s="37"/>
      <c r="J733" s="138">
        <f t="shared" si="59"/>
        <v>0.77968490742404351</v>
      </c>
      <c r="K733" s="114"/>
      <c r="L733" s="37">
        <v>129.46632245000001</v>
      </c>
      <c r="M733" s="37" t="s">
        <v>142</v>
      </c>
      <c r="N733" s="37">
        <v>696.6467060487804</v>
      </c>
      <c r="O733" s="132">
        <f t="shared" si="55"/>
        <v>90192.28707904178</v>
      </c>
      <c r="P733" s="134">
        <f t="shared" si="56"/>
        <v>63361.322350329006</v>
      </c>
      <c r="Q733" s="261">
        <v>0.90102264289625067</v>
      </c>
      <c r="R733" s="94"/>
    </row>
    <row r="734" spans="1:18" x14ac:dyDescent="0.25">
      <c r="A734" s="367">
        <v>43360</v>
      </c>
      <c r="B734" s="367" t="s">
        <v>279</v>
      </c>
      <c r="C734" s="279" t="s">
        <v>534</v>
      </c>
      <c r="D734" s="159" t="s">
        <v>1004</v>
      </c>
      <c r="E734" s="45">
        <f t="shared" si="57"/>
        <v>43360</v>
      </c>
      <c r="F734" s="148" t="str">
        <f t="shared" si="58"/>
        <v>2018-19</v>
      </c>
      <c r="G734" s="1"/>
      <c r="H734" s="163"/>
      <c r="I734" s="37"/>
      <c r="J734" s="138">
        <f t="shared" si="59"/>
        <v>0.77968490742404351</v>
      </c>
      <c r="K734" s="114"/>
      <c r="L734" s="37">
        <v>70.080530268999993</v>
      </c>
      <c r="M734" s="37" t="s">
        <v>142</v>
      </c>
      <c r="N734" s="37">
        <v>621.96155034146341</v>
      </c>
      <c r="O734" s="132">
        <f t="shared" ref="O734:O797" si="60">IF(N734="","-",L734*N734)</f>
        <v>43587.39525485909</v>
      </c>
      <c r="P734" s="134">
        <f t="shared" ref="P734:P797" si="61">IF(O734="-","-",IF(OR(E734&lt;$E$15,E734&gt;$E$16),0,O734*J734))*Q734</f>
        <v>30620.744750978643</v>
      </c>
      <c r="Q734" s="261">
        <v>0.90102264289625067</v>
      </c>
      <c r="R734" s="94"/>
    </row>
    <row r="735" spans="1:18" x14ac:dyDescent="0.25">
      <c r="A735" s="367">
        <v>43360</v>
      </c>
      <c r="B735" s="367" t="s">
        <v>279</v>
      </c>
      <c r="C735" s="279" t="s">
        <v>534</v>
      </c>
      <c r="D735" s="159" t="s">
        <v>1004</v>
      </c>
      <c r="E735" s="45">
        <f t="shared" si="57"/>
        <v>43360</v>
      </c>
      <c r="F735" s="148" t="str">
        <f t="shared" si="58"/>
        <v>2018-19</v>
      </c>
      <c r="G735" s="1"/>
      <c r="H735" s="163"/>
      <c r="I735" s="37"/>
      <c r="J735" s="138">
        <f t="shared" si="59"/>
        <v>0.77968490742404351</v>
      </c>
      <c r="K735" s="114"/>
      <c r="L735" s="37">
        <v>3.4538738264100002</v>
      </c>
      <c r="M735" s="37" t="s">
        <v>142</v>
      </c>
      <c r="N735" s="37">
        <v>470.74786858536584</v>
      </c>
      <c r="O735" s="132">
        <f t="shared" si="60"/>
        <v>1625.9037421452895</v>
      </c>
      <c r="P735" s="134">
        <f t="shared" si="61"/>
        <v>1142.2197446483513</v>
      </c>
      <c r="Q735" s="261">
        <v>0.90102264289625067</v>
      </c>
      <c r="R735" s="94"/>
    </row>
    <row r="736" spans="1:18" x14ac:dyDescent="0.25">
      <c r="A736" s="367">
        <v>43360</v>
      </c>
      <c r="B736" s="367" t="s">
        <v>279</v>
      </c>
      <c r="C736" s="279" t="s">
        <v>534</v>
      </c>
      <c r="D736" s="159" t="s">
        <v>1004</v>
      </c>
      <c r="E736" s="45">
        <f t="shared" si="57"/>
        <v>43360</v>
      </c>
      <c r="F736" s="148" t="str">
        <f t="shared" si="58"/>
        <v>2018-19</v>
      </c>
      <c r="G736" s="1"/>
      <c r="H736" s="163"/>
      <c r="I736" s="37"/>
      <c r="J736" s="138">
        <f t="shared" si="59"/>
        <v>0.77968490742404351</v>
      </c>
      <c r="K736" s="114"/>
      <c r="L736" s="37">
        <v>7.5162863573100003</v>
      </c>
      <c r="M736" s="37" t="s">
        <v>142</v>
      </c>
      <c r="N736" s="37">
        <v>1003.0093919999996</v>
      </c>
      <c r="O736" s="132">
        <f t="shared" si="60"/>
        <v>7538.905809343395</v>
      </c>
      <c r="P736" s="134">
        <f t="shared" si="61"/>
        <v>5296.1850356001605</v>
      </c>
      <c r="Q736" s="261">
        <v>0.90102264289625067</v>
      </c>
      <c r="R736" s="94"/>
    </row>
    <row r="737" spans="1:18" x14ac:dyDescent="0.25">
      <c r="A737" s="367">
        <v>43360</v>
      </c>
      <c r="B737" s="367" t="s">
        <v>279</v>
      </c>
      <c r="C737" s="279" t="s">
        <v>534</v>
      </c>
      <c r="D737" s="159" t="s">
        <v>1004</v>
      </c>
      <c r="E737" s="45">
        <f t="shared" si="57"/>
        <v>43360</v>
      </c>
      <c r="F737" s="148" t="str">
        <f t="shared" si="58"/>
        <v>2018-19</v>
      </c>
      <c r="G737" s="1"/>
      <c r="H737" s="163"/>
      <c r="I737" s="37"/>
      <c r="J737" s="138">
        <f t="shared" si="59"/>
        <v>0.77968490742404351</v>
      </c>
      <c r="K737" s="114"/>
      <c r="L737" s="37">
        <v>3.3651873341899998</v>
      </c>
      <c r="M737" s="37" t="s">
        <v>142</v>
      </c>
      <c r="N737" s="37">
        <v>696.6467060487804</v>
      </c>
      <c r="O737" s="132">
        <f t="shared" si="60"/>
        <v>2344.3466716005396</v>
      </c>
      <c r="P737" s="134">
        <f t="shared" si="61"/>
        <v>1646.9357854294785</v>
      </c>
      <c r="Q737" s="261">
        <v>0.90102264289625067</v>
      </c>
      <c r="R737" s="94"/>
    </row>
    <row r="738" spans="1:18" x14ac:dyDescent="0.25">
      <c r="A738" s="367">
        <v>43360</v>
      </c>
      <c r="B738" s="367" t="s">
        <v>279</v>
      </c>
      <c r="C738" s="279" t="s">
        <v>534</v>
      </c>
      <c r="D738" s="159" t="s">
        <v>1004</v>
      </c>
      <c r="E738" s="45">
        <f t="shared" si="57"/>
        <v>43360</v>
      </c>
      <c r="F738" s="148" t="str">
        <f t="shared" si="58"/>
        <v>2018-19</v>
      </c>
      <c r="G738" s="1"/>
      <c r="H738" s="163"/>
      <c r="I738" s="37"/>
      <c r="J738" s="138">
        <f t="shared" si="59"/>
        <v>0.77968490742404351</v>
      </c>
      <c r="K738" s="114"/>
      <c r="L738" s="37">
        <v>3.7369318966199998</v>
      </c>
      <c r="M738" s="37" t="s">
        <v>142</v>
      </c>
      <c r="N738" s="37">
        <v>696.6467060487804</v>
      </c>
      <c r="O738" s="132">
        <f t="shared" si="60"/>
        <v>2603.3212965089442</v>
      </c>
      <c r="P738" s="134">
        <f t="shared" si="61"/>
        <v>1828.8690218601796</v>
      </c>
      <c r="Q738" s="261">
        <v>0.90102264289625067</v>
      </c>
      <c r="R738" s="94"/>
    </row>
    <row r="739" spans="1:18" x14ac:dyDescent="0.25">
      <c r="A739" s="367">
        <v>43019</v>
      </c>
      <c r="B739" s="367" t="s">
        <v>279</v>
      </c>
      <c r="C739" s="279" t="s">
        <v>535</v>
      </c>
      <c r="D739" s="159" t="s">
        <v>1004</v>
      </c>
      <c r="E739" s="45">
        <f t="shared" si="57"/>
        <v>43019</v>
      </c>
      <c r="F739" s="148" t="str">
        <f t="shared" si="58"/>
        <v>2017-18</v>
      </c>
      <c r="G739" s="1"/>
      <c r="H739" s="163"/>
      <c r="I739" s="37"/>
      <c r="J739" s="138">
        <f t="shared" si="59"/>
        <v>0.77968490742404351</v>
      </c>
      <c r="K739" s="114"/>
      <c r="L739" s="37">
        <v>156.70552824500001</v>
      </c>
      <c r="M739" s="37" t="s">
        <v>142</v>
      </c>
      <c r="N739" s="37">
        <v>621.96155034146341</v>
      </c>
      <c r="O739" s="132">
        <f t="shared" si="60"/>
        <v>97464.813294338193</v>
      </c>
      <c r="P739" s="134">
        <f t="shared" si="61"/>
        <v>54113.205125316468</v>
      </c>
      <c r="Q739" s="261">
        <v>0.71209227630807947</v>
      </c>
      <c r="R739" s="94"/>
    </row>
    <row r="740" spans="1:18" x14ac:dyDescent="0.25">
      <c r="A740" s="367">
        <v>43705</v>
      </c>
      <c r="B740" s="367" t="s">
        <v>279</v>
      </c>
      <c r="C740" s="279" t="s">
        <v>529</v>
      </c>
      <c r="D740" s="159" t="s">
        <v>1004</v>
      </c>
      <c r="E740" s="45">
        <f t="shared" si="57"/>
        <v>43705</v>
      </c>
      <c r="F740" s="148" t="str">
        <f t="shared" si="58"/>
        <v>2019-20</v>
      </c>
      <c r="G740" s="1"/>
      <c r="H740" s="163"/>
      <c r="I740" s="37"/>
      <c r="J740" s="138">
        <f t="shared" si="59"/>
        <v>0.77968490742404351</v>
      </c>
      <c r="K740" s="114"/>
      <c r="L740" s="37">
        <v>165.430328847</v>
      </c>
      <c r="M740" s="37" t="s">
        <v>142</v>
      </c>
      <c r="N740" s="37">
        <v>621.96155034146341</v>
      </c>
      <c r="O740" s="132">
        <f t="shared" si="60"/>
        <v>102891.30380317823</v>
      </c>
      <c r="P740" s="134">
        <f t="shared" si="61"/>
        <v>67152.48422775518</v>
      </c>
      <c r="Q740" s="261">
        <v>0.83707483416694772</v>
      </c>
      <c r="R740" s="94"/>
    </row>
    <row r="741" spans="1:18" x14ac:dyDescent="0.25">
      <c r="A741" s="367">
        <v>43273</v>
      </c>
      <c r="B741" s="367" t="s">
        <v>279</v>
      </c>
      <c r="C741" s="279" t="s">
        <v>532</v>
      </c>
      <c r="D741" s="159" t="s">
        <v>1004</v>
      </c>
      <c r="E741" s="45">
        <f t="shared" si="57"/>
        <v>43273</v>
      </c>
      <c r="F741" s="148" t="str">
        <f t="shared" si="58"/>
        <v>2017-18</v>
      </c>
      <c r="G741" s="1"/>
      <c r="H741" s="163"/>
      <c r="I741" s="37"/>
      <c r="J741" s="138">
        <f t="shared" si="59"/>
        <v>0.77968490742404351</v>
      </c>
      <c r="K741" s="114"/>
      <c r="L741" s="37">
        <v>48.897248873000002</v>
      </c>
      <c r="M741" s="37" t="s">
        <v>142</v>
      </c>
      <c r="N741" s="37">
        <v>621.96155034146341</v>
      </c>
      <c r="O741" s="132">
        <f t="shared" si="60"/>
        <v>30412.208716483456</v>
      </c>
      <c r="P741" s="134">
        <f t="shared" si="61"/>
        <v>21556.30921606554</v>
      </c>
      <c r="Q741" s="261">
        <v>0.90909090909090906</v>
      </c>
      <c r="R741" s="94"/>
    </row>
    <row r="742" spans="1:18" x14ac:dyDescent="0.25">
      <c r="A742" s="367">
        <v>43019</v>
      </c>
      <c r="B742" s="367" t="s">
        <v>279</v>
      </c>
      <c r="C742" s="279" t="s">
        <v>535</v>
      </c>
      <c r="D742" s="159" t="s">
        <v>1004</v>
      </c>
      <c r="E742" s="45">
        <f t="shared" si="57"/>
        <v>43019</v>
      </c>
      <c r="F742" s="148" t="str">
        <f t="shared" si="58"/>
        <v>2017-18</v>
      </c>
      <c r="G742" s="1"/>
      <c r="H742" s="163"/>
      <c r="I742" s="37"/>
      <c r="J742" s="138">
        <f t="shared" si="59"/>
        <v>0.77968490742404351</v>
      </c>
      <c r="K742" s="114"/>
      <c r="L742" s="37">
        <v>36.058361383700003</v>
      </c>
      <c r="M742" s="37" t="s">
        <v>142</v>
      </c>
      <c r="N742" s="37">
        <v>621.96155034146341</v>
      </c>
      <c r="O742" s="132">
        <f t="shared" si="60"/>
        <v>22426.914348978811</v>
      </c>
      <c r="P742" s="134">
        <f t="shared" si="61"/>
        <v>12451.593303002737</v>
      </c>
      <c r="Q742" s="261">
        <v>0.71209227630807947</v>
      </c>
      <c r="R742" s="94"/>
    </row>
    <row r="743" spans="1:18" x14ac:dyDescent="0.25">
      <c r="A743" s="367">
        <v>43019</v>
      </c>
      <c r="B743" s="367" t="s">
        <v>279</v>
      </c>
      <c r="C743" s="279" t="s">
        <v>535</v>
      </c>
      <c r="D743" s="159" t="s">
        <v>1004</v>
      </c>
      <c r="E743" s="45">
        <f t="shared" si="57"/>
        <v>43019</v>
      </c>
      <c r="F743" s="148" t="str">
        <f t="shared" si="58"/>
        <v>2017-18</v>
      </c>
      <c r="G743" s="1"/>
      <c r="H743" s="163"/>
      <c r="I743" s="37"/>
      <c r="J743" s="138">
        <f t="shared" si="59"/>
        <v>0.77968490742404351</v>
      </c>
      <c r="K743" s="114"/>
      <c r="L743" s="37">
        <v>8.1975490333100005</v>
      </c>
      <c r="M743" s="37" t="s">
        <v>142</v>
      </c>
      <c r="N743" s="37">
        <v>621.96155034146341</v>
      </c>
      <c r="O743" s="132">
        <f t="shared" si="60"/>
        <v>5098.5603057576527</v>
      </c>
      <c r="P743" s="134">
        <f t="shared" si="61"/>
        <v>2830.7594335204794</v>
      </c>
      <c r="Q743" s="261">
        <v>0.71209227630807947</v>
      </c>
      <c r="R743" s="94"/>
    </row>
    <row r="744" spans="1:18" x14ac:dyDescent="0.25">
      <c r="A744" s="367">
        <v>43019</v>
      </c>
      <c r="B744" s="367" t="s">
        <v>279</v>
      </c>
      <c r="C744" s="279" t="s">
        <v>535</v>
      </c>
      <c r="D744" s="159" t="s">
        <v>1004</v>
      </c>
      <c r="E744" s="45">
        <f t="shared" si="57"/>
        <v>43019</v>
      </c>
      <c r="F744" s="148" t="str">
        <f t="shared" si="58"/>
        <v>2017-18</v>
      </c>
      <c r="G744" s="1"/>
      <c r="H744" s="163"/>
      <c r="I744" s="37"/>
      <c r="J744" s="138">
        <f t="shared" si="59"/>
        <v>0.77968490742404351</v>
      </c>
      <c r="K744" s="114"/>
      <c r="L744" s="37">
        <v>10.0973955058</v>
      </c>
      <c r="M744" s="37" t="s">
        <v>142</v>
      </c>
      <c r="N744" s="37">
        <v>621.96155034146341</v>
      </c>
      <c r="O744" s="132">
        <f t="shared" si="60"/>
        <v>6280.1917631982933</v>
      </c>
      <c r="P744" s="134">
        <f t="shared" si="61"/>
        <v>3486.8101997176223</v>
      </c>
      <c r="Q744" s="261">
        <v>0.71209227630807947</v>
      </c>
      <c r="R744" s="94"/>
    </row>
    <row r="745" spans="1:18" x14ac:dyDescent="0.25">
      <c r="A745" s="367">
        <v>43019</v>
      </c>
      <c r="B745" s="367" t="s">
        <v>279</v>
      </c>
      <c r="C745" s="279" t="s">
        <v>535</v>
      </c>
      <c r="D745" s="159" t="s">
        <v>1004</v>
      </c>
      <c r="E745" s="45">
        <f t="shared" si="57"/>
        <v>43019</v>
      </c>
      <c r="F745" s="148" t="str">
        <f t="shared" si="58"/>
        <v>2017-18</v>
      </c>
      <c r="G745" s="1"/>
      <c r="H745" s="163"/>
      <c r="I745" s="37"/>
      <c r="J745" s="138">
        <f t="shared" si="59"/>
        <v>0.77968490742404351</v>
      </c>
      <c r="K745" s="114"/>
      <c r="L745" s="37">
        <v>6.5719287877900001</v>
      </c>
      <c r="M745" s="37" t="s">
        <v>142</v>
      </c>
      <c r="N745" s="37">
        <v>916.52160117073151</v>
      </c>
      <c r="O745" s="132">
        <f t="shared" si="60"/>
        <v>6023.3146953653159</v>
      </c>
      <c r="P745" s="134">
        <f t="shared" si="61"/>
        <v>3344.190099254728</v>
      </c>
      <c r="Q745" s="261">
        <v>0.71209227630807947</v>
      </c>
      <c r="R745" s="94"/>
    </row>
    <row r="746" spans="1:18" x14ac:dyDescent="0.25">
      <c r="A746" s="367">
        <v>43019</v>
      </c>
      <c r="B746" s="367" t="s">
        <v>279</v>
      </c>
      <c r="C746" s="279" t="s">
        <v>535</v>
      </c>
      <c r="D746" s="159" t="s">
        <v>1004</v>
      </c>
      <c r="E746" s="45">
        <f t="shared" si="57"/>
        <v>43019</v>
      </c>
      <c r="F746" s="148" t="str">
        <f t="shared" si="58"/>
        <v>2017-18</v>
      </c>
      <c r="G746" s="1"/>
      <c r="H746" s="163"/>
      <c r="I746" s="37"/>
      <c r="J746" s="138">
        <f t="shared" si="59"/>
        <v>0.77968490742404351</v>
      </c>
      <c r="K746" s="114"/>
      <c r="L746" s="37">
        <v>8.2500340474700007</v>
      </c>
      <c r="M746" s="37" t="s">
        <v>142</v>
      </c>
      <c r="N746" s="37">
        <v>621.96155034146341</v>
      </c>
      <c r="O746" s="132">
        <f t="shared" si="60"/>
        <v>5131.2039665343</v>
      </c>
      <c r="P746" s="134">
        <f t="shared" si="61"/>
        <v>2848.8834420928183</v>
      </c>
      <c r="Q746" s="261">
        <v>0.71209227630807947</v>
      </c>
      <c r="R746" s="94"/>
    </row>
    <row r="747" spans="1:18" x14ac:dyDescent="0.25">
      <c r="A747" s="367">
        <v>43019</v>
      </c>
      <c r="B747" s="367" t="s">
        <v>279</v>
      </c>
      <c r="C747" s="279" t="s">
        <v>535</v>
      </c>
      <c r="D747" s="159" t="s">
        <v>1004</v>
      </c>
      <c r="E747" s="45">
        <f t="shared" si="57"/>
        <v>43019</v>
      </c>
      <c r="F747" s="148" t="str">
        <f t="shared" si="58"/>
        <v>2017-18</v>
      </c>
      <c r="G747" s="1"/>
      <c r="H747" s="163"/>
      <c r="I747" s="37"/>
      <c r="J747" s="138">
        <f t="shared" si="59"/>
        <v>0.77968490742404351</v>
      </c>
      <c r="K747" s="114"/>
      <c r="L747" s="37">
        <v>17.725761071499999</v>
      </c>
      <c r="M747" s="37" t="s">
        <v>142</v>
      </c>
      <c r="N747" s="37">
        <v>621.96155034146341</v>
      </c>
      <c r="O747" s="132">
        <f t="shared" si="60"/>
        <v>11024.7418370125</v>
      </c>
      <c r="P747" s="134">
        <f t="shared" si="61"/>
        <v>6121.020461797485</v>
      </c>
      <c r="Q747" s="261">
        <v>0.71209227630807947</v>
      </c>
      <c r="R747" s="94"/>
    </row>
    <row r="748" spans="1:18" x14ac:dyDescent="0.25">
      <c r="A748" s="367">
        <v>43705</v>
      </c>
      <c r="B748" s="367" t="s">
        <v>279</v>
      </c>
      <c r="C748" s="279" t="s">
        <v>529</v>
      </c>
      <c r="D748" s="159" t="s">
        <v>1004</v>
      </c>
      <c r="E748" s="45">
        <f t="shared" si="57"/>
        <v>43705</v>
      </c>
      <c r="F748" s="148" t="str">
        <f t="shared" si="58"/>
        <v>2019-20</v>
      </c>
      <c r="G748" s="1"/>
      <c r="H748" s="163"/>
      <c r="I748" s="37"/>
      <c r="J748" s="138">
        <f t="shared" si="59"/>
        <v>0.77968490742404351</v>
      </c>
      <c r="K748" s="114"/>
      <c r="L748" s="37">
        <v>40.5134642704</v>
      </c>
      <c r="M748" s="37" t="s">
        <v>142</v>
      </c>
      <c r="N748" s="37">
        <v>621.96155034146341</v>
      </c>
      <c r="O748" s="132">
        <f t="shared" si="60"/>
        <v>25197.81704732147</v>
      </c>
      <c r="P748" s="134">
        <f t="shared" si="61"/>
        <v>16445.471573389157</v>
      </c>
      <c r="Q748" s="261">
        <v>0.83707483416694772</v>
      </c>
      <c r="R748" s="94"/>
    </row>
    <row r="749" spans="1:18" x14ac:dyDescent="0.25">
      <c r="A749" s="367">
        <v>43705</v>
      </c>
      <c r="B749" s="367" t="s">
        <v>279</v>
      </c>
      <c r="C749" s="279" t="s">
        <v>529</v>
      </c>
      <c r="D749" s="159" t="s">
        <v>1004</v>
      </c>
      <c r="E749" s="45">
        <f t="shared" si="57"/>
        <v>43705</v>
      </c>
      <c r="F749" s="148" t="str">
        <f t="shared" si="58"/>
        <v>2019-20</v>
      </c>
      <c r="G749" s="1"/>
      <c r="H749" s="163"/>
      <c r="I749" s="37"/>
      <c r="J749" s="138">
        <f t="shared" si="59"/>
        <v>0.77968490742404351</v>
      </c>
      <c r="K749" s="114"/>
      <c r="L749" s="37">
        <v>18.927787351999999</v>
      </c>
      <c r="M749" s="37" t="s">
        <v>142</v>
      </c>
      <c r="N749" s="37">
        <v>621.96155034146341</v>
      </c>
      <c r="O749" s="132">
        <f t="shared" si="60"/>
        <v>11772.355965983463</v>
      </c>
      <c r="P749" s="134">
        <f t="shared" si="61"/>
        <v>7683.2824457299248</v>
      </c>
      <c r="Q749" s="261">
        <v>0.83707483416694772</v>
      </c>
      <c r="R749" s="94"/>
    </row>
    <row r="750" spans="1:18" x14ac:dyDescent="0.25">
      <c r="A750" s="367">
        <v>43705</v>
      </c>
      <c r="B750" s="367" t="s">
        <v>279</v>
      </c>
      <c r="C750" s="279" t="s">
        <v>529</v>
      </c>
      <c r="D750" s="159" t="s">
        <v>1004</v>
      </c>
      <c r="E750" s="45">
        <f t="shared" si="57"/>
        <v>43705</v>
      </c>
      <c r="F750" s="148" t="str">
        <f t="shared" si="58"/>
        <v>2019-20</v>
      </c>
      <c r="G750" s="1"/>
      <c r="H750" s="163"/>
      <c r="I750" s="37"/>
      <c r="J750" s="138">
        <f t="shared" si="59"/>
        <v>0.77968490742404351</v>
      </c>
      <c r="K750" s="114"/>
      <c r="L750" s="37">
        <v>2.90663379186</v>
      </c>
      <c r="M750" s="37" t="s">
        <v>142</v>
      </c>
      <c r="N750" s="37">
        <v>621.96155034146341</v>
      </c>
      <c r="O750" s="132">
        <f t="shared" si="60"/>
        <v>1807.8144594601322</v>
      </c>
      <c r="P750" s="134">
        <f t="shared" si="61"/>
        <v>1179.8784492791542</v>
      </c>
      <c r="Q750" s="261">
        <v>0.83707483416694772</v>
      </c>
      <c r="R750" s="94"/>
    </row>
    <row r="751" spans="1:18" x14ac:dyDescent="0.25">
      <c r="A751" s="367">
        <v>43705</v>
      </c>
      <c r="B751" s="367" t="s">
        <v>279</v>
      </c>
      <c r="C751" s="279" t="s">
        <v>529</v>
      </c>
      <c r="D751" s="159" t="s">
        <v>1004</v>
      </c>
      <c r="E751" s="45">
        <f t="shared" si="57"/>
        <v>43705</v>
      </c>
      <c r="F751" s="148" t="str">
        <f t="shared" si="58"/>
        <v>2019-20</v>
      </c>
      <c r="G751" s="1"/>
      <c r="H751" s="163"/>
      <c r="I751" s="37"/>
      <c r="J751" s="138">
        <f t="shared" si="59"/>
        <v>0.77968490742404351</v>
      </c>
      <c r="K751" s="114"/>
      <c r="L751" s="37">
        <v>2.0465701675900001</v>
      </c>
      <c r="M751" s="37" t="s">
        <v>142</v>
      </c>
      <c r="N751" s="37">
        <v>621.96155034146341</v>
      </c>
      <c r="O751" s="132">
        <f t="shared" si="60"/>
        <v>1272.887954316865</v>
      </c>
      <c r="P751" s="134">
        <f t="shared" si="61"/>
        <v>830.7561972338666</v>
      </c>
      <c r="Q751" s="261">
        <v>0.83707483416694772</v>
      </c>
      <c r="R751" s="94"/>
    </row>
    <row r="752" spans="1:18" x14ac:dyDescent="0.25">
      <c r="A752" s="367">
        <v>43705</v>
      </c>
      <c r="B752" s="367" t="s">
        <v>279</v>
      </c>
      <c r="C752" s="279" t="s">
        <v>529</v>
      </c>
      <c r="D752" s="159" t="s">
        <v>987</v>
      </c>
      <c r="E752" s="45">
        <f t="shared" si="57"/>
        <v>43705</v>
      </c>
      <c r="F752" s="148" t="str">
        <f t="shared" si="58"/>
        <v>2019-20</v>
      </c>
      <c r="G752" s="1"/>
      <c r="H752" s="163"/>
      <c r="I752" s="37"/>
      <c r="J752" s="138">
        <f t="shared" si="59"/>
        <v>0.77968490742404351</v>
      </c>
      <c r="K752" s="114"/>
      <c r="L752" s="37">
        <v>27.169103096099999</v>
      </c>
      <c r="M752" s="37" t="s">
        <v>142</v>
      </c>
      <c r="N752" s="37">
        <v>621.96155034146341</v>
      </c>
      <c r="O752" s="132">
        <f t="shared" si="60"/>
        <v>16898.137483037408</v>
      </c>
      <c r="P752" s="134">
        <f t="shared" si="61"/>
        <v>11028.647406186881</v>
      </c>
      <c r="Q752" s="261">
        <v>0.83707483416694772</v>
      </c>
      <c r="R752" s="94"/>
    </row>
    <row r="753" spans="1:18" x14ac:dyDescent="0.25">
      <c r="A753" s="367">
        <v>43705</v>
      </c>
      <c r="B753" s="367" t="s">
        <v>279</v>
      </c>
      <c r="C753" s="279" t="s">
        <v>529</v>
      </c>
      <c r="D753" s="159" t="s">
        <v>1004</v>
      </c>
      <c r="E753" s="45">
        <f t="shared" si="57"/>
        <v>43705</v>
      </c>
      <c r="F753" s="148" t="str">
        <f t="shared" si="58"/>
        <v>2019-20</v>
      </c>
      <c r="G753" s="1"/>
      <c r="H753" s="163"/>
      <c r="I753" s="37"/>
      <c r="J753" s="138">
        <f t="shared" si="59"/>
        <v>0.77968490742404351</v>
      </c>
      <c r="K753" s="114"/>
      <c r="L753" s="37">
        <v>6.5899818141099997</v>
      </c>
      <c r="M753" s="37" t="s">
        <v>142</v>
      </c>
      <c r="N753" s="37">
        <v>621.96155034146341</v>
      </c>
      <c r="O753" s="132">
        <f t="shared" si="60"/>
        <v>4098.7153058259046</v>
      </c>
      <c r="P753" s="134">
        <f t="shared" si="61"/>
        <v>2675.0454582152051</v>
      </c>
      <c r="Q753" s="261">
        <v>0.83707483416694772</v>
      </c>
      <c r="R753" s="94"/>
    </row>
    <row r="754" spans="1:18" x14ac:dyDescent="0.25">
      <c r="A754" s="367">
        <v>43705</v>
      </c>
      <c r="B754" s="367" t="s">
        <v>279</v>
      </c>
      <c r="C754" s="279" t="s">
        <v>529</v>
      </c>
      <c r="D754" s="159" t="s">
        <v>1004</v>
      </c>
      <c r="E754" s="45">
        <f t="shared" si="57"/>
        <v>43705</v>
      </c>
      <c r="F754" s="148" t="str">
        <f t="shared" si="58"/>
        <v>2019-20</v>
      </c>
      <c r="G754" s="1"/>
      <c r="H754" s="163"/>
      <c r="I754" s="37"/>
      <c r="J754" s="138">
        <f t="shared" si="59"/>
        <v>0.77968490742404351</v>
      </c>
      <c r="K754" s="114"/>
      <c r="L754" s="37">
        <v>6.8114873798</v>
      </c>
      <c r="M754" s="37" t="s">
        <v>142</v>
      </c>
      <c r="N754" s="37">
        <v>621.96155034146341</v>
      </c>
      <c r="O754" s="132">
        <f t="shared" si="60"/>
        <v>4236.48325087172</v>
      </c>
      <c r="P754" s="134">
        <f t="shared" si="61"/>
        <v>2764.9603432911736</v>
      </c>
      <c r="Q754" s="261">
        <v>0.83707483416694772</v>
      </c>
      <c r="R754" s="94"/>
    </row>
    <row r="755" spans="1:18" x14ac:dyDescent="0.25">
      <c r="A755" s="367">
        <v>43705</v>
      </c>
      <c r="B755" s="367" t="s">
        <v>279</v>
      </c>
      <c r="C755" s="279" t="s">
        <v>529</v>
      </c>
      <c r="D755" s="159" t="s">
        <v>1004</v>
      </c>
      <c r="E755" s="45">
        <f t="shared" si="57"/>
        <v>43705</v>
      </c>
      <c r="F755" s="148" t="str">
        <f t="shared" si="58"/>
        <v>2019-20</v>
      </c>
      <c r="G755" s="1"/>
      <c r="H755" s="163"/>
      <c r="I755" s="37"/>
      <c r="J755" s="138">
        <f t="shared" si="59"/>
        <v>0.77968490742404351</v>
      </c>
      <c r="K755" s="114"/>
      <c r="L755" s="37">
        <v>5.4986413776500003</v>
      </c>
      <c r="M755" s="37" t="s">
        <v>142</v>
      </c>
      <c r="N755" s="37">
        <v>621.96155034146341</v>
      </c>
      <c r="O755" s="132">
        <f t="shared" si="60"/>
        <v>3419.9435160149142</v>
      </c>
      <c r="P755" s="134">
        <f t="shared" si="61"/>
        <v>2232.0419173453133</v>
      </c>
      <c r="Q755" s="261">
        <v>0.83707483416694772</v>
      </c>
      <c r="R755" s="94"/>
    </row>
    <row r="756" spans="1:18" x14ac:dyDescent="0.25">
      <c r="A756" s="367">
        <v>43705</v>
      </c>
      <c r="B756" s="367" t="s">
        <v>279</v>
      </c>
      <c r="C756" s="279" t="s">
        <v>529</v>
      </c>
      <c r="D756" s="159" t="s">
        <v>1004</v>
      </c>
      <c r="E756" s="45">
        <f t="shared" si="57"/>
        <v>43705</v>
      </c>
      <c r="F756" s="148" t="str">
        <f t="shared" si="58"/>
        <v>2019-20</v>
      </c>
      <c r="G756" s="1"/>
      <c r="H756" s="163"/>
      <c r="I756" s="37"/>
      <c r="J756" s="138">
        <f t="shared" si="59"/>
        <v>0.77968490742404351</v>
      </c>
      <c r="K756" s="114"/>
      <c r="L756" s="37">
        <v>2.1194777658700001</v>
      </c>
      <c r="M756" s="37" t="s">
        <v>142</v>
      </c>
      <c r="N756" s="37">
        <v>621.96155034146341</v>
      </c>
      <c r="O756" s="132">
        <f t="shared" si="60"/>
        <v>1318.2336771747664</v>
      </c>
      <c r="P756" s="134">
        <f t="shared" si="61"/>
        <v>860.35129250874354</v>
      </c>
      <c r="Q756" s="261">
        <v>0.83707483416694772</v>
      </c>
      <c r="R756" s="94"/>
    </row>
    <row r="757" spans="1:18" x14ac:dyDescent="0.25">
      <c r="A757" s="367">
        <v>39236</v>
      </c>
      <c r="B757" s="367" t="s">
        <v>279</v>
      </c>
      <c r="C757" s="279" t="s">
        <v>536</v>
      </c>
      <c r="D757" s="159" t="s">
        <v>987</v>
      </c>
      <c r="E757" s="45">
        <f t="shared" si="57"/>
        <v>39236</v>
      </c>
      <c r="F757" s="148" t="str">
        <f t="shared" si="58"/>
        <v>2006-07</v>
      </c>
      <c r="G757" s="1"/>
      <c r="H757" s="163"/>
      <c r="I757" s="37"/>
      <c r="J757" s="138">
        <f t="shared" si="59"/>
        <v>0.77968490742404351</v>
      </c>
      <c r="K757" s="114"/>
      <c r="L757" s="37">
        <v>163.22225511299999</v>
      </c>
      <c r="M757" s="37" t="s">
        <v>142</v>
      </c>
      <c r="N757" s="37">
        <v>621.96155034146341</v>
      </c>
      <c r="O757" s="132">
        <f t="shared" si="60"/>
        <v>101517.96684031133</v>
      </c>
      <c r="P757" s="134">
        <f t="shared" si="61"/>
        <v>51033.079986967859</v>
      </c>
      <c r="Q757" s="261">
        <v>0.64474761030696914</v>
      </c>
      <c r="R757" s="94"/>
    </row>
    <row r="758" spans="1:18" x14ac:dyDescent="0.25">
      <c r="A758" s="367">
        <v>39236</v>
      </c>
      <c r="B758" s="367" t="s">
        <v>279</v>
      </c>
      <c r="C758" s="279" t="s">
        <v>536</v>
      </c>
      <c r="D758" s="159" t="s">
        <v>987</v>
      </c>
      <c r="E758" s="45">
        <f t="shared" si="57"/>
        <v>39236</v>
      </c>
      <c r="F758" s="148" t="str">
        <f t="shared" si="58"/>
        <v>2006-07</v>
      </c>
      <c r="G758" s="1"/>
      <c r="H758" s="163"/>
      <c r="I758" s="37"/>
      <c r="J758" s="138">
        <f t="shared" si="59"/>
        <v>0.77968490742404351</v>
      </c>
      <c r="K758" s="114"/>
      <c r="L758" s="37">
        <v>128.490960976</v>
      </c>
      <c r="M758" s="37" t="s">
        <v>142</v>
      </c>
      <c r="N758" s="37">
        <v>621.96155034146341</v>
      </c>
      <c r="O758" s="132">
        <f t="shared" si="60"/>
        <v>79916.437293497438</v>
      </c>
      <c r="P758" s="134">
        <f t="shared" si="61"/>
        <v>40173.991497366049</v>
      </c>
      <c r="Q758" s="261">
        <v>0.64474761030696914</v>
      </c>
      <c r="R758" s="94"/>
    </row>
    <row r="759" spans="1:18" x14ac:dyDescent="0.25">
      <c r="A759" s="367">
        <v>39236</v>
      </c>
      <c r="B759" s="367" t="s">
        <v>279</v>
      </c>
      <c r="C759" s="279" t="s">
        <v>536</v>
      </c>
      <c r="D759" s="159" t="s">
        <v>987</v>
      </c>
      <c r="E759" s="45">
        <f t="shared" si="57"/>
        <v>39236</v>
      </c>
      <c r="F759" s="148" t="str">
        <f t="shared" si="58"/>
        <v>2006-07</v>
      </c>
      <c r="G759" s="1"/>
      <c r="H759" s="163"/>
      <c r="I759" s="37"/>
      <c r="J759" s="138">
        <f t="shared" si="59"/>
        <v>0.77968490742404351</v>
      </c>
      <c r="K759" s="114"/>
      <c r="L759" s="37">
        <v>2.4988783483799999</v>
      </c>
      <c r="M759" s="37" t="s">
        <v>142</v>
      </c>
      <c r="N759" s="37">
        <v>621.96155034146341</v>
      </c>
      <c r="O759" s="132">
        <f t="shared" si="60"/>
        <v>1554.2062516731403</v>
      </c>
      <c r="P759" s="134">
        <f t="shared" si="61"/>
        <v>781.29945295935181</v>
      </c>
      <c r="Q759" s="261">
        <v>0.64474761030696914</v>
      </c>
      <c r="R759" s="94"/>
    </row>
    <row r="760" spans="1:18" x14ac:dyDescent="0.25">
      <c r="A760" s="367">
        <v>39374</v>
      </c>
      <c r="B760" s="367" t="s">
        <v>279</v>
      </c>
      <c r="C760" s="279" t="s">
        <v>537</v>
      </c>
      <c r="D760" s="159" t="s">
        <v>1005</v>
      </c>
      <c r="E760" s="45">
        <f t="shared" si="57"/>
        <v>39374</v>
      </c>
      <c r="F760" s="148" t="str">
        <f t="shared" si="58"/>
        <v>2007-08</v>
      </c>
      <c r="G760" s="1"/>
      <c r="H760" s="163"/>
      <c r="I760" s="37"/>
      <c r="J760" s="138">
        <f t="shared" si="59"/>
        <v>0.77968490742404351</v>
      </c>
      <c r="K760" s="114"/>
      <c r="L760" s="37">
        <v>102.552765294</v>
      </c>
      <c r="M760" s="37" t="s">
        <v>142</v>
      </c>
      <c r="N760" s="37">
        <v>514.18436487804865</v>
      </c>
      <c r="O760" s="132">
        <f t="shared" si="60"/>
        <v>52731.02848918298</v>
      </c>
      <c r="P760" s="134">
        <f t="shared" si="61"/>
        <v>33816.980889923958</v>
      </c>
      <c r="Q760" s="261">
        <v>0.82252567346331285</v>
      </c>
      <c r="R760" s="94"/>
    </row>
    <row r="761" spans="1:18" x14ac:dyDescent="0.25">
      <c r="A761" s="367">
        <v>39374</v>
      </c>
      <c r="B761" s="367" t="s">
        <v>279</v>
      </c>
      <c r="C761" s="279" t="s">
        <v>537</v>
      </c>
      <c r="D761" s="159" t="s">
        <v>1005</v>
      </c>
      <c r="E761" s="45">
        <f t="shared" si="57"/>
        <v>39374</v>
      </c>
      <c r="F761" s="148" t="str">
        <f t="shared" si="58"/>
        <v>2007-08</v>
      </c>
      <c r="G761" s="1"/>
      <c r="H761" s="163"/>
      <c r="I761" s="37"/>
      <c r="J761" s="138">
        <f t="shared" si="59"/>
        <v>0.77968490742404351</v>
      </c>
      <c r="K761" s="114"/>
      <c r="L761" s="37">
        <v>15.715826657599999</v>
      </c>
      <c r="M761" s="37" t="s">
        <v>142</v>
      </c>
      <c r="N761" s="37">
        <v>514.18436487804865</v>
      </c>
      <c r="O761" s="132">
        <f t="shared" si="60"/>
        <v>8080.832348471562</v>
      </c>
      <c r="P761" s="134">
        <f t="shared" si="61"/>
        <v>5182.3254909393518</v>
      </c>
      <c r="Q761" s="261">
        <v>0.82252567346331285</v>
      </c>
      <c r="R761" s="94"/>
    </row>
    <row r="762" spans="1:18" x14ac:dyDescent="0.25">
      <c r="A762" s="367">
        <v>39374</v>
      </c>
      <c r="B762" s="367" t="s">
        <v>279</v>
      </c>
      <c r="C762" s="279" t="s">
        <v>537</v>
      </c>
      <c r="D762" s="159" t="s">
        <v>1005</v>
      </c>
      <c r="E762" s="45">
        <f t="shared" si="57"/>
        <v>39374</v>
      </c>
      <c r="F762" s="148" t="str">
        <f t="shared" si="58"/>
        <v>2007-08</v>
      </c>
      <c r="G762" s="1"/>
      <c r="H762" s="163"/>
      <c r="I762" s="37"/>
      <c r="J762" s="138">
        <f t="shared" si="59"/>
        <v>0.77968490742404351</v>
      </c>
      <c r="K762" s="114"/>
      <c r="L762" s="37">
        <v>2.89496595557</v>
      </c>
      <c r="M762" s="37" t="s">
        <v>142</v>
      </c>
      <c r="N762" s="37">
        <v>470.74786858536584</v>
      </c>
      <c r="O762" s="132">
        <f t="shared" si="60"/>
        <v>1362.7990532117744</v>
      </c>
      <c r="P762" s="134">
        <f t="shared" si="61"/>
        <v>873.97782405709904</v>
      </c>
      <c r="Q762" s="261">
        <v>0.82252567346331285</v>
      </c>
      <c r="R762" s="94"/>
    </row>
    <row r="763" spans="1:18" x14ac:dyDescent="0.25">
      <c r="A763" s="367">
        <v>42845</v>
      </c>
      <c r="B763" s="367" t="s">
        <v>279</v>
      </c>
      <c r="C763" s="279" t="s">
        <v>538</v>
      </c>
      <c r="D763" s="159" t="s">
        <v>1006</v>
      </c>
      <c r="E763" s="45">
        <f t="shared" si="57"/>
        <v>42845</v>
      </c>
      <c r="F763" s="148" t="str">
        <f t="shared" si="58"/>
        <v>2016-17</v>
      </c>
      <c r="G763" s="1"/>
      <c r="H763" s="163"/>
      <c r="I763" s="37"/>
      <c r="J763" s="138">
        <f t="shared" si="59"/>
        <v>0.77968490742404351</v>
      </c>
      <c r="K763" s="114"/>
      <c r="L763" s="37">
        <v>4.0931369155999997</v>
      </c>
      <c r="M763" s="37" t="s">
        <v>142</v>
      </c>
      <c r="N763" s="37">
        <v>514.18436487804865</v>
      </c>
      <c r="O763" s="132">
        <f t="shared" si="60"/>
        <v>2104.627005306681</v>
      </c>
      <c r="P763" s="134">
        <f t="shared" si="61"/>
        <v>1103.7677736444391</v>
      </c>
      <c r="Q763" s="261">
        <v>0.67264116733577306</v>
      </c>
      <c r="R763" s="94"/>
    </row>
    <row r="764" spans="1:18" x14ac:dyDescent="0.25">
      <c r="A764" s="367">
        <v>42845</v>
      </c>
      <c r="B764" s="367" t="s">
        <v>279</v>
      </c>
      <c r="C764" s="279" t="s">
        <v>538</v>
      </c>
      <c r="D764" s="159" t="s">
        <v>1006</v>
      </c>
      <c r="E764" s="45">
        <f t="shared" si="57"/>
        <v>42845</v>
      </c>
      <c r="F764" s="148" t="str">
        <f t="shared" si="58"/>
        <v>2016-17</v>
      </c>
      <c r="G764" s="1"/>
      <c r="H764" s="163"/>
      <c r="I764" s="37"/>
      <c r="J764" s="138">
        <f t="shared" si="59"/>
        <v>0.77968490742404351</v>
      </c>
      <c r="K764" s="114"/>
      <c r="L764" s="37">
        <v>1.9996392876</v>
      </c>
      <c r="M764" s="37" t="s">
        <v>142</v>
      </c>
      <c r="N764" s="37">
        <v>621.96155034146341</v>
      </c>
      <c r="O764" s="132">
        <f t="shared" si="60"/>
        <v>1243.6987514393954</v>
      </c>
      <c r="P764" s="134">
        <f t="shared" si="61"/>
        <v>652.25552960183347</v>
      </c>
      <c r="Q764" s="261">
        <v>0.67264116733577306</v>
      </c>
      <c r="R764" s="94"/>
    </row>
    <row r="765" spans="1:18" x14ac:dyDescent="0.25">
      <c r="A765" s="367">
        <v>42845</v>
      </c>
      <c r="B765" s="367" t="s">
        <v>279</v>
      </c>
      <c r="C765" s="279" t="s">
        <v>538</v>
      </c>
      <c r="D765" s="159" t="s">
        <v>1006</v>
      </c>
      <c r="E765" s="45">
        <f t="shared" si="57"/>
        <v>42845</v>
      </c>
      <c r="F765" s="148" t="str">
        <f t="shared" si="58"/>
        <v>2016-17</v>
      </c>
      <c r="G765" s="1"/>
      <c r="H765" s="163"/>
      <c r="I765" s="37"/>
      <c r="J765" s="138">
        <f t="shared" si="59"/>
        <v>0.77968490742404351</v>
      </c>
      <c r="K765" s="114"/>
      <c r="L765" s="37">
        <v>1.00078619095</v>
      </c>
      <c r="M765" s="37" t="s">
        <v>142</v>
      </c>
      <c r="N765" s="37">
        <v>621.96155034146341</v>
      </c>
      <c r="O765" s="132">
        <f t="shared" si="60"/>
        <v>622.45053088358986</v>
      </c>
      <c r="P765" s="134">
        <f t="shared" si="61"/>
        <v>326.44303952427202</v>
      </c>
      <c r="Q765" s="261">
        <v>0.67264116733577306</v>
      </c>
      <c r="R765" s="94"/>
    </row>
    <row r="766" spans="1:18" x14ac:dyDescent="0.25">
      <c r="A766" s="367">
        <v>42845</v>
      </c>
      <c r="B766" s="367" t="s">
        <v>279</v>
      </c>
      <c r="C766" s="279" t="s">
        <v>538</v>
      </c>
      <c r="D766" s="159" t="s">
        <v>1006</v>
      </c>
      <c r="E766" s="45">
        <f t="shared" si="57"/>
        <v>42845</v>
      </c>
      <c r="F766" s="148" t="str">
        <f t="shared" si="58"/>
        <v>2016-17</v>
      </c>
      <c r="G766" s="1"/>
      <c r="H766" s="163"/>
      <c r="I766" s="37"/>
      <c r="J766" s="138">
        <f t="shared" si="59"/>
        <v>0.77968490742404351</v>
      </c>
      <c r="K766" s="114"/>
      <c r="L766" s="37">
        <v>62.433261258100003</v>
      </c>
      <c r="M766" s="37" t="s">
        <v>142</v>
      </c>
      <c r="N766" s="37">
        <v>621.96155034146341</v>
      </c>
      <c r="O766" s="132">
        <f t="shared" si="60"/>
        <v>38831.087964961502</v>
      </c>
      <c r="P766" s="134">
        <f t="shared" si="61"/>
        <v>20364.892878028713</v>
      </c>
      <c r="Q766" s="261">
        <v>0.67264116733577306</v>
      </c>
      <c r="R766" s="94"/>
    </row>
    <row r="767" spans="1:18" x14ac:dyDescent="0.25">
      <c r="A767" s="367">
        <v>43131</v>
      </c>
      <c r="B767" s="367" t="s">
        <v>279</v>
      </c>
      <c r="C767" s="279" t="s">
        <v>539</v>
      </c>
      <c r="D767" s="159" t="s">
        <v>946</v>
      </c>
      <c r="E767" s="45">
        <f t="shared" si="57"/>
        <v>43131</v>
      </c>
      <c r="F767" s="148" t="str">
        <f t="shared" si="58"/>
        <v>2017-18</v>
      </c>
      <c r="G767" s="1"/>
      <c r="H767" s="163"/>
      <c r="I767" s="37"/>
      <c r="J767" s="138">
        <f t="shared" si="59"/>
        <v>0.77968490742404351</v>
      </c>
      <c r="K767" s="114"/>
      <c r="L767" s="37">
        <v>4.7240137852000004</v>
      </c>
      <c r="M767" s="37" t="s">
        <v>142</v>
      </c>
      <c r="N767" s="37">
        <v>621.96155034146341</v>
      </c>
      <c r="O767" s="132">
        <f t="shared" si="60"/>
        <v>2938.1549376774369</v>
      </c>
      <c r="P767" s="134">
        <f t="shared" si="61"/>
        <v>1725.416893545093</v>
      </c>
      <c r="Q767" s="261">
        <v>0.75318250677892495</v>
      </c>
      <c r="R767" s="94"/>
    </row>
    <row r="768" spans="1:18" x14ac:dyDescent="0.25">
      <c r="A768" s="367">
        <v>43131</v>
      </c>
      <c r="B768" s="367" t="s">
        <v>279</v>
      </c>
      <c r="C768" s="279" t="s">
        <v>539</v>
      </c>
      <c r="D768" s="159" t="s">
        <v>946</v>
      </c>
      <c r="E768" s="45">
        <f t="shared" si="57"/>
        <v>43131</v>
      </c>
      <c r="F768" s="148" t="str">
        <f t="shared" si="58"/>
        <v>2017-18</v>
      </c>
      <c r="G768" s="1"/>
      <c r="H768" s="163"/>
      <c r="I768" s="37"/>
      <c r="J768" s="138">
        <f t="shared" si="59"/>
        <v>0.77968490742404351</v>
      </c>
      <c r="K768" s="114"/>
      <c r="L768" s="37">
        <v>182.34498794199999</v>
      </c>
      <c r="M768" s="37" t="s">
        <v>142</v>
      </c>
      <c r="N768" s="37">
        <v>621.96155034146341</v>
      </c>
      <c r="O768" s="132">
        <f t="shared" si="60"/>
        <v>113411.57139740177</v>
      </c>
      <c r="P768" s="134">
        <f t="shared" si="61"/>
        <v>66600.381995939286</v>
      </c>
      <c r="Q768" s="261">
        <v>0.75318250677892495</v>
      </c>
      <c r="R768" s="94"/>
    </row>
    <row r="769" spans="1:18" x14ac:dyDescent="0.25">
      <c r="A769" s="367">
        <v>43146</v>
      </c>
      <c r="B769" s="367" t="s">
        <v>279</v>
      </c>
      <c r="C769" s="279" t="s">
        <v>540</v>
      </c>
      <c r="D769" s="159" t="s">
        <v>946</v>
      </c>
      <c r="E769" s="45">
        <f t="shared" si="57"/>
        <v>43146</v>
      </c>
      <c r="F769" s="148" t="str">
        <f t="shared" si="58"/>
        <v>2017-18</v>
      </c>
      <c r="G769" s="1"/>
      <c r="H769" s="163"/>
      <c r="I769" s="37"/>
      <c r="J769" s="138">
        <f t="shared" si="59"/>
        <v>0.77968490742404351</v>
      </c>
      <c r="K769" s="114"/>
      <c r="L769" s="37">
        <v>141.54060064699999</v>
      </c>
      <c r="M769" s="37" t="s">
        <v>142</v>
      </c>
      <c r="N769" s="37">
        <v>621.96155034146341</v>
      </c>
      <c r="O769" s="132">
        <f t="shared" si="60"/>
        <v>88032.811414670054</v>
      </c>
      <c r="P769" s="134">
        <f t="shared" si="61"/>
        <v>56117.249709500815</v>
      </c>
      <c r="Q769" s="261">
        <v>0.81758455571247945</v>
      </c>
      <c r="R769" s="94"/>
    </row>
    <row r="770" spans="1:18" x14ac:dyDescent="0.25">
      <c r="A770" s="367">
        <v>43146</v>
      </c>
      <c r="B770" s="367" t="s">
        <v>279</v>
      </c>
      <c r="C770" s="279" t="s">
        <v>540</v>
      </c>
      <c r="D770" s="159" t="s">
        <v>946</v>
      </c>
      <c r="E770" s="45">
        <f t="shared" si="57"/>
        <v>43146</v>
      </c>
      <c r="F770" s="148" t="str">
        <f t="shared" si="58"/>
        <v>2017-18</v>
      </c>
      <c r="G770" s="1"/>
      <c r="H770" s="163"/>
      <c r="I770" s="37"/>
      <c r="J770" s="138">
        <f t="shared" si="59"/>
        <v>0.77968490742404351</v>
      </c>
      <c r="K770" s="114"/>
      <c r="L770" s="37">
        <v>7.8968404063099999</v>
      </c>
      <c r="M770" s="37" t="s">
        <v>142</v>
      </c>
      <c r="N770" s="37">
        <v>470.74786858536584</v>
      </c>
      <c r="O770" s="132">
        <f t="shared" si="60"/>
        <v>3717.420789829227</v>
      </c>
      <c r="P770" s="134">
        <f t="shared" si="61"/>
        <v>2369.7008806806421</v>
      </c>
      <c r="Q770" s="261">
        <v>0.81758455571247945</v>
      </c>
      <c r="R770" s="94"/>
    </row>
    <row r="771" spans="1:18" x14ac:dyDescent="0.25">
      <c r="A771" s="367">
        <v>43146</v>
      </c>
      <c r="B771" s="367" t="s">
        <v>279</v>
      </c>
      <c r="C771" s="279" t="s">
        <v>540</v>
      </c>
      <c r="D771" s="159" t="s">
        <v>946</v>
      </c>
      <c r="E771" s="45">
        <f t="shared" si="57"/>
        <v>43146</v>
      </c>
      <c r="F771" s="148" t="str">
        <f t="shared" si="58"/>
        <v>2017-18</v>
      </c>
      <c r="G771" s="1"/>
      <c r="H771" s="163"/>
      <c r="I771" s="37"/>
      <c r="J771" s="138">
        <f t="shared" si="59"/>
        <v>0.77968490742404351</v>
      </c>
      <c r="K771" s="114"/>
      <c r="L771" s="37">
        <v>7.4989100541299996</v>
      </c>
      <c r="M771" s="37" t="s">
        <v>142</v>
      </c>
      <c r="N771" s="37">
        <v>621.96155034146341</v>
      </c>
      <c r="O771" s="132">
        <f t="shared" si="60"/>
        <v>4664.0337231378817</v>
      </c>
      <c r="P771" s="134">
        <f t="shared" si="61"/>
        <v>2973.1271884751527</v>
      </c>
      <c r="Q771" s="261">
        <v>0.81758455571247945</v>
      </c>
      <c r="R771" s="94"/>
    </row>
    <row r="772" spans="1:18" x14ac:dyDescent="0.25">
      <c r="A772" s="367">
        <v>43146</v>
      </c>
      <c r="B772" s="367" t="s">
        <v>279</v>
      </c>
      <c r="C772" s="279" t="s">
        <v>540</v>
      </c>
      <c r="D772" s="159" t="s">
        <v>946</v>
      </c>
      <c r="E772" s="45">
        <f t="shared" si="57"/>
        <v>43146</v>
      </c>
      <c r="F772" s="148" t="str">
        <f t="shared" si="58"/>
        <v>2017-18</v>
      </c>
      <c r="G772" s="1"/>
      <c r="H772" s="163"/>
      <c r="I772" s="37"/>
      <c r="J772" s="138">
        <f t="shared" si="59"/>
        <v>0.77968490742404351</v>
      </c>
      <c r="K772" s="114"/>
      <c r="L772" s="37">
        <v>3.0286742974399998</v>
      </c>
      <c r="M772" s="37" t="s">
        <v>142</v>
      </c>
      <c r="N772" s="37">
        <v>621.96155034146341</v>
      </c>
      <c r="O772" s="132">
        <f t="shared" si="60"/>
        <v>1883.7189615151249</v>
      </c>
      <c r="P772" s="134">
        <f t="shared" si="61"/>
        <v>1200.7923596570508</v>
      </c>
      <c r="Q772" s="261">
        <v>0.81758455571247945</v>
      </c>
      <c r="R772" s="94"/>
    </row>
    <row r="773" spans="1:18" x14ac:dyDescent="0.25">
      <c r="A773" s="367">
        <v>43146</v>
      </c>
      <c r="B773" s="367" t="s">
        <v>279</v>
      </c>
      <c r="C773" s="279" t="s">
        <v>540</v>
      </c>
      <c r="D773" s="159" t="s">
        <v>946</v>
      </c>
      <c r="E773" s="45">
        <f t="shared" si="57"/>
        <v>43146</v>
      </c>
      <c r="F773" s="148" t="str">
        <f t="shared" si="58"/>
        <v>2017-18</v>
      </c>
      <c r="G773" s="1"/>
      <c r="H773" s="163"/>
      <c r="I773" s="37"/>
      <c r="J773" s="138">
        <f t="shared" si="59"/>
        <v>0.77968490742404351</v>
      </c>
      <c r="K773" s="114"/>
      <c r="L773" s="37">
        <v>10.256910877099999</v>
      </c>
      <c r="M773" s="37" t="s">
        <v>142</v>
      </c>
      <c r="N773" s="37">
        <v>916.52160117073151</v>
      </c>
      <c r="O773" s="132">
        <f t="shared" si="60"/>
        <v>9400.6803801451842</v>
      </c>
      <c r="P773" s="134">
        <f t="shared" si="61"/>
        <v>5992.5420971379026</v>
      </c>
      <c r="Q773" s="261">
        <v>0.81758455571247945</v>
      </c>
      <c r="R773" s="94"/>
    </row>
    <row r="774" spans="1:18" x14ac:dyDescent="0.25">
      <c r="A774" s="367">
        <v>42887</v>
      </c>
      <c r="B774" s="367" t="s">
        <v>279</v>
      </c>
      <c r="C774" s="279" t="s">
        <v>541</v>
      </c>
      <c r="D774" s="159" t="s">
        <v>1006</v>
      </c>
      <c r="E774" s="45">
        <f t="shared" si="57"/>
        <v>42887</v>
      </c>
      <c r="F774" s="148" t="str">
        <f t="shared" si="58"/>
        <v>2016-17</v>
      </c>
      <c r="G774" s="1"/>
      <c r="H774" s="163"/>
      <c r="I774" s="37"/>
      <c r="J774" s="138">
        <f t="shared" si="59"/>
        <v>0.77968490742404351</v>
      </c>
      <c r="K774" s="114"/>
      <c r="L774" s="37">
        <v>82.789085176900002</v>
      </c>
      <c r="M774" s="37" t="s">
        <v>142</v>
      </c>
      <c r="N774" s="37">
        <v>514.18436487804865</v>
      </c>
      <c r="O774" s="132">
        <f t="shared" si="60"/>
        <v>42568.853180519</v>
      </c>
      <c r="P774" s="134">
        <f t="shared" si="61"/>
        <v>13611.706488565396</v>
      </c>
      <c r="Q774" s="261">
        <v>0.41011107538716801</v>
      </c>
      <c r="R774" s="94"/>
    </row>
    <row r="775" spans="1:18" x14ac:dyDescent="0.25">
      <c r="A775" s="367">
        <v>43060</v>
      </c>
      <c r="B775" s="367" t="s">
        <v>279</v>
      </c>
      <c r="C775" s="279" t="s">
        <v>542</v>
      </c>
      <c r="D775" s="159" t="s">
        <v>1007</v>
      </c>
      <c r="E775" s="45">
        <f t="shared" si="57"/>
        <v>43060</v>
      </c>
      <c r="F775" s="148" t="str">
        <f t="shared" si="58"/>
        <v>2017-18</v>
      </c>
      <c r="G775" s="1"/>
      <c r="H775" s="163"/>
      <c r="I775" s="37"/>
      <c r="J775" s="138">
        <f t="shared" si="59"/>
        <v>0.77968490742404351</v>
      </c>
      <c r="K775" s="114"/>
      <c r="L775" s="37">
        <v>79.219384671100002</v>
      </c>
      <c r="M775" s="37" t="s">
        <v>142</v>
      </c>
      <c r="N775" s="37">
        <v>771.6404230243902</v>
      </c>
      <c r="O775" s="132">
        <f t="shared" si="60"/>
        <v>61128.879499339499</v>
      </c>
      <c r="P775" s="134">
        <f t="shared" si="61"/>
        <v>47661.264753378025</v>
      </c>
      <c r="Q775" s="261">
        <v>1</v>
      </c>
      <c r="R775" s="94"/>
    </row>
    <row r="776" spans="1:18" x14ac:dyDescent="0.25">
      <c r="A776" s="367">
        <v>39947</v>
      </c>
      <c r="B776" s="367" t="s">
        <v>279</v>
      </c>
      <c r="C776" s="279" t="s">
        <v>543</v>
      </c>
      <c r="D776" s="159" t="s">
        <v>1007</v>
      </c>
      <c r="E776" s="45">
        <f t="shared" si="57"/>
        <v>39947</v>
      </c>
      <c r="F776" s="148" t="str">
        <f t="shared" si="58"/>
        <v>2008-09</v>
      </c>
      <c r="G776" s="1"/>
      <c r="H776" s="163"/>
      <c r="I776" s="37"/>
      <c r="J776" s="138">
        <f t="shared" si="59"/>
        <v>0.77968490742404351</v>
      </c>
      <c r="K776" s="114"/>
      <c r="L776" s="37">
        <v>6.48149049441</v>
      </c>
      <c r="M776" s="37" t="s">
        <v>142</v>
      </c>
      <c r="N776" s="37">
        <v>514.18436487804865</v>
      </c>
      <c r="O776" s="132">
        <f t="shared" si="60"/>
        <v>3332.6810733313155</v>
      </c>
      <c r="P776" s="134">
        <f t="shared" si="61"/>
        <v>1914.3149202772086</v>
      </c>
      <c r="Q776" s="261">
        <v>0.73671667798434315</v>
      </c>
      <c r="R776" s="94"/>
    </row>
    <row r="777" spans="1:18" x14ac:dyDescent="0.25">
      <c r="A777" s="367">
        <v>39947</v>
      </c>
      <c r="B777" s="367" t="s">
        <v>279</v>
      </c>
      <c r="C777" s="279" t="s">
        <v>543</v>
      </c>
      <c r="D777" s="159" t="s">
        <v>1007</v>
      </c>
      <c r="E777" s="45">
        <f t="shared" si="57"/>
        <v>39947</v>
      </c>
      <c r="F777" s="148" t="str">
        <f t="shared" si="58"/>
        <v>2008-09</v>
      </c>
      <c r="G777" s="1"/>
      <c r="H777" s="163"/>
      <c r="I777" s="37"/>
      <c r="J777" s="138">
        <f t="shared" si="59"/>
        <v>0.77968490742404351</v>
      </c>
      <c r="K777" s="114"/>
      <c r="L777" s="37">
        <v>192.32121565599999</v>
      </c>
      <c r="M777" s="37" t="s">
        <v>142</v>
      </c>
      <c r="N777" s="37">
        <v>514.18436487804865</v>
      </c>
      <c r="O777" s="132">
        <f t="shared" si="60"/>
        <v>98888.562124654578</v>
      </c>
      <c r="P777" s="134">
        <f t="shared" si="61"/>
        <v>56802.269930605631</v>
      </c>
      <c r="Q777" s="261">
        <v>0.73671667798434315</v>
      </c>
      <c r="R777" s="94"/>
    </row>
    <row r="778" spans="1:18" x14ac:dyDescent="0.25">
      <c r="A778" s="367">
        <v>39772</v>
      </c>
      <c r="B778" s="367" t="s">
        <v>279</v>
      </c>
      <c r="C778" s="279" t="s">
        <v>544</v>
      </c>
      <c r="D778" s="159" t="s">
        <v>942</v>
      </c>
      <c r="E778" s="45">
        <f t="shared" si="57"/>
        <v>39772</v>
      </c>
      <c r="F778" s="148" t="str">
        <f t="shared" si="58"/>
        <v>2008-09</v>
      </c>
      <c r="G778" s="1"/>
      <c r="H778" s="163"/>
      <c r="I778" s="37"/>
      <c r="J778" s="138">
        <f t="shared" si="59"/>
        <v>0.77968490742404351</v>
      </c>
      <c r="K778" s="114"/>
      <c r="L778" s="37">
        <v>111.446206205</v>
      </c>
      <c r="M778" s="37" t="s">
        <v>142</v>
      </c>
      <c r="N778" s="37">
        <v>916.52160117073151</v>
      </c>
      <c r="O778" s="132">
        <f t="shared" si="60"/>
        <v>102142.85535541011</v>
      </c>
      <c r="P778" s="134">
        <f t="shared" si="61"/>
        <v>73493.241096822036</v>
      </c>
      <c r="Q778" s="261">
        <v>0.9228269705369111</v>
      </c>
      <c r="R778" s="94"/>
    </row>
    <row r="779" spans="1:18" x14ac:dyDescent="0.25">
      <c r="A779" s="367">
        <v>39772</v>
      </c>
      <c r="B779" s="367" t="s">
        <v>279</v>
      </c>
      <c r="C779" s="279" t="s">
        <v>544</v>
      </c>
      <c r="D779" s="159" t="s">
        <v>942</v>
      </c>
      <c r="E779" s="45">
        <f t="shared" si="57"/>
        <v>39772</v>
      </c>
      <c r="F779" s="148" t="str">
        <f t="shared" si="58"/>
        <v>2008-09</v>
      </c>
      <c r="G779" s="1"/>
      <c r="H779" s="163"/>
      <c r="I779" s="37"/>
      <c r="J779" s="138">
        <f t="shared" si="59"/>
        <v>0.77968490742404351</v>
      </c>
      <c r="K779" s="114"/>
      <c r="L779" s="37">
        <v>4.3000504578600003</v>
      </c>
      <c r="M779" s="37" t="s">
        <v>142</v>
      </c>
      <c r="N779" s="37">
        <v>470.74786858536584</v>
      </c>
      <c r="O779" s="132">
        <f t="shared" si="60"/>
        <v>2024.2395878471216</v>
      </c>
      <c r="P779" s="134">
        <f t="shared" si="61"/>
        <v>1456.4692513219479</v>
      </c>
      <c r="Q779" s="261">
        <v>0.9228269705369111</v>
      </c>
      <c r="R779" s="94"/>
    </row>
    <row r="780" spans="1:18" x14ac:dyDescent="0.25">
      <c r="A780" s="367">
        <v>39772</v>
      </c>
      <c r="B780" s="367" t="s">
        <v>279</v>
      </c>
      <c r="C780" s="279" t="s">
        <v>544</v>
      </c>
      <c r="D780" s="159" t="s">
        <v>942</v>
      </c>
      <c r="E780" s="45">
        <f t="shared" si="57"/>
        <v>39772</v>
      </c>
      <c r="F780" s="148" t="str">
        <f t="shared" si="58"/>
        <v>2008-09</v>
      </c>
      <c r="G780" s="1"/>
      <c r="H780" s="163"/>
      <c r="I780" s="37"/>
      <c r="J780" s="138">
        <f t="shared" si="59"/>
        <v>0.77968490742404351</v>
      </c>
      <c r="K780" s="114"/>
      <c r="L780" s="37">
        <v>19.1268922229</v>
      </c>
      <c r="M780" s="37" t="s">
        <v>142</v>
      </c>
      <c r="N780" s="37">
        <v>621.96155034146341</v>
      </c>
      <c r="O780" s="132">
        <f t="shared" si="60"/>
        <v>11896.191540168964</v>
      </c>
      <c r="P780" s="134">
        <f t="shared" si="61"/>
        <v>8559.4794658274113</v>
      </c>
      <c r="Q780" s="261">
        <v>0.9228269705369111</v>
      </c>
      <c r="R780" s="94"/>
    </row>
    <row r="781" spans="1:18" x14ac:dyDescent="0.25">
      <c r="A781" s="367">
        <v>39772</v>
      </c>
      <c r="B781" s="367" t="s">
        <v>279</v>
      </c>
      <c r="C781" s="279" t="s">
        <v>544</v>
      </c>
      <c r="D781" s="159" t="s">
        <v>942</v>
      </c>
      <c r="E781" s="45">
        <f t="shared" si="57"/>
        <v>39772</v>
      </c>
      <c r="F781" s="148" t="str">
        <f t="shared" si="58"/>
        <v>2008-09</v>
      </c>
      <c r="G781" s="1"/>
      <c r="H781" s="163"/>
      <c r="I781" s="37"/>
      <c r="J781" s="138">
        <f t="shared" si="59"/>
        <v>0.77968490742404351</v>
      </c>
      <c r="K781" s="114"/>
      <c r="L781" s="37">
        <v>2.7577980658799999</v>
      </c>
      <c r="M781" s="37" t="s">
        <v>142</v>
      </c>
      <c r="N781" s="37">
        <v>916.52160117073151</v>
      </c>
      <c r="O781" s="132">
        <f t="shared" si="60"/>
        <v>2527.5814990458839</v>
      </c>
      <c r="P781" s="134">
        <f t="shared" si="61"/>
        <v>1818.6309346344997</v>
      </c>
      <c r="Q781" s="261">
        <v>0.9228269705369111</v>
      </c>
      <c r="R781" s="94"/>
    </row>
    <row r="782" spans="1:18" x14ac:dyDescent="0.25">
      <c r="A782" s="367">
        <v>40445</v>
      </c>
      <c r="B782" s="367" t="s">
        <v>279</v>
      </c>
      <c r="C782" s="279" t="s">
        <v>545</v>
      </c>
      <c r="D782" s="159" t="s">
        <v>965</v>
      </c>
      <c r="E782" s="45">
        <f t="shared" si="57"/>
        <v>40445</v>
      </c>
      <c r="F782" s="148" t="str">
        <f t="shared" si="58"/>
        <v>2010-11</v>
      </c>
      <c r="G782" s="1"/>
      <c r="H782" s="163"/>
      <c r="I782" s="37"/>
      <c r="J782" s="138">
        <f t="shared" si="59"/>
        <v>0.77968490742404351</v>
      </c>
      <c r="K782" s="114"/>
      <c r="L782" s="37">
        <v>207.55610523999999</v>
      </c>
      <c r="M782" s="37" t="s">
        <v>142</v>
      </c>
      <c r="N782" s="37">
        <v>470.74786858536584</v>
      </c>
      <c r="O782" s="132">
        <f t="shared" si="60"/>
        <v>97706.594153609884</v>
      </c>
      <c r="P782" s="134">
        <f t="shared" si="61"/>
        <v>76180.356817375912</v>
      </c>
      <c r="Q782" s="261">
        <v>1</v>
      </c>
      <c r="R782" s="94"/>
    </row>
    <row r="783" spans="1:18" x14ac:dyDescent="0.25">
      <c r="A783" s="367">
        <v>40445</v>
      </c>
      <c r="B783" s="367" t="s">
        <v>279</v>
      </c>
      <c r="C783" s="279" t="s">
        <v>545</v>
      </c>
      <c r="D783" s="159" t="s">
        <v>965</v>
      </c>
      <c r="E783" s="45">
        <f t="shared" si="57"/>
        <v>40445</v>
      </c>
      <c r="F783" s="148" t="str">
        <f t="shared" si="58"/>
        <v>2010-11</v>
      </c>
      <c r="G783" s="1"/>
      <c r="H783" s="163"/>
      <c r="I783" s="37"/>
      <c r="J783" s="138">
        <f t="shared" si="59"/>
        <v>0.77968490742404351</v>
      </c>
      <c r="K783" s="114"/>
      <c r="L783" s="37">
        <v>10.067463505099999</v>
      </c>
      <c r="M783" s="37" t="s">
        <v>142</v>
      </c>
      <c r="N783" s="37">
        <v>470.74786858536584</v>
      </c>
      <c r="O783" s="132">
        <f t="shared" si="60"/>
        <v>4739.2369870867806</v>
      </c>
      <c r="P783" s="134">
        <f t="shared" si="61"/>
        <v>3695.1115515373594</v>
      </c>
      <c r="Q783" s="261">
        <v>1</v>
      </c>
      <c r="R783" s="94"/>
    </row>
    <row r="784" spans="1:18" x14ac:dyDescent="0.25">
      <c r="A784" s="367">
        <v>39966</v>
      </c>
      <c r="B784" s="367" t="s">
        <v>279</v>
      </c>
      <c r="C784" s="279" t="s">
        <v>546</v>
      </c>
      <c r="D784" s="159" t="s">
        <v>1008</v>
      </c>
      <c r="E784" s="45">
        <f t="shared" si="57"/>
        <v>39966</v>
      </c>
      <c r="F784" s="148" t="str">
        <f t="shared" si="58"/>
        <v>2008-09</v>
      </c>
      <c r="G784" s="1"/>
      <c r="H784" s="163"/>
      <c r="I784" s="37"/>
      <c r="J784" s="138">
        <f t="shared" si="59"/>
        <v>0.77968490742404351</v>
      </c>
      <c r="K784" s="114"/>
      <c r="L784" s="37">
        <v>112.71084519199999</v>
      </c>
      <c r="M784" s="37" t="s">
        <v>142</v>
      </c>
      <c r="N784" s="37">
        <v>514.18436487804865</v>
      </c>
      <c r="O784" s="132">
        <f t="shared" si="60"/>
        <v>57954.154349916578</v>
      </c>
      <c r="P784" s="134">
        <f t="shared" si="61"/>
        <v>37295.047212072917</v>
      </c>
      <c r="Q784" s="261">
        <v>0.82536768374209257</v>
      </c>
      <c r="R784" s="94"/>
    </row>
    <row r="785" spans="1:18" x14ac:dyDescent="0.25">
      <c r="A785" s="367">
        <v>39966</v>
      </c>
      <c r="B785" s="367" t="s">
        <v>279</v>
      </c>
      <c r="C785" s="279" t="s">
        <v>546</v>
      </c>
      <c r="D785" s="159" t="s">
        <v>1008</v>
      </c>
      <c r="E785" s="45">
        <f t="shared" si="57"/>
        <v>39966</v>
      </c>
      <c r="F785" s="148" t="str">
        <f t="shared" si="58"/>
        <v>2008-09</v>
      </c>
      <c r="G785" s="1"/>
      <c r="H785" s="163"/>
      <c r="I785" s="37"/>
      <c r="J785" s="138">
        <f t="shared" si="59"/>
        <v>0.77968490742404351</v>
      </c>
      <c r="K785" s="114"/>
      <c r="L785" s="37">
        <v>1.01739354179</v>
      </c>
      <c r="M785" s="37" t="s">
        <v>142</v>
      </c>
      <c r="N785" s="37">
        <v>470.74786858536584</v>
      </c>
      <c r="O785" s="132">
        <f t="shared" si="60"/>
        <v>478.93584131015882</v>
      </c>
      <c r="P785" s="134">
        <f t="shared" si="61"/>
        <v>308.20801396512741</v>
      </c>
      <c r="Q785" s="261">
        <v>0.82536768374209257</v>
      </c>
      <c r="R785" s="94"/>
    </row>
    <row r="786" spans="1:18" x14ac:dyDescent="0.25">
      <c r="A786" s="367">
        <v>39968</v>
      </c>
      <c r="B786" s="367" t="s">
        <v>279</v>
      </c>
      <c r="C786" s="279" t="s">
        <v>547</v>
      </c>
      <c r="D786" s="159" t="s">
        <v>1009</v>
      </c>
      <c r="E786" s="45">
        <f t="shared" si="57"/>
        <v>39968</v>
      </c>
      <c r="F786" s="148" t="str">
        <f t="shared" si="58"/>
        <v>2008-09</v>
      </c>
      <c r="G786" s="1"/>
      <c r="H786" s="163"/>
      <c r="I786" s="37"/>
      <c r="J786" s="138">
        <f t="shared" si="59"/>
        <v>0.77968490742404351</v>
      </c>
      <c r="K786" s="114"/>
      <c r="L786" s="37">
        <v>56.964738686399997</v>
      </c>
      <c r="M786" s="37" t="s">
        <v>142</v>
      </c>
      <c r="N786" s="37">
        <v>470.74786858536584</v>
      </c>
      <c r="O786" s="132">
        <f t="shared" si="60"/>
        <v>26816.029321145132</v>
      </c>
      <c r="P786" s="134">
        <f t="shared" si="61"/>
        <v>20908.053338737478</v>
      </c>
      <c r="Q786" s="261">
        <v>1</v>
      </c>
      <c r="R786" s="94"/>
    </row>
    <row r="787" spans="1:18" x14ac:dyDescent="0.25">
      <c r="A787" s="367">
        <v>39978</v>
      </c>
      <c r="B787" s="367" t="s">
        <v>279</v>
      </c>
      <c r="C787" s="279" t="s">
        <v>548</v>
      </c>
      <c r="D787" s="159" t="s">
        <v>958</v>
      </c>
      <c r="E787" s="45">
        <f t="shared" si="57"/>
        <v>39978</v>
      </c>
      <c r="F787" s="148" t="str">
        <f t="shared" si="58"/>
        <v>2008-09</v>
      </c>
      <c r="G787" s="1"/>
      <c r="H787" s="163"/>
      <c r="I787" s="37"/>
      <c r="J787" s="138">
        <f t="shared" si="59"/>
        <v>0.77968490742404351</v>
      </c>
      <c r="K787" s="114"/>
      <c r="L787" s="37">
        <v>15.583491264799999</v>
      </c>
      <c r="M787" s="37" t="s">
        <v>142</v>
      </c>
      <c r="N787" s="37">
        <v>621.96155034146341</v>
      </c>
      <c r="O787" s="132">
        <f t="shared" si="60"/>
        <v>9692.3323867876607</v>
      </c>
      <c r="P787" s="134">
        <f t="shared" si="61"/>
        <v>5964.7312034040006</v>
      </c>
      <c r="Q787" s="261">
        <v>0.78930244914774594</v>
      </c>
      <c r="R787" s="94"/>
    </row>
    <row r="788" spans="1:18" x14ac:dyDescent="0.25">
      <c r="A788" s="367">
        <v>39978</v>
      </c>
      <c r="B788" s="367" t="s">
        <v>279</v>
      </c>
      <c r="C788" s="279" t="s">
        <v>548</v>
      </c>
      <c r="D788" s="159" t="s">
        <v>958</v>
      </c>
      <c r="E788" s="45">
        <f t="shared" si="57"/>
        <v>39978</v>
      </c>
      <c r="F788" s="148" t="str">
        <f t="shared" si="58"/>
        <v>2008-09</v>
      </c>
      <c r="G788" s="1"/>
      <c r="H788" s="163"/>
      <c r="I788" s="37"/>
      <c r="J788" s="138">
        <f t="shared" si="59"/>
        <v>0.77968490742404351</v>
      </c>
      <c r="K788" s="114"/>
      <c r="L788" s="37">
        <v>2.4050351348799999</v>
      </c>
      <c r="M788" s="37" t="s">
        <v>142</v>
      </c>
      <c r="N788" s="37">
        <v>916.52160117073151</v>
      </c>
      <c r="O788" s="132">
        <f t="shared" si="60"/>
        <v>2204.2666526920839</v>
      </c>
      <c r="P788" s="134">
        <f t="shared" si="61"/>
        <v>1356.5215842017744</v>
      </c>
      <c r="Q788" s="261">
        <v>0.78930244914774594</v>
      </c>
      <c r="R788" s="94"/>
    </row>
    <row r="789" spans="1:18" x14ac:dyDescent="0.25">
      <c r="A789" s="367">
        <v>39978</v>
      </c>
      <c r="B789" s="367" t="s">
        <v>279</v>
      </c>
      <c r="C789" s="279" t="s">
        <v>548</v>
      </c>
      <c r="D789" s="159" t="s">
        <v>958</v>
      </c>
      <c r="E789" s="45">
        <f t="shared" si="57"/>
        <v>39978</v>
      </c>
      <c r="F789" s="148" t="str">
        <f t="shared" si="58"/>
        <v>2008-09</v>
      </c>
      <c r="G789" s="1"/>
      <c r="H789" s="163"/>
      <c r="I789" s="37"/>
      <c r="J789" s="138">
        <f t="shared" si="59"/>
        <v>0.77968490742404351</v>
      </c>
      <c r="K789" s="114"/>
      <c r="L789" s="37">
        <v>4.5638322712499999</v>
      </c>
      <c r="M789" s="37" t="s">
        <v>142</v>
      </c>
      <c r="N789" s="37">
        <v>470.74786858536584</v>
      </c>
      <c r="O789" s="132">
        <f t="shared" si="60"/>
        <v>2148.4143142720468</v>
      </c>
      <c r="P789" s="134">
        <f t="shared" si="61"/>
        <v>1322.149652610653</v>
      </c>
      <c r="Q789" s="261">
        <v>0.78930244914774594</v>
      </c>
      <c r="R789" s="94"/>
    </row>
    <row r="790" spans="1:18" x14ac:dyDescent="0.25">
      <c r="A790" s="367">
        <v>39978</v>
      </c>
      <c r="B790" s="367" t="s">
        <v>279</v>
      </c>
      <c r="C790" s="279" t="s">
        <v>548</v>
      </c>
      <c r="D790" s="159" t="s">
        <v>958</v>
      </c>
      <c r="E790" s="45">
        <f t="shared" si="57"/>
        <v>39978</v>
      </c>
      <c r="F790" s="148" t="str">
        <f t="shared" si="58"/>
        <v>2008-09</v>
      </c>
      <c r="G790" s="1"/>
      <c r="H790" s="163"/>
      <c r="I790" s="37"/>
      <c r="J790" s="138">
        <f t="shared" si="59"/>
        <v>0.77968490742404351</v>
      </c>
      <c r="K790" s="114"/>
      <c r="L790" s="37">
        <v>3.8880580951199999</v>
      </c>
      <c r="M790" s="37" t="s">
        <v>142</v>
      </c>
      <c r="N790" s="37">
        <v>470.74786858536584</v>
      </c>
      <c r="O790" s="132">
        <f t="shared" si="60"/>
        <v>1830.2950612138175</v>
      </c>
      <c r="P790" s="134">
        <f t="shared" si="61"/>
        <v>1126.3767715952833</v>
      </c>
      <c r="Q790" s="261">
        <v>0.78930244914774594</v>
      </c>
      <c r="R790" s="94"/>
    </row>
    <row r="791" spans="1:18" x14ac:dyDescent="0.25">
      <c r="A791" s="367">
        <v>39978</v>
      </c>
      <c r="B791" s="367" t="s">
        <v>279</v>
      </c>
      <c r="C791" s="279" t="s">
        <v>548</v>
      </c>
      <c r="D791" s="159" t="s">
        <v>958</v>
      </c>
      <c r="E791" s="45">
        <f t="shared" ref="E791:E854" si="62">IF(A791&lt;2022,DATEVALUE("30 Jun "&amp;A791),A791)</f>
        <v>39978</v>
      </c>
      <c r="F791" s="148" t="str">
        <f t="shared" si="58"/>
        <v>2008-09</v>
      </c>
      <c r="G791" s="1"/>
      <c r="H791" s="163"/>
      <c r="I791" s="37"/>
      <c r="J791" s="138">
        <f t="shared" si="59"/>
        <v>0.77968490742404351</v>
      </c>
      <c r="K791" s="114"/>
      <c r="L791" s="37">
        <v>6.1522744894499999</v>
      </c>
      <c r="M791" s="37" t="s">
        <v>142</v>
      </c>
      <c r="N791" s="37">
        <v>621.96155034146341</v>
      </c>
      <c r="O791" s="132">
        <f t="shared" si="60"/>
        <v>3826.478179584557</v>
      </c>
      <c r="P791" s="134">
        <f t="shared" si="61"/>
        <v>2354.8422491190581</v>
      </c>
      <c r="Q791" s="261">
        <v>0.78930244914774594</v>
      </c>
      <c r="R791" s="94"/>
    </row>
    <row r="792" spans="1:18" x14ac:dyDescent="0.25">
      <c r="A792" s="367">
        <v>39941</v>
      </c>
      <c r="B792" s="367" t="s">
        <v>279</v>
      </c>
      <c r="C792" s="279" t="s">
        <v>549</v>
      </c>
      <c r="D792" s="159" t="s">
        <v>1010</v>
      </c>
      <c r="E792" s="45">
        <f t="shared" si="62"/>
        <v>39941</v>
      </c>
      <c r="F792" s="148" t="str">
        <f t="shared" ref="F792:F855" si="63">IF(E792="","-",IF(OR(E792&lt;$E$15,E792&gt;$E$16),"ERROR - date outside of range",IF(MONTH(E792)&gt;=7,YEAR(E792)&amp;"-"&amp;IF(YEAR(E792)=1999,"00",IF(AND(YEAR(E792)&gt;=2000,YEAR(E792)&lt;2009),"0","")&amp;RIGHT(YEAR(E792),2)+1),RIGHT(YEAR(E792),4)-1&amp;"-"&amp;RIGHT(YEAR(E792),2))))</f>
        <v>2008-09</v>
      </c>
      <c r="G792" s="1"/>
      <c r="H792" s="163"/>
      <c r="I792" s="37"/>
      <c r="J792" s="138">
        <f t="shared" ref="J792:J855" si="64">J791</f>
        <v>0.77968490742404351</v>
      </c>
      <c r="K792" s="114"/>
      <c r="L792" s="37">
        <v>17.580189981099998</v>
      </c>
      <c r="M792" s="37" t="s">
        <v>142</v>
      </c>
      <c r="N792" s="37">
        <v>514.18436487804865</v>
      </c>
      <c r="O792" s="132">
        <f t="shared" si="60"/>
        <v>9039.4588198673373</v>
      </c>
      <c r="P792" s="134">
        <f t="shared" si="61"/>
        <v>5425.2402533536433</v>
      </c>
      <c r="Q792" s="261">
        <v>0.76976368254945726</v>
      </c>
      <c r="R792" s="94"/>
    </row>
    <row r="793" spans="1:18" x14ac:dyDescent="0.25">
      <c r="A793" s="367">
        <v>39941</v>
      </c>
      <c r="B793" s="367" t="s">
        <v>279</v>
      </c>
      <c r="C793" s="279" t="s">
        <v>549</v>
      </c>
      <c r="D793" s="159" t="s">
        <v>1010</v>
      </c>
      <c r="E793" s="45">
        <f t="shared" si="62"/>
        <v>39941</v>
      </c>
      <c r="F793" s="148" t="str">
        <f t="shared" si="63"/>
        <v>2008-09</v>
      </c>
      <c r="G793" s="1"/>
      <c r="H793" s="163"/>
      <c r="I793" s="37"/>
      <c r="J793" s="138">
        <f t="shared" si="64"/>
        <v>0.77968490742404351</v>
      </c>
      <c r="K793" s="114"/>
      <c r="L793" s="37">
        <v>1.4610492804799999</v>
      </c>
      <c r="M793" s="37" t="s">
        <v>142</v>
      </c>
      <c r="N793" s="37">
        <v>514.18436487804865</v>
      </c>
      <c r="O793" s="132">
        <f t="shared" si="60"/>
        <v>751.24869633913875</v>
      </c>
      <c r="P793" s="134">
        <f t="shared" si="61"/>
        <v>450.87927815996824</v>
      </c>
      <c r="Q793" s="261">
        <v>0.76976368254945726</v>
      </c>
      <c r="R793" s="94"/>
    </row>
    <row r="794" spans="1:18" x14ac:dyDescent="0.25">
      <c r="A794" s="367">
        <v>39941</v>
      </c>
      <c r="B794" s="367" t="s">
        <v>279</v>
      </c>
      <c r="C794" s="279" t="s">
        <v>549</v>
      </c>
      <c r="D794" s="159" t="s">
        <v>1010</v>
      </c>
      <c r="E794" s="45">
        <f t="shared" si="62"/>
        <v>39941</v>
      </c>
      <c r="F794" s="148" t="str">
        <f t="shared" si="63"/>
        <v>2008-09</v>
      </c>
      <c r="G794" s="1"/>
      <c r="H794" s="163"/>
      <c r="I794" s="37"/>
      <c r="J794" s="138">
        <f t="shared" si="64"/>
        <v>0.77968490742404351</v>
      </c>
      <c r="K794" s="114"/>
      <c r="L794" s="37">
        <v>101.689394369</v>
      </c>
      <c r="M794" s="37" t="s">
        <v>142</v>
      </c>
      <c r="N794" s="37">
        <v>514.18436487804865</v>
      </c>
      <c r="O794" s="132">
        <f t="shared" si="60"/>
        <v>52287.096658457682</v>
      </c>
      <c r="P794" s="134">
        <f t="shared" si="61"/>
        <v>31381.31022832853</v>
      </c>
      <c r="Q794" s="261">
        <v>0.76976368254945726</v>
      </c>
      <c r="R794" s="94"/>
    </row>
    <row r="795" spans="1:18" x14ac:dyDescent="0.25">
      <c r="A795" s="367">
        <v>39777</v>
      </c>
      <c r="B795" s="367" t="s">
        <v>279</v>
      </c>
      <c r="C795" s="279" t="s">
        <v>550</v>
      </c>
      <c r="D795" s="159" t="s">
        <v>1011</v>
      </c>
      <c r="E795" s="45">
        <f t="shared" si="62"/>
        <v>39777</v>
      </c>
      <c r="F795" s="148" t="str">
        <f t="shared" si="63"/>
        <v>2008-09</v>
      </c>
      <c r="G795" s="1"/>
      <c r="H795" s="163"/>
      <c r="I795" s="37"/>
      <c r="J795" s="138">
        <f t="shared" si="64"/>
        <v>0.77968490742404351</v>
      </c>
      <c r="K795" s="114"/>
      <c r="L795" s="37">
        <v>329.64844998799998</v>
      </c>
      <c r="M795" s="37" t="s">
        <v>142</v>
      </c>
      <c r="N795" s="37">
        <v>470.74786858536584</v>
      </c>
      <c r="O795" s="132">
        <f t="shared" si="60"/>
        <v>155181.30521432057</v>
      </c>
      <c r="P795" s="134">
        <f t="shared" si="61"/>
        <v>120992.52158996978</v>
      </c>
      <c r="Q795" s="261">
        <v>1</v>
      </c>
      <c r="R795" s="94"/>
    </row>
    <row r="796" spans="1:18" x14ac:dyDescent="0.25">
      <c r="A796" s="367">
        <v>39777</v>
      </c>
      <c r="B796" s="367" t="s">
        <v>279</v>
      </c>
      <c r="C796" s="279" t="s">
        <v>550</v>
      </c>
      <c r="D796" s="159" t="s">
        <v>1011</v>
      </c>
      <c r="E796" s="45">
        <f t="shared" si="62"/>
        <v>39777</v>
      </c>
      <c r="F796" s="148" t="str">
        <f t="shared" si="63"/>
        <v>2008-09</v>
      </c>
      <c r="G796" s="1"/>
      <c r="H796" s="163"/>
      <c r="I796" s="37"/>
      <c r="J796" s="138">
        <f t="shared" si="64"/>
        <v>0.77968490742404351</v>
      </c>
      <c r="K796" s="114"/>
      <c r="L796" s="37">
        <v>162.817336428</v>
      </c>
      <c r="M796" s="37" t="s">
        <v>142</v>
      </c>
      <c r="N796" s="37">
        <v>470.74786858536584</v>
      </c>
      <c r="O796" s="132">
        <f t="shared" si="60"/>
        <v>76645.914092227438</v>
      </c>
      <c r="P796" s="134">
        <f t="shared" si="61"/>
        <v>59759.662433429541</v>
      </c>
      <c r="Q796" s="261">
        <v>1</v>
      </c>
      <c r="R796" s="94"/>
    </row>
    <row r="797" spans="1:18" x14ac:dyDescent="0.25">
      <c r="A797" s="367">
        <v>39777</v>
      </c>
      <c r="B797" s="367" t="s">
        <v>279</v>
      </c>
      <c r="C797" s="279" t="s">
        <v>550</v>
      </c>
      <c r="D797" s="159" t="s">
        <v>1011</v>
      </c>
      <c r="E797" s="45">
        <f t="shared" si="62"/>
        <v>39777</v>
      </c>
      <c r="F797" s="148" t="str">
        <f t="shared" si="63"/>
        <v>2008-09</v>
      </c>
      <c r="G797" s="1"/>
      <c r="H797" s="163"/>
      <c r="I797" s="37"/>
      <c r="J797" s="138">
        <f t="shared" si="64"/>
        <v>0.77968490742404351</v>
      </c>
      <c r="K797" s="114"/>
      <c r="L797" s="37">
        <v>3.2412051936799999</v>
      </c>
      <c r="M797" s="37" t="s">
        <v>142</v>
      </c>
      <c r="N797" s="37">
        <v>470.74786858536584</v>
      </c>
      <c r="O797" s="132">
        <f t="shared" si="60"/>
        <v>1525.7904365726779</v>
      </c>
      <c r="P797" s="134">
        <f t="shared" si="61"/>
        <v>1189.6357752876593</v>
      </c>
      <c r="Q797" s="261">
        <v>1</v>
      </c>
      <c r="R797" s="94"/>
    </row>
    <row r="798" spans="1:18" x14ac:dyDescent="0.25">
      <c r="A798" s="367">
        <v>39777</v>
      </c>
      <c r="B798" s="367" t="s">
        <v>279</v>
      </c>
      <c r="C798" s="279" t="s">
        <v>550</v>
      </c>
      <c r="D798" s="159" t="s">
        <v>1011</v>
      </c>
      <c r="E798" s="45">
        <f t="shared" si="62"/>
        <v>39777</v>
      </c>
      <c r="F798" s="148" t="str">
        <f t="shared" si="63"/>
        <v>2008-09</v>
      </c>
      <c r="G798" s="1"/>
      <c r="H798" s="163"/>
      <c r="I798" s="37"/>
      <c r="J798" s="138">
        <f t="shared" si="64"/>
        <v>0.77968490742404351</v>
      </c>
      <c r="K798" s="114"/>
      <c r="L798" s="37">
        <v>6.8845960094900001</v>
      </c>
      <c r="M798" s="37" t="s">
        <v>142</v>
      </c>
      <c r="N798" s="37">
        <v>470.74786858536584</v>
      </c>
      <c r="O798" s="132">
        <f t="shared" ref="O798:O861" si="65">IF(N798="","-",L798*N798)</f>
        <v>3240.9088975387326</v>
      </c>
      <c r="P798" s="134">
        <f t="shared" ref="P798:P861" si="66">IF(O798="-","-",IF(OR(E798&lt;$E$15,E798&gt;$E$16),0,O798*J798))*Q798</f>
        <v>2526.8877537472458</v>
      </c>
      <c r="Q798" s="261">
        <v>1</v>
      </c>
      <c r="R798" s="94"/>
    </row>
    <row r="799" spans="1:18" x14ac:dyDescent="0.25">
      <c r="A799" s="367">
        <v>38847</v>
      </c>
      <c r="B799" s="367" t="s">
        <v>279</v>
      </c>
      <c r="C799" s="279" t="s">
        <v>551</v>
      </c>
      <c r="D799" s="159" t="s">
        <v>1012</v>
      </c>
      <c r="E799" s="45">
        <f t="shared" si="62"/>
        <v>38847</v>
      </c>
      <c r="F799" s="148" t="str">
        <f t="shared" si="63"/>
        <v>2005-06</v>
      </c>
      <c r="G799" s="1"/>
      <c r="H799" s="163"/>
      <c r="I799" s="37"/>
      <c r="J799" s="138">
        <f t="shared" si="64"/>
        <v>0.77968490742404351</v>
      </c>
      <c r="K799" s="114"/>
      <c r="L799" s="37">
        <v>2.8992421423499999</v>
      </c>
      <c r="M799" s="37" t="s">
        <v>142</v>
      </c>
      <c r="N799" s="37">
        <v>470.74786858536584</v>
      </c>
      <c r="O799" s="132">
        <f t="shared" si="65"/>
        <v>1364.8120590241322</v>
      </c>
      <c r="P799" s="134">
        <f t="shared" si="66"/>
        <v>776.65443027796766</v>
      </c>
      <c r="Q799" s="261">
        <v>0.72985375251773366</v>
      </c>
      <c r="R799" s="94"/>
    </row>
    <row r="800" spans="1:18" x14ac:dyDescent="0.25">
      <c r="A800" s="367">
        <v>38847</v>
      </c>
      <c r="B800" s="367" t="s">
        <v>279</v>
      </c>
      <c r="C800" s="279" t="s">
        <v>551</v>
      </c>
      <c r="D800" s="159" t="s">
        <v>1012</v>
      </c>
      <c r="E800" s="45">
        <f t="shared" si="62"/>
        <v>38847</v>
      </c>
      <c r="F800" s="148" t="str">
        <f t="shared" si="63"/>
        <v>2005-06</v>
      </c>
      <c r="G800" s="1"/>
      <c r="H800" s="163"/>
      <c r="I800" s="37"/>
      <c r="J800" s="138">
        <f t="shared" si="64"/>
        <v>0.77968490742404351</v>
      </c>
      <c r="K800" s="114"/>
      <c r="L800" s="37">
        <v>82.742298119200001</v>
      </c>
      <c r="M800" s="37" t="s">
        <v>142</v>
      </c>
      <c r="N800" s="37">
        <v>470.74786858536584</v>
      </c>
      <c r="O800" s="132">
        <f t="shared" si="65"/>
        <v>38950.760481468322</v>
      </c>
      <c r="P800" s="134">
        <f t="shared" si="66"/>
        <v>22165.162221865641</v>
      </c>
      <c r="Q800" s="261">
        <v>0.72985375251773366</v>
      </c>
      <c r="R800" s="94"/>
    </row>
    <row r="801" spans="1:18" x14ac:dyDescent="0.25">
      <c r="A801" s="367">
        <v>38847</v>
      </c>
      <c r="B801" s="367" t="s">
        <v>279</v>
      </c>
      <c r="C801" s="279" t="s">
        <v>551</v>
      </c>
      <c r="D801" s="159" t="s">
        <v>1012</v>
      </c>
      <c r="E801" s="45">
        <f t="shared" si="62"/>
        <v>38847</v>
      </c>
      <c r="F801" s="148" t="str">
        <f t="shared" si="63"/>
        <v>2005-06</v>
      </c>
      <c r="G801" s="1"/>
      <c r="H801" s="163"/>
      <c r="I801" s="37"/>
      <c r="J801" s="138">
        <f t="shared" si="64"/>
        <v>0.77968490742404351</v>
      </c>
      <c r="K801" s="114"/>
      <c r="L801" s="37">
        <v>2.6994112321000001</v>
      </c>
      <c r="M801" s="37" t="s">
        <v>142</v>
      </c>
      <c r="N801" s="37">
        <v>470.74786858536584</v>
      </c>
      <c r="O801" s="132">
        <f t="shared" si="65"/>
        <v>1270.7420839464714</v>
      </c>
      <c r="P801" s="134">
        <f t="shared" si="66"/>
        <v>723.12335072959195</v>
      </c>
      <c r="Q801" s="261">
        <v>0.72985375251773366</v>
      </c>
      <c r="R801" s="94"/>
    </row>
    <row r="802" spans="1:18" x14ac:dyDescent="0.25">
      <c r="A802" s="367">
        <v>38847</v>
      </c>
      <c r="B802" s="367" t="s">
        <v>279</v>
      </c>
      <c r="C802" s="279" t="s">
        <v>551</v>
      </c>
      <c r="D802" s="159" t="s">
        <v>1012</v>
      </c>
      <c r="E802" s="45">
        <f t="shared" si="62"/>
        <v>38847</v>
      </c>
      <c r="F802" s="148" t="str">
        <f t="shared" si="63"/>
        <v>2005-06</v>
      </c>
      <c r="G802" s="1"/>
      <c r="H802" s="163"/>
      <c r="I802" s="37"/>
      <c r="J802" s="138">
        <f t="shared" si="64"/>
        <v>0.77968490742404351</v>
      </c>
      <c r="K802" s="114"/>
      <c r="L802" s="37">
        <v>2.8979242571200001</v>
      </c>
      <c r="M802" s="37" t="s">
        <v>142</v>
      </c>
      <c r="N802" s="37">
        <v>470.74786858536584</v>
      </c>
      <c r="O802" s="132">
        <f t="shared" si="65"/>
        <v>1364.1916673610697</v>
      </c>
      <c r="P802" s="134">
        <f t="shared" si="66"/>
        <v>776.30139270738107</v>
      </c>
      <c r="Q802" s="261">
        <v>0.72985375251773366</v>
      </c>
      <c r="R802" s="94"/>
    </row>
    <row r="803" spans="1:18" x14ac:dyDescent="0.25">
      <c r="A803" s="367">
        <v>39539</v>
      </c>
      <c r="B803" s="367" t="s">
        <v>279</v>
      </c>
      <c r="C803" s="279" t="s">
        <v>552</v>
      </c>
      <c r="D803" s="159" t="s">
        <v>1013</v>
      </c>
      <c r="E803" s="45">
        <f t="shared" si="62"/>
        <v>39539</v>
      </c>
      <c r="F803" s="148" t="str">
        <f t="shared" si="63"/>
        <v>2007-08</v>
      </c>
      <c r="G803" s="1"/>
      <c r="H803" s="163"/>
      <c r="I803" s="37"/>
      <c r="J803" s="138">
        <f t="shared" si="64"/>
        <v>0.77968490742404351</v>
      </c>
      <c r="K803" s="114"/>
      <c r="L803" s="37">
        <v>21.167223659099999</v>
      </c>
      <c r="M803" s="37" t="s">
        <v>142</v>
      </c>
      <c r="N803" s="37">
        <v>514.18436487804865</v>
      </c>
      <c r="O803" s="132">
        <f t="shared" si="65"/>
        <v>10883.855453385939</v>
      </c>
      <c r="P803" s="134">
        <f t="shared" si="66"/>
        <v>8485.9778315898875</v>
      </c>
      <c r="Q803" s="261">
        <v>1</v>
      </c>
      <c r="R803" s="94"/>
    </row>
    <row r="804" spans="1:18" x14ac:dyDescent="0.25">
      <c r="A804" s="367">
        <v>39539</v>
      </c>
      <c r="B804" s="367" t="s">
        <v>279</v>
      </c>
      <c r="C804" s="279" t="s">
        <v>552</v>
      </c>
      <c r="D804" s="159" t="s">
        <v>1013</v>
      </c>
      <c r="E804" s="45">
        <f t="shared" si="62"/>
        <v>39539</v>
      </c>
      <c r="F804" s="148" t="str">
        <f t="shared" si="63"/>
        <v>2007-08</v>
      </c>
      <c r="G804" s="1"/>
      <c r="H804" s="163"/>
      <c r="I804" s="37"/>
      <c r="J804" s="138">
        <f t="shared" si="64"/>
        <v>0.77968490742404351</v>
      </c>
      <c r="K804" s="114"/>
      <c r="L804" s="37">
        <v>21.571841973200002</v>
      </c>
      <c r="M804" s="37" t="s">
        <v>142</v>
      </c>
      <c r="N804" s="37">
        <v>514.18436487804865</v>
      </c>
      <c r="O804" s="132">
        <f t="shared" si="65"/>
        <v>11091.903864239475</v>
      </c>
      <c r="P804" s="134">
        <f t="shared" si="66"/>
        <v>8648.1900375459463</v>
      </c>
      <c r="Q804" s="261">
        <v>1</v>
      </c>
      <c r="R804" s="94"/>
    </row>
    <row r="805" spans="1:18" x14ac:dyDescent="0.25">
      <c r="A805" s="367">
        <v>39539</v>
      </c>
      <c r="B805" s="367" t="s">
        <v>279</v>
      </c>
      <c r="C805" s="279" t="s">
        <v>552</v>
      </c>
      <c r="D805" s="159" t="s">
        <v>1013</v>
      </c>
      <c r="E805" s="45">
        <f t="shared" si="62"/>
        <v>39539</v>
      </c>
      <c r="F805" s="148" t="str">
        <f t="shared" si="63"/>
        <v>2007-08</v>
      </c>
      <c r="G805" s="1"/>
      <c r="H805" s="163"/>
      <c r="I805" s="37"/>
      <c r="J805" s="138">
        <f t="shared" si="64"/>
        <v>0.77968490742404351</v>
      </c>
      <c r="K805" s="114"/>
      <c r="L805" s="37">
        <v>1.5001256614</v>
      </c>
      <c r="M805" s="37" t="s">
        <v>142</v>
      </c>
      <c r="N805" s="37">
        <v>470.74786858536584</v>
      </c>
      <c r="O805" s="132">
        <f t="shared" si="65"/>
        <v>706.18095771426226</v>
      </c>
      <c r="P805" s="134">
        <f t="shared" si="66"/>
        <v>550.59863464006696</v>
      </c>
      <c r="Q805" s="261">
        <v>1</v>
      </c>
      <c r="R805" s="94"/>
    </row>
    <row r="806" spans="1:18" x14ac:dyDescent="0.25">
      <c r="A806" s="367">
        <v>40017</v>
      </c>
      <c r="B806" s="367" t="s">
        <v>279</v>
      </c>
      <c r="C806" s="279" t="s">
        <v>553</v>
      </c>
      <c r="D806" s="159" t="s">
        <v>957</v>
      </c>
      <c r="E806" s="45">
        <f t="shared" si="62"/>
        <v>40017</v>
      </c>
      <c r="F806" s="148" t="str">
        <f t="shared" si="63"/>
        <v>2009-10</v>
      </c>
      <c r="G806" s="1"/>
      <c r="H806" s="163"/>
      <c r="I806" s="37"/>
      <c r="J806" s="138">
        <f t="shared" si="64"/>
        <v>0.77968490742404351</v>
      </c>
      <c r="K806" s="114"/>
      <c r="L806" s="37">
        <v>106.47592512200001</v>
      </c>
      <c r="M806" s="37" t="s">
        <v>142</v>
      </c>
      <c r="N806" s="37">
        <v>514.18436487804865</v>
      </c>
      <c r="O806" s="132">
        <f t="shared" si="65"/>
        <v>54748.255933658242</v>
      </c>
      <c r="P806" s="134">
        <f t="shared" si="66"/>
        <v>30608.632851745264</v>
      </c>
      <c r="Q806" s="261">
        <v>0.71705838019380153</v>
      </c>
      <c r="R806" s="94"/>
    </row>
    <row r="807" spans="1:18" x14ac:dyDescent="0.25">
      <c r="A807" s="367">
        <v>40017</v>
      </c>
      <c r="B807" s="367" t="s">
        <v>279</v>
      </c>
      <c r="C807" s="279" t="s">
        <v>553</v>
      </c>
      <c r="D807" s="159" t="s">
        <v>957</v>
      </c>
      <c r="E807" s="45">
        <f t="shared" si="62"/>
        <v>40017</v>
      </c>
      <c r="F807" s="148" t="str">
        <f t="shared" si="63"/>
        <v>2009-10</v>
      </c>
      <c r="G807" s="1"/>
      <c r="H807" s="163"/>
      <c r="I807" s="37"/>
      <c r="J807" s="138">
        <f t="shared" si="64"/>
        <v>0.77968490742404351</v>
      </c>
      <c r="K807" s="114"/>
      <c r="L807" s="37">
        <v>35.962467412999999</v>
      </c>
      <c r="M807" s="37" t="s">
        <v>142</v>
      </c>
      <c r="N807" s="37">
        <v>514.18436487804865</v>
      </c>
      <c r="O807" s="132">
        <f t="shared" si="65"/>
        <v>18491.338466200927</v>
      </c>
      <c r="P807" s="134">
        <f t="shared" si="66"/>
        <v>10338.130053588342</v>
      </c>
      <c r="Q807" s="261">
        <v>0.71705838019380153</v>
      </c>
      <c r="R807" s="94"/>
    </row>
    <row r="808" spans="1:18" x14ac:dyDescent="0.25">
      <c r="A808" s="367">
        <v>40017</v>
      </c>
      <c r="B808" s="367" t="s">
        <v>279</v>
      </c>
      <c r="C808" s="279" t="s">
        <v>553</v>
      </c>
      <c r="D808" s="159" t="s">
        <v>957</v>
      </c>
      <c r="E808" s="45">
        <f t="shared" si="62"/>
        <v>40017</v>
      </c>
      <c r="F808" s="148" t="str">
        <f t="shared" si="63"/>
        <v>2009-10</v>
      </c>
      <c r="G808" s="1"/>
      <c r="H808" s="163"/>
      <c r="I808" s="37"/>
      <c r="J808" s="138">
        <f t="shared" si="64"/>
        <v>0.77968490742404351</v>
      </c>
      <c r="K808" s="114"/>
      <c r="L808" s="37">
        <v>4.25302245468</v>
      </c>
      <c r="M808" s="37" t="s">
        <v>142</v>
      </c>
      <c r="N808" s="37">
        <v>514.18436487804865</v>
      </c>
      <c r="O808" s="132">
        <f t="shared" si="65"/>
        <v>2186.8376496717151</v>
      </c>
      <c r="P808" s="134">
        <f t="shared" si="66"/>
        <v>1222.6163113996834</v>
      </c>
      <c r="Q808" s="261">
        <v>0.71705838019380153</v>
      </c>
      <c r="R808" s="94"/>
    </row>
    <row r="809" spans="1:18" x14ac:dyDescent="0.25">
      <c r="A809" s="367">
        <v>40017</v>
      </c>
      <c r="B809" s="367" t="s">
        <v>279</v>
      </c>
      <c r="C809" s="279" t="s">
        <v>553</v>
      </c>
      <c r="D809" s="159" t="s">
        <v>957</v>
      </c>
      <c r="E809" s="45">
        <f t="shared" si="62"/>
        <v>40017</v>
      </c>
      <c r="F809" s="148" t="str">
        <f t="shared" si="63"/>
        <v>2009-10</v>
      </c>
      <c r="G809" s="1"/>
      <c r="H809" s="163"/>
      <c r="I809" s="37"/>
      <c r="J809" s="138">
        <f t="shared" si="64"/>
        <v>0.77968490742404351</v>
      </c>
      <c r="K809" s="114"/>
      <c r="L809" s="37">
        <v>4.4801522295599998</v>
      </c>
      <c r="M809" s="37" t="s">
        <v>142</v>
      </c>
      <c r="N809" s="37">
        <v>798.44393414634135</v>
      </c>
      <c r="O809" s="132">
        <f t="shared" si="65"/>
        <v>3577.1503717443888</v>
      </c>
      <c r="P809" s="134">
        <f t="shared" si="66"/>
        <v>1999.9117874528415</v>
      </c>
      <c r="Q809" s="261">
        <v>0.71705838019380153</v>
      </c>
      <c r="R809" s="94"/>
    </row>
    <row r="810" spans="1:18" x14ac:dyDescent="0.25">
      <c r="A810" s="367">
        <v>40017</v>
      </c>
      <c r="B810" s="367" t="s">
        <v>279</v>
      </c>
      <c r="C810" s="279" t="s">
        <v>553</v>
      </c>
      <c r="D810" s="159" t="s">
        <v>957</v>
      </c>
      <c r="E810" s="45">
        <f t="shared" si="62"/>
        <v>40017</v>
      </c>
      <c r="F810" s="148" t="str">
        <f t="shared" si="63"/>
        <v>2009-10</v>
      </c>
      <c r="G810" s="1"/>
      <c r="H810" s="163"/>
      <c r="I810" s="37"/>
      <c r="J810" s="138">
        <f t="shared" si="64"/>
        <v>0.77968490742404351</v>
      </c>
      <c r="K810" s="114"/>
      <c r="L810" s="37">
        <v>1.5001683238900001</v>
      </c>
      <c r="M810" s="37" t="s">
        <v>142</v>
      </c>
      <c r="N810" s="37">
        <v>514.18436487804865</v>
      </c>
      <c r="O810" s="132">
        <f t="shared" si="65"/>
        <v>771.36309682954652</v>
      </c>
      <c r="P810" s="134">
        <f t="shared" si="66"/>
        <v>431.25336914569345</v>
      </c>
      <c r="Q810" s="261">
        <v>0.71705838019380153</v>
      </c>
      <c r="R810" s="94"/>
    </row>
    <row r="811" spans="1:18" x14ac:dyDescent="0.25">
      <c r="A811" s="367">
        <v>39978</v>
      </c>
      <c r="B811" s="367" t="s">
        <v>279</v>
      </c>
      <c r="C811" s="279" t="s">
        <v>548</v>
      </c>
      <c r="D811" s="159" t="s">
        <v>958</v>
      </c>
      <c r="E811" s="45">
        <f t="shared" si="62"/>
        <v>39978</v>
      </c>
      <c r="F811" s="148" t="str">
        <f t="shared" si="63"/>
        <v>2008-09</v>
      </c>
      <c r="G811" s="1"/>
      <c r="H811" s="163"/>
      <c r="I811" s="37"/>
      <c r="J811" s="138">
        <f t="shared" si="64"/>
        <v>0.77968490742404351</v>
      </c>
      <c r="K811" s="114"/>
      <c r="L811" s="37">
        <v>182.12681794599999</v>
      </c>
      <c r="M811" s="37" t="s">
        <v>142</v>
      </c>
      <c r="N811" s="37">
        <v>621.96155034146341</v>
      </c>
      <c r="O811" s="132">
        <f t="shared" si="65"/>
        <v>113275.87804845162</v>
      </c>
      <c r="P811" s="134">
        <f t="shared" si="66"/>
        <v>69710.791729514793</v>
      </c>
      <c r="Q811" s="261">
        <v>0.78930244914774594</v>
      </c>
      <c r="R811" s="94"/>
    </row>
    <row r="812" spans="1:18" x14ac:dyDescent="0.25">
      <c r="A812" s="367">
        <v>39978</v>
      </c>
      <c r="B812" s="367" t="s">
        <v>279</v>
      </c>
      <c r="C812" s="279" t="s">
        <v>548</v>
      </c>
      <c r="D812" s="159" t="s">
        <v>958</v>
      </c>
      <c r="E812" s="45">
        <f t="shared" si="62"/>
        <v>39978</v>
      </c>
      <c r="F812" s="148" t="str">
        <f t="shared" si="63"/>
        <v>2008-09</v>
      </c>
      <c r="G812" s="1"/>
      <c r="H812" s="163"/>
      <c r="I812" s="37"/>
      <c r="J812" s="138">
        <f t="shared" si="64"/>
        <v>0.77968490742404351</v>
      </c>
      <c r="K812" s="114"/>
      <c r="L812" s="37">
        <v>56.803245235299997</v>
      </c>
      <c r="M812" s="37" t="s">
        <v>142</v>
      </c>
      <c r="N812" s="37">
        <v>621.96155034146341</v>
      </c>
      <c r="O812" s="132">
        <f t="shared" si="65"/>
        <v>35329.434470973531</v>
      </c>
      <c r="P812" s="134">
        <f t="shared" si="66"/>
        <v>21741.988592435733</v>
      </c>
      <c r="Q812" s="261">
        <v>0.78930244914774594</v>
      </c>
      <c r="R812" s="94"/>
    </row>
    <row r="813" spans="1:18" x14ac:dyDescent="0.25">
      <c r="A813" s="367">
        <v>39978</v>
      </c>
      <c r="B813" s="367" t="s">
        <v>279</v>
      </c>
      <c r="C813" s="279" t="s">
        <v>548</v>
      </c>
      <c r="D813" s="159" t="s">
        <v>958</v>
      </c>
      <c r="E813" s="45">
        <f t="shared" si="62"/>
        <v>39978</v>
      </c>
      <c r="F813" s="148" t="str">
        <f t="shared" si="63"/>
        <v>2008-09</v>
      </c>
      <c r="G813" s="1"/>
      <c r="H813" s="163"/>
      <c r="I813" s="37"/>
      <c r="J813" s="138">
        <f t="shared" si="64"/>
        <v>0.77968490742404351</v>
      </c>
      <c r="K813" s="114"/>
      <c r="L813" s="37">
        <v>11.515754533100001</v>
      </c>
      <c r="M813" s="37" t="s">
        <v>142</v>
      </c>
      <c r="N813" s="37">
        <v>621.96155034146341</v>
      </c>
      <c r="O813" s="132">
        <f t="shared" si="65"/>
        <v>7162.3565427586118</v>
      </c>
      <c r="P813" s="134">
        <f t="shared" si="66"/>
        <v>4407.7658354694886</v>
      </c>
      <c r="Q813" s="261">
        <v>0.78930244914774594</v>
      </c>
      <c r="R813" s="94"/>
    </row>
    <row r="814" spans="1:18" x14ac:dyDescent="0.25">
      <c r="A814" s="367">
        <v>43033</v>
      </c>
      <c r="B814" s="367" t="s">
        <v>279</v>
      </c>
      <c r="C814" s="279" t="s">
        <v>554</v>
      </c>
      <c r="D814" s="159" t="s">
        <v>966</v>
      </c>
      <c r="E814" s="45">
        <f t="shared" si="62"/>
        <v>43033</v>
      </c>
      <c r="F814" s="148" t="str">
        <f t="shared" si="63"/>
        <v>2017-18</v>
      </c>
      <c r="G814" s="1"/>
      <c r="H814" s="163"/>
      <c r="I814" s="37"/>
      <c r="J814" s="138">
        <f t="shared" si="64"/>
        <v>0.77968490742404351</v>
      </c>
      <c r="K814" s="114"/>
      <c r="L814" s="37">
        <v>58.198295459100002</v>
      </c>
      <c r="M814" s="37" t="s">
        <v>142</v>
      </c>
      <c r="N814" s="37">
        <v>621.96155034146341</v>
      </c>
      <c r="O814" s="132">
        <f t="shared" si="65"/>
        <v>36197.102070972389</v>
      </c>
      <c r="P814" s="134">
        <f t="shared" si="66"/>
        <v>20692.56364510236</v>
      </c>
      <c r="Q814" s="261">
        <v>0.73319816550826344</v>
      </c>
      <c r="R814" s="94"/>
    </row>
    <row r="815" spans="1:18" x14ac:dyDescent="0.25">
      <c r="A815" s="367">
        <v>42227</v>
      </c>
      <c r="B815" s="367" t="s">
        <v>279</v>
      </c>
      <c r="C815" s="279" t="s">
        <v>555</v>
      </c>
      <c r="D815" s="159" t="s">
        <v>966</v>
      </c>
      <c r="E815" s="45">
        <f t="shared" si="62"/>
        <v>42227</v>
      </c>
      <c r="F815" s="148" t="str">
        <f t="shared" si="63"/>
        <v>2015-16</v>
      </c>
      <c r="G815" s="1"/>
      <c r="H815" s="163"/>
      <c r="I815" s="37"/>
      <c r="J815" s="138">
        <f t="shared" si="64"/>
        <v>0.77968490742404351</v>
      </c>
      <c r="K815" s="114"/>
      <c r="L815" s="37">
        <v>1.79938017171</v>
      </c>
      <c r="M815" s="37" t="s">
        <v>142</v>
      </c>
      <c r="N815" s="37">
        <v>621.96155034146341</v>
      </c>
      <c r="O815" s="132">
        <f t="shared" si="65"/>
        <v>1119.1452812504401</v>
      </c>
      <c r="P815" s="134">
        <f t="shared" si="66"/>
        <v>809.16111973564432</v>
      </c>
      <c r="Q815" s="261">
        <v>0.92731954034744835</v>
      </c>
      <c r="R815" s="94"/>
    </row>
    <row r="816" spans="1:18" x14ac:dyDescent="0.25">
      <c r="A816" s="367">
        <v>42227</v>
      </c>
      <c r="B816" s="367" t="s">
        <v>279</v>
      </c>
      <c r="C816" s="279" t="s">
        <v>555</v>
      </c>
      <c r="D816" s="159" t="s">
        <v>966</v>
      </c>
      <c r="E816" s="45">
        <f t="shared" si="62"/>
        <v>42227</v>
      </c>
      <c r="F816" s="148" t="str">
        <f t="shared" si="63"/>
        <v>2015-16</v>
      </c>
      <c r="G816" s="1"/>
      <c r="H816" s="163"/>
      <c r="I816" s="37"/>
      <c r="J816" s="138">
        <f t="shared" si="64"/>
        <v>0.77968490742404351</v>
      </c>
      <c r="K816" s="114"/>
      <c r="L816" s="37">
        <v>65.985240966800006</v>
      </c>
      <c r="M816" s="37" t="s">
        <v>142</v>
      </c>
      <c r="N816" s="37">
        <v>621.96155034146341</v>
      </c>
      <c r="O816" s="132">
        <f t="shared" si="65"/>
        <v>41040.282771365979</v>
      </c>
      <c r="P816" s="134">
        <f t="shared" si="66"/>
        <v>29672.824179218158</v>
      </c>
      <c r="Q816" s="261">
        <v>0.92731954034744835</v>
      </c>
      <c r="R816" s="94"/>
    </row>
    <row r="817" spans="1:18" x14ac:dyDescent="0.25">
      <c r="A817" s="367">
        <v>42227</v>
      </c>
      <c r="B817" s="367" t="s">
        <v>279</v>
      </c>
      <c r="C817" s="279" t="s">
        <v>555</v>
      </c>
      <c r="D817" s="159" t="s">
        <v>966</v>
      </c>
      <c r="E817" s="45">
        <f t="shared" si="62"/>
        <v>42227</v>
      </c>
      <c r="F817" s="148" t="str">
        <f t="shared" si="63"/>
        <v>2015-16</v>
      </c>
      <c r="G817" s="1"/>
      <c r="H817" s="163"/>
      <c r="I817" s="37"/>
      <c r="J817" s="138">
        <f t="shared" si="64"/>
        <v>0.77968490742404351</v>
      </c>
      <c r="K817" s="114"/>
      <c r="L817" s="37">
        <v>4.0996909652899998</v>
      </c>
      <c r="M817" s="37" t="s">
        <v>142</v>
      </c>
      <c r="N817" s="37">
        <v>621.96155034146341</v>
      </c>
      <c r="O817" s="132">
        <f t="shared" si="65"/>
        <v>2549.8501486926589</v>
      </c>
      <c r="P817" s="134">
        <f t="shared" si="66"/>
        <v>1843.5851323690149</v>
      </c>
      <c r="Q817" s="261">
        <v>0.92731954034744835</v>
      </c>
      <c r="R817" s="94"/>
    </row>
    <row r="818" spans="1:18" x14ac:dyDescent="0.25">
      <c r="A818" s="367">
        <v>42227</v>
      </c>
      <c r="B818" s="367" t="s">
        <v>279</v>
      </c>
      <c r="C818" s="279" t="s">
        <v>555</v>
      </c>
      <c r="D818" s="159" t="s">
        <v>966</v>
      </c>
      <c r="E818" s="45">
        <f t="shared" si="62"/>
        <v>42227</v>
      </c>
      <c r="F818" s="148" t="str">
        <f t="shared" si="63"/>
        <v>2015-16</v>
      </c>
      <c r="G818" s="1"/>
      <c r="H818" s="163"/>
      <c r="I818" s="37"/>
      <c r="J818" s="138">
        <f t="shared" si="64"/>
        <v>0.77968490742404351</v>
      </c>
      <c r="K818" s="114"/>
      <c r="L818" s="37">
        <v>5.99851664997</v>
      </c>
      <c r="M818" s="37" t="s">
        <v>142</v>
      </c>
      <c r="N818" s="37">
        <v>621.96155034146341</v>
      </c>
      <c r="O818" s="132">
        <f t="shared" si="65"/>
        <v>3730.8467153644224</v>
      </c>
      <c r="P818" s="134">
        <f t="shared" si="66"/>
        <v>2697.4657860267321</v>
      </c>
      <c r="Q818" s="261">
        <v>0.92731954034744835</v>
      </c>
      <c r="R818" s="94"/>
    </row>
    <row r="819" spans="1:18" x14ac:dyDescent="0.25">
      <c r="A819" s="367">
        <v>39068</v>
      </c>
      <c r="B819" s="367" t="s">
        <v>279</v>
      </c>
      <c r="C819" s="279" t="s">
        <v>556</v>
      </c>
      <c r="D819" s="159" t="s">
        <v>1014</v>
      </c>
      <c r="E819" s="45">
        <f t="shared" si="62"/>
        <v>39068</v>
      </c>
      <c r="F819" s="148" t="str">
        <f t="shared" si="63"/>
        <v>2006-07</v>
      </c>
      <c r="G819" s="1"/>
      <c r="H819" s="163"/>
      <c r="I819" s="37"/>
      <c r="J819" s="138">
        <f t="shared" si="64"/>
        <v>0.77968490742404351</v>
      </c>
      <c r="K819" s="114"/>
      <c r="L819" s="37">
        <v>110.186858379</v>
      </c>
      <c r="M819" s="37" t="s">
        <v>142</v>
      </c>
      <c r="N819" s="37">
        <v>621.96155034146341</v>
      </c>
      <c r="O819" s="132">
        <f t="shared" si="65"/>
        <v>68531.989264658114</v>
      </c>
      <c r="P819" s="134">
        <f t="shared" si="66"/>
        <v>53433.357705400507</v>
      </c>
      <c r="Q819" s="261">
        <v>1</v>
      </c>
      <c r="R819" s="94"/>
    </row>
    <row r="820" spans="1:18" x14ac:dyDescent="0.25">
      <c r="A820" s="367">
        <v>39068</v>
      </c>
      <c r="B820" s="367" t="s">
        <v>279</v>
      </c>
      <c r="C820" s="279" t="s">
        <v>556</v>
      </c>
      <c r="D820" s="159" t="s">
        <v>1014</v>
      </c>
      <c r="E820" s="45">
        <f t="shared" si="62"/>
        <v>39068</v>
      </c>
      <c r="F820" s="148" t="str">
        <f t="shared" si="63"/>
        <v>2006-07</v>
      </c>
      <c r="G820" s="1"/>
      <c r="H820" s="163"/>
      <c r="I820" s="37"/>
      <c r="J820" s="138">
        <f t="shared" si="64"/>
        <v>0.77968490742404351</v>
      </c>
      <c r="K820" s="114"/>
      <c r="L820" s="37">
        <v>8.2728121320299994</v>
      </c>
      <c r="M820" s="37" t="s">
        <v>142</v>
      </c>
      <c r="N820" s="37">
        <v>621.96155034146341</v>
      </c>
      <c r="O820" s="132">
        <f t="shared" si="65"/>
        <v>5145.3710593210453</v>
      </c>
      <c r="P820" s="134">
        <f t="shared" si="66"/>
        <v>4011.7681580490821</v>
      </c>
      <c r="Q820" s="261">
        <v>1</v>
      </c>
      <c r="R820" s="94"/>
    </row>
    <row r="821" spans="1:18" x14ac:dyDescent="0.25">
      <c r="A821" s="367">
        <v>43910</v>
      </c>
      <c r="B821" s="367" t="s">
        <v>279</v>
      </c>
      <c r="C821" s="279" t="s">
        <v>557</v>
      </c>
      <c r="D821" s="159" t="s">
        <v>966</v>
      </c>
      <c r="E821" s="45">
        <f t="shared" si="62"/>
        <v>43910</v>
      </c>
      <c r="F821" s="148" t="str">
        <f t="shared" si="63"/>
        <v>2019-20</v>
      </c>
      <c r="G821" s="1"/>
      <c r="H821" s="163"/>
      <c r="I821" s="37"/>
      <c r="J821" s="138">
        <f t="shared" si="64"/>
        <v>0.77968490742404351</v>
      </c>
      <c r="K821" s="114"/>
      <c r="L821" s="37">
        <v>8.0982757149999998</v>
      </c>
      <c r="M821" s="37" t="s">
        <v>142</v>
      </c>
      <c r="N821" s="37">
        <v>621.96155034146341</v>
      </c>
      <c r="O821" s="132">
        <f t="shared" si="65"/>
        <v>5036.8161187940232</v>
      </c>
      <c r="P821" s="134">
        <f t="shared" si="66"/>
        <v>2565.8210533993079</v>
      </c>
      <c r="Q821" s="261">
        <v>0.65335789087859186</v>
      </c>
      <c r="R821" s="94"/>
    </row>
    <row r="822" spans="1:18" x14ac:dyDescent="0.25">
      <c r="A822" s="367">
        <v>43910</v>
      </c>
      <c r="B822" s="367" t="s">
        <v>279</v>
      </c>
      <c r="C822" s="279" t="s">
        <v>557</v>
      </c>
      <c r="D822" s="159" t="s">
        <v>966</v>
      </c>
      <c r="E822" s="45">
        <f t="shared" si="62"/>
        <v>43910</v>
      </c>
      <c r="F822" s="148" t="str">
        <f t="shared" si="63"/>
        <v>2019-20</v>
      </c>
      <c r="G822" s="1"/>
      <c r="H822" s="163"/>
      <c r="I822" s="37"/>
      <c r="J822" s="138">
        <f t="shared" si="64"/>
        <v>0.77968490742404351</v>
      </c>
      <c r="K822" s="114"/>
      <c r="L822" s="37">
        <v>0.947857056734</v>
      </c>
      <c r="M822" s="37" t="s">
        <v>142</v>
      </c>
      <c r="N822" s="37">
        <v>514.18436487804865</v>
      </c>
      <c r="O822" s="132">
        <f t="shared" si="65"/>
        <v>487.37327871194833</v>
      </c>
      <c r="P822" s="134">
        <f t="shared" si="66"/>
        <v>248.27442374107932</v>
      </c>
      <c r="Q822" s="261">
        <v>0.65335789087859186</v>
      </c>
      <c r="R822" s="94"/>
    </row>
    <row r="823" spans="1:18" x14ac:dyDescent="0.25">
      <c r="A823" s="367">
        <v>43910</v>
      </c>
      <c r="B823" s="367" t="s">
        <v>279</v>
      </c>
      <c r="C823" s="279" t="s">
        <v>557</v>
      </c>
      <c r="D823" s="159" t="s">
        <v>966</v>
      </c>
      <c r="E823" s="45">
        <f t="shared" si="62"/>
        <v>43910</v>
      </c>
      <c r="F823" s="148" t="str">
        <f t="shared" si="63"/>
        <v>2019-20</v>
      </c>
      <c r="G823" s="1"/>
      <c r="H823" s="163"/>
      <c r="I823" s="37"/>
      <c r="J823" s="138">
        <f t="shared" si="64"/>
        <v>0.77968490742404351</v>
      </c>
      <c r="K823" s="114"/>
      <c r="L823" s="37">
        <v>66.648532633399995</v>
      </c>
      <c r="M823" s="37" t="s">
        <v>142</v>
      </c>
      <c r="N823" s="37">
        <v>621.96155034146341</v>
      </c>
      <c r="O823" s="132">
        <f t="shared" si="65"/>
        <v>41452.824684653075</v>
      </c>
      <c r="P823" s="134">
        <f t="shared" si="66"/>
        <v>21116.619664134087</v>
      </c>
      <c r="Q823" s="261">
        <v>0.65335789087859186</v>
      </c>
      <c r="R823" s="94"/>
    </row>
    <row r="824" spans="1:18" x14ac:dyDescent="0.25">
      <c r="A824" s="367">
        <v>43910</v>
      </c>
      <c r="B824" s="367" t="s">
        <v>279</v>
      </c>
      <c r="C824" s="279" t="s">
        <v>557</v>
      </c>
      <c r="D824" s="159" t="s">
        <v>966</v>
      </c>
      <c r="E824" s="45">
        <f t="shared" si="62"/>
        <v>43910</v>
      </c>
      <c r="F824" s="148" t="str">
        <f t="shared" si="63"/>
        <v>2019-20</v>
      </c>
      <c r="G824" s="1"/>
      <c r="H824" s="163"/>
      <c r="I824" s="37"/>
      <c r="J824" s="138">
        <f t="shared" si="64"/>
        <v>0.77968490742404351</v>
      </c>
      <c r="K824" s="114"/>
      <c r="L824" s="37">
        <v>8.3531815396799995</v>
      </c>
      <c r="M824" s="37" t="s">
        <v>142</v>
      </c>
      <c r="N824" s="37">
        <v>514.18436487804865</v>
      </c>
      <c r="O824" s="132">
        <f t="shared" si="65"/>
        <v>4295.0753446914014</v>
      </c>
      <c r="P824" s="134">
        <f t="shared" si="66"/>
        <v>2187.9684478106628</v>
      </c>
      <c r="Q824" s="261">
        <v>0.65335789087859186</v>
      </c>
      <c r="R824" s="94"/>
    </row>
    <row r="825" spans="1:18" x14ac:dyDescent="0.25">
      <c r="A825" s="367">
        <v>40164</v>
      </c>
      <c r="B825" s="367" t="s">
        <v>279</v>
      </c>
      <c r="C825" s="279" t="s">
        <v>558</v>
      </c>
      <c r="D825" s="159" t="s">
        <v>992</v>
      </c>
      <c r="E825" s="45">
        <f t="shared" si="62"/>
        <v>40164</v>
      </c>
      <c r="F825" s="148" t="str">
        <f t="shared" si="63"/>
        <v>2009-10</v>
      </c>
      <c r="G825" s="1"/>
      <c r="H825" s="163"/>
      <c r="I825" s="37"/>
      <c r="J825" s="138">
        <f t="shared" si="64"/>
        <v>0.77968490742404351</v>
      </c>
      <c r="K825" s="114"/>
      <c r="L825" s="37">
        <v>43.677397276000001</v>
      </c>
      <c r="M825" s="37" t="s">
        <v>142</v>
      </c>
      <c r="N825" s="37">
        <v>470.74786858536584</v>
      </c>
      <c r="O825" s="132">
        <f t="shared" si="65"/>
        <v>20561.041673033265</v>
      </c>
      <c r="P825" s="134">
        <f t="shared" si="66"/>
        <v>11266.475614781848</v>
      </c>
      <c r="Q825" s="261">
        <v>0.70278719545156132</v>
      </c>
      <c r="R825" s="94"/>
    </row>
    <row r="826" spans="1:18" x14ac:dyDescent="0.25">
      <c r="A826" s="367">
        <v>42145</v>
      </c>
      <c r="B826" s="367" t="s">
        <v>279</v>
      </c>
      <c r="C826" s="279" t="s">
        <v>559</v>
      </c>
      <c r="D826" s="159" t="s">
        <v>1015</v>
      </c>
      <c r="E826" s="45">
        <f t="shared" si="62"/>
        <v>42145</v>
      </c>
      <c r="F826" s="148" t="str">
        <f t="shared" si="63"/>
        <v>2014-15</v>
      </c>
      <c r="G826" s="1"/>
      <c r="H826" s="163"/>
      <c r="I826" s="37"/>
      <c r="J826" s="138">
        <f t="shared" si="64"/>
        <v>0.77968490742404351</v>
      </c>
      <c r="K826" s="114"/>
      <c r="L826" s="37">
        <v>259.92711325499999</v>
      </c>
      <c r="M826" s="37" t="s">
        <v>142</v>
      </c>
      <c r="N826" s="37">
        <v>621.96155034146341</v>
      </c>
      <c r="O826" s="132">
        <f t="shared" si="65"/>
        <v>161664.67033586095</v>
      </c>
      <c r="P826" s="134">
        <f t="shared" si="66"/>
        <v>100216.67642453696</v>
      </c>
      <c r="Q826" s="261">
        <v>0.79507069654112261</v>
      </c>
      <c r="R826" s="94"/>
    </row>
    <row r="827" spans="1:18" x14ac:dyDescent="0.25">
      <c r="A827" s="367">
        <v>42145</v>
      </c>
      <c r="B827" s="367" t="s">
        <v>279</v>
      </c>
      <c r="C827" s="279" t="s">
        <v>559</v>
      </c>
      <c r="D827" s="159" t="s">
        <v>1015</v>
      </c>
      <c r="E827" s="45">
        <f t="shared" si="62"/>
        <v>42145</v>
      </c>
      <c r="F827" s="148" t="str">
        <f t="shared" si="63"/>
        <v>2014-15</v>
      </c>
      <c r="G827" s="1"/>
      <c r="H827" s="163"/>
      <c r="I827" s="37"/>
      <c r="J827" s="138">
        <f t="shared" si="64"/>
        <v>0.77968490742404351</v>
      </c>
      <c r="K827" s="114"/>
      <c r="L827" s="37">
        <v>2.4524895514599998</v>
      </c>
      <c r="M827" s="37" t="s">
        <v>142</v>
      </c>
      <c r="N827" s="37">
        <v>470.74786858536584</v>
      </c>
      <c r="O827" s="132">
        <f t="shared" si="65"/>
        <v>1154.5042290776748</v>
      </c>
      <c r="P827" s="134">
        <f t="shared" si="66"/>
        <v>715.68250821819652</v>
      </c>
      <c r="Q827" s="261">
        <v>0.79507069654112261</v>
      </c>
      <c r="R827" s="94"/>
    </row>
    <row r="828" spans="1:18" x14ac:dyDescent="0.25">
      <c r="A828" s="367">
        <v>42145</v>
      </c>
      <c r="B828" s="367" t="s">
        <v>279</v>
      </c>
      <c r="C828" s="279" t="s">
        <v>559</v>
      </c>
      <c r="D828" s="159" t="s">
        <v>1015</v>
      </c>
      <c r="E828" s="45">
        <f t="shared" si="62"/>
        <v>42145</v>
      </c>
      <c r="F828" s="148" t="str">
        <f t="shared" si="63"/>
        <v>2014-15</v>
      </c>
      <c r="G828" s="1"/>
      <c r="H828" s="163"/>
      <c r="I828" s="37"/>
      <c r="J828" s="138">
        <f t="shared" si="64"/>
        <v>0.77968490742404351</v>
      </c>
      <c r="K828" s="114"/>
      <c r="L828" s="37">
        <v>1.69234157309</v>
      </c>
      <c r="M828" s="37" t="s">
        <v>142</v>
      </c>
      <c r="N828" s="37">
        <v>621.96155034146341</v>
      </c>
      <c r="O828" s="132">
        <f t="shared" si="65"/>
        <v>1052.5713885063674</v>
      </c>
      <c r="P828" s="134">
        <f t="shared" si="66"/>
        <v>652.49386917080267</v>
      </c>
      <c r="Q828" s="261">
        <v>0.79507069654112261</v>
      </c>
      <c r="R828" s="94"/>
    </row>
    <row r="829" spans="1:18" x14ac:dyDescent="0.25">
      <c r="A829" s="367">
        <v>42145</v>
      </c>
      <c r="B829" s="367" t="s">
        <v>279</v>
      </c>
      <c r="C829" s="279" t="s">
        <v>559</v>
      </c>
      <c r="D829" s="159" t="s">
        <v>1015</v>
      </c>
      <c r="E829" s="45">
        <f t="shared" si="62"/>
        <v>42145</v>
      </c>
      <c r="F829" s="148" t="str">
        <f t="shared" si="63"/>
        <v>2014-15</v>
      </c>
      <c r="G829" s="1"/>
      <c r="H829" s="163"/>
      <c r="I829" s="37"/>
      <c r="J829" s="138">
        <f t="shared" si="64"/>
        <v>0.77968490742404351</v>
      </c>
      <c r="K829" s="114"/>
      <c r="L829" s="37">
        <v>13.044333698399999</v>
      </c>
      <c r="M829" s="37" t="s">
        <v>142</v>
      </c>
      <c r="N829" s="37">
        <v>621.96155034146341</v>
      </c>
      <c r="O829" s="132">
        <f t="shared" si="65"/>
        <v>8113.0740102282589</v>
      </c>
      <c r="P829" s="134">
        <f t="shared" si="66"/>
        <v>5029.332081042875</v>
      </c>
      <c r="Q829" s="261">
        <v>0.79507069654112261</v>
      </c>
      <c r="R829" s="94"/>
    </row>
    <row r="830" spans="1:18" x14ac:dyDescent="0.25">
      <c r="A830" s="367">
        <v>39398</v>
      </c>
      <c r="B830" s="367" t="s">
        <v>279</v>
      </c>
      <c r="C830" s="279" t="s">
        <v>560</v>
      </c>
      <c r="D830" s="159" t="s">
        <v>1016</v>
      </c>
      <c r="E830" s="45">
        <f t="shared" si="62"/>
        <v>39398</v>
      </c>
      <c r="F830" s="148" t="str">
        <f t="shared" si="63"/>
        <v>2007-08</v>
      </c>
      <c r="G830" s="1"/>
      <c r="H830" s="163"/>
      <c r="I830" s="37"/>
      <c r="J830" s="138">
        <f t="shared" si="64"/>
        <v>0.77968490742404351</v>
      </c>
      <c r="K830" s="114"/>
      <c r="L830" s="37">
        <v>194.28676660400001</v>
      </c>
      <c r="M830" s="37" t="s">
        <v>142</v>
      </c>
      <c r="N830" s="37">
        <v>514.18436487804865</v>
      </c>
      <c r="O830" s="132">
        <f t="shared" si="65"/>
        <v>99899.217690487421</v>
      </c>
      <c r="P830" s="134">
        <f t="shared" si="66"/>
        <v>72027.072292198398</v>
      </c>
      <c r="Q830" s="261">
        <v>0.92472914872201117</v>
      </c>
      <c r="R830" s="94"/>
    </row>
    <row r="831" spans="1:18" x14ac:dyDescent="0.25">
      <c r="A831" s="367">
        <v>39398</v>
      </c>
      <c r="B831" s="367" t="s">
        <v>279</v>
      </c>
      <c r="C831" s="279" t="s">
        <v>560</v>
      </c>
      <c r="D831" s="159" t="s">
        <v>1016</v>
      </c>
      <c r="E831" s="45">
        <f t="shared" si="62"/>
        <v>39398</v>
      </c>
      <c r="F831" s="148" t="str">
        <f t="shared" si="63"/>
        <v>2007-08</v>
      </c>
      <c r="G831" s="1"/>
      <c r="H831" s="163"/>
      <c r="I831" s="37"/>
      <c r="J831" s="138">
        <f t="shared" si="64"/>
        <v>0.77968490742404351</v>
      </c>
      <c r="K831" s="114"/>
      <c r="L831" s="37">
        <v>136.98264401599999</v>
      </c>
      <c r="M831" s="37" t="s">
        <v>142</v>
      </c>
      <c r="N831" s="37">
        <v>514.18436487804865</v>
      </c>
      <c r="O831" s="132">
        <f t="shared" si="65"/>
        <v>70434.333812682788</v>
      </c>
      <c r="P831" s="134">
        <f t="shared" si="66"/>
        <v>50782.968782567492</v>
      </c>
      <c r="Q831" s="261">
        <v>0.92472914872201117</v>
      </c>
      <c r="R831" s="94"/>
    </row>
    <row r="832" spans="1:18" x14ac:dyDescent="0.25">
      <c r="A832" s="367">
        <v>39398</v>
      </c>
      <c r="B832" s="367" t="s">
        <v>279</v>
      </c>
      <c r="C832" s="279" t="s">
        <v>560</v>
      </c>
      <c r="D832" s="159" t="s">
        <v>1016</v>
      </c>
      <c r="E832" s="45">
        <f t="shared" si="62"/>
        <v>39398</v>
      </c>
      <c r="F832" s="148" t="str">
        <f t="shared" si="63"/>
        <v>2007-08</v>
      </c>
      <c r="G832" s="1"/>
      <c r="H832" s="163"/>
      <c r="I832" s="37"/>
      <c r="J832" s="138">
        <f t="shared" si="64"/>
        <v>0.77968490742404351</v>
      </c>
      <c r="K832" s="114"/>
      <c r="L832" s="37">
        <v>17.995630608599999</v>
      </c>
      <c r="M832" s="37" t="s">
        <v>142</v>
      </c>
      <c r="N832" s="37">
        <v>514.18436487804865</v>
      </c>
      <c r="O832" s="132">
        <f t="shared" si="65"/>
        <v>9253.0718950629634</v>
      </c>
      <c r="P832" s="134">
        <f t="shared" si="66"/>
        <v>6671.4404148339181</v>
      </c>
      <c r="Q832" s="261">
        <v>0.92472914872201117</v>
      </c>
      <c r="R832" s="94"/>
    </row>
    <row r="833" spans="1:18" x14ac:dyDescent="0.25">
      <c r="A833" s="367">
        <v>39398</v>
      </c>
      <c r="B833" s="367" t="s">
        <v>279</v>
      </c>
      <c r="C833" s="279" t="s">
        <v>560</v>
      </c>
      <c r="D833" s="159" t="s">
        <v>1016</v>
      </c>
      <c r="E833" s="45">
        <f t="shared" si="62"/>
        <v>39398</v>
      </c>
      <c r="F833" s="148" t="str">
        <f t="shared" si="63"/>
        <v>2007-08</v>
      </c>
      <c r="G833" s="1"/>
      <c r="H833" s="163"/>
      <c r="I833" s="37"/>
      <c r="J833" s="138">
        <f t="shared" si="64"/>
        <v>0.77968490742404351</v>
      </c>
      <c r="K833" s="114"/>
      <c r="L833" s="37">
        <v>20.569615513799999</v>
      </c>
      <c r="M833" s="37" t="s">
        <v>142</v>
      </c>
      <c r="N833" s="37">
        <v>514.18436487804865</v>
      </c>
      <c r="O833" s="132">
        <f t="shared" si="65"/>
        <v>10576.574688748909</v>
      </c>
      <c r="P833" s="134">
        <f t="shared" si="66"/>
        <v>7625.6824359786078</v>
      </c>
      <c r="Q833" s="261">
        <v>0.92472914872201117</v>
      </c>
      <c r="R833" s="94"/>
    </row>
    <row r="834" spans="1:18" x14ac:dyDescent="0.25">
      <c r="A834" s="367">
        <v>39398</v>
      </c>
      <c r="B834" s="367" t="s">
        <v>279</v>
      </c>
      <c r="C834" s="279" t="s">
        <v>560</v>
      </c>
      <c r="D834" s="159" t="s">
        <v>1016</v>
      </c>
      <c r="E834" s="45">
        <f t="shared" si="62"/>
        <v>39398</v>
      </c>
      <c r="F834" s="148" t="str">
        <f t="shared" si="63"/>
        <v>2007-08</v>
      </c>
      <c r="G834" s="1"/>
      <c r="H834" s="163"/>
      <c r="I834" s="37"/>
      <c r="J834" s="138">
        <f t="shared" si="64"/>
        <v>0.77968490742404351</v>
      </c>
      <c r="K834" s="114"/>
      <c r="L834" s="37">
        <v>1.00041441413</v>
      </c>
      <c r="M834" s="37" t="s">
        <v>142</v>
      </c>
      <c r="N834" s="37">
        <v>470.74786858536584</v>
      </c>
      <c r="O834" s="132">
        <f t="shared" si="65"/>
        <v>470.94295315377497</v>
      </c>
      <c r="P834" s="134">
        <f t="shared" si="66"/>
        <v>339.54862627055724</v>
      </c>
      <c r="Q834" s="261">
        <v>0.92472914872201117</v>
      </c>
      <c r="R834" s="94"/>
    </row>
    <row r="835" spans="1:18" x14ac:dyDescent="0.25">
      <c r="A835" s="367">
        <v>39253</v>
      </c>
      <c r="B835" s="367" t="s">
        <v>279</v>
      </c>
      <c r="C835" s="279" t="s">
        <v>561</v>
      </c>
      <c r="D835" s="159" t="s">
        <v>1017</v>
      </c>
      <c r="E835" s="45">
        <f t="shared" si="62"/>
        <v>39253</v>
      </c>
      <c r="F835" s="148" t="str">
        <f t="shared" si="63"/>
        <v>2006-07</v>
      </c>
      <c r="G835" s="1"/>
      <c r="H835" s="163"/>
      <c r="I835" s="37"/>
      <c r="J835" s="138">
        <f t="shared" si="64"/>
        <v>0.77968490742404351</v>
      </c>
      <c r="K835" s="114"/>
      <c r="L835" s="37">
        <v>58.383079519399999</v>
      </c>
      <c r="M835" s="37" t="s">
        <v>142</v>
      </c>
      <c r="N835" s="37">
        <v>470.74786858536584</v>
      </c>
      <c r="O835" s="132">
        <f t="shared" si="65"/>
        <v>27483.710245207476</v>
      </c>
      <c r="P835" s="134">
        <f t="shared" si="66"/>
        <v>13520.369914804511</v>
      </c>
      <c r="Q835" s="261">
        <v>0.63094875135120154</v>
      </c>
      <c r="R835" s="94"/>
    </row>
    <row r="836" spans="1:18" x14ac:dyDescent="0.25">
      <c r="A836" s="367">
        <v>39253</v>
      </c>
      <c r="B836" s="367" t="s">
        <v>279</v>
      </c>
      <c r="C836" s="279" t="s">
        <v>561</v>
      </c>
      <c r="D836" s="159" t="s">
        <v>1017</v>
      </c>
      <c r="E836" s="45">
        <f t="shared" si="62"/>
        <v>39253</v>
      </c>
      <c r="F836" s="148" t="str">
        <f t="shared" si="63"/>
        <v>2006-07</v>
      </c>
      <c r="G836" s="1"/>
      <c r="H836" s="163"/>
      <c r="I836" s="37"/>
      <c r="J836" s="138">
        <f t="shared" si="64"/>
        <v>0.77968490742404351</v>
      </c>
      <c r="K836" s="114"/>
      <c r="L836" s="37">
        <v>5.39883320728</v>
      </c>
      <c r="M836" s="37" t="s">
        <v>142</v>
      </c>
      <c r="N836" s="37">
        <v>470.74786858536584</v>
      </c>
      <c r="O836" s="132">
        <f t="shared" si="65"/>
        <v>2541.4892251749548</v>
      </c>
      <c r="P836" s="134">
        <f t="shared" si="66"/>
        <v>1250.2633069655217</v>
      </c>
      <c r="Q836" s="261">
        <v>0.63094875135120154</v>
      </c>
      <c r="R836" s="94"/>
    </row>
    <row r="837" spans="1:18" x14ac:dyDescent="0.25">
      <c r="A837" s="367">
        <v>38907</v>
      </c>
      <c r="B837" s="367" t="s">
        <v>279</v>
      </c>
      <c r="C837" s="279" t="s">
        <v>562</v>
      </c>
      <c r="D837" s="159" t="s">
        <v>935</v>
      </c>
      <c r="E837" s="45">
        <f t="shared" si="62"/>
        <v>38907</v>
      </c>
      <c r="F837" s="148" t="str">
        <f t="shared" si="63"/>
        <v>2006-07</v>
      </c>
      <c r="G837" s="1"/>
      <c r="H837" s="163"/>
      <c r="I837" s="37"/>
      <c r="J837" s="138">
        <f t="shared" si="64"/>
        <v>0.77968490742404351</v>
      </c>
      <c r="K837" s="114"/>
      <c r="L837" s="37">
        <v>0.99980198039400003</v>
      </c>
      <c r="M837" s="37" t="s">
        <v>142</v>
      </c>
      <c r="N837" s="37">
        <v>470.74786858536584</v>
      </c>
      <c r="O837" s="132">
        <f t="shared" si="65"/>
        <v>470.65465127790321</v>
      </c>
      <c r="P837" s="134">
        <f t="shared" si="66"/>
        <v>366.96232821030742</v>
      </c>
      <c r="Q837" s="261">
        <v>1</v>
      </c>
      <c r="R837" s="94"/>
    </row>
    <row r="838" spans="1:18" x14ac:dyDescent="0.25">
      <c r="A838" s="367">
        <v>42486</v>
      </c>
      <c r="B838" s="367" t="s">
        <v>279</v>
      </c>
      <c r="C838" s="279" t="s">
        <v>563</v>
      </c>
      <c r="D838" s="159" t="s">
        <v>1018</v>
      </c>
      <c r="E838" s="45">
        <f t="shared" si="62"/>
        <v>42486</v>
      </c>
      <c r="F838" s="148" t="str">
        <f t="shared" si="63"/>
        <v>2015-16</v>
      </c>
      <c r="G838" s="1"/>
      <c r="H838" s="163"/>
      <c r="I838" s="37"/>
      <c r="J838" s="138">
        <f t="shared" si="64"/>
        <v>0.77968490742404351</v>
      </c>
      <c r="K838" s="114"/>
      <c r="L838" s="37">
        <v>81.448603480000003</v>
      </c>
      <c r="M838" s="37" t="s">
        <v>142</v>
      </c>
      <c r="N838" s="37">
        <v>936.5640883902438</v>
      </c>
      <c r="O838" s="132">
        <f t="shared" si="65"/>
        <v>76281.837068904642</v>
      </c>
      <c r="P838" s="134">
        <f t="shared" si="66"/>
        <v>59475.797073204885</v>
      </c>
      <c r="Q838" s="261">
        <v>1</v>
      </c>
      <c r="R838" s="94"/>
    </row>
    <row r="839" spans="1:18" x14ac:dyDescent="0.25">
      <c r="A839" s="367">
        <v>42486</v>
      </c>
      <c r="B839" s="367" t="s">
        <v>279</v>
      </c>
      <c r="C839" s="279" t="s">
        <v>563</v>
      </c>
      <c r="D839" s="159" t="s">
        <v>1018</v>
      </c>
      <c r="E839" s="45">
        <f t="shared" si="62"/>
        <v>42486</v>
      </c>
      <c r="F839" s="148" t="str">
        <f t="shared" si="63"/>
        <v>2015-16</v>
      </c>
      <c r="G839" s="1"/>
      <c r="H839" s="163"/>
      <c r="I839" s="37"/>
      <c r="J839" s="138">
        <f t="shared" si="64"/>
        <v>0.77968490742404351</v>
      </c>
      <c r="K839" s="114"/>
      <c r="L839" s="37">
        <v>9.9298090519500004</v>
      </c>
      <c r="M839" s="37" t="s">
        <v>142</v>
      </c>
      <c r="N839" s="37">
        <v>1272.2340968780488</v>
      </c>
      <c r="O839" s="132">
        <f t="shared" si="65"/>
        <v>12633.041651379082</v>
      </c>
      <c r="P839" s="134">
        <f t="shared" si="66"/>
        <v>9849.791910439586</v>
      </c>
      <c r="Q839" s="261">
        <v>1</v>
      </c>
      <c r="R839" s="94"/>
    </row>
    <row r="840" spans="1:18" x14ac:dyDescent="0.25">
      <c r="A840" s="367">
        <v>42486</v>
      </c>
      <c r="B840" s="367" t="s">
        <v>279</v>
      </c>
      <c r="C840" s="279" t="s">
        <v>563</v>
      </c>
      <c r="D840" s="159" t="s">
        <v>1018</v>
      </c>
      <c r="E840" s="45">
        <f t="shared" si="62"/>
        <v>42486</v>
      </c>
      <c r="F840" s="148" t="str">
        <f t="shared" si="63"/>
        <v>2015-16</v>
      </c>
      <c r="G840" s="1"/>
      <c r="H840" s="163"/>
      <c r="I840" s="37"/>
      <c r="J840" s="138">
        <f t="shared" si="64"/>
        <v>0.77968490742404351</v>
      </c>
      <c r="K840" s="114"/>
      <c r="L840" s="37">
        <v>5.0641895623300002</v>
      </c>
      <c r="M840" s="37" t="s">
        <v>142</v>
      </c>
      <c r="N840" s="37">
        <v>1272.2340968780488</v>
      </c>
      <c r="O840" s="132">
        <f t="shared" si="65"/>
        <v>6442.8346342501491</v>
      </c>
      <c r="P840" s="134">
        <f t="shared" si="66"/>
        <v>5023.3809253537484</v>
      </c>
      <c r="Q840" s="261">
        <v>1</v>
      </c>
      <c r="R840" s="94"/>
    </row>
    <row r="841" spans="1:18" x14ac:dyDescent="0.25">
      <c r="A841" s="367">
        <v>42042</v>
      </c>
      <c r="B841" s="367" t="s">
        <v>279</v>
      </c>
      <c r="C841" s="279" t="s">
        <v>564</v>
      </c>
      <c r="D841" s="159" t="s">
        <v>1019</v>
      </c>
      <c r="E841" s="45">
        <f t="shared" si="62"/>
        <v>42042</v>
      </c>
      <c r="F841" s="148" t="str">
        <f t="shared" si="63"/>
        <v>2014-15</v>
      </c>
      <c r="G841" s="1"/>
      <c r="H841" s="163"/>
      <c r="I841" s="37"/>
      <c r="J841" s="138">
        <f t="shared" si="64"/>
        <v>0.77968490742404351</v>
      </c>
      <c r="K841" s="114"/>
      <c r="L841" s="37">
        <v>184.30965216999999</v>
      </c>
      <c r="M841" s="37" t="s">
        <v>142</v>
      </c>
      <c r="N841" s="37">
        <v>621.96155034146341</v>
      </c>
      <c r="O841" s="132">
        <f t="shared" si="65"/>
        <v>114633.51700654907</v>
      </c>
      <c r="P841" s="134">
        <f t="shared" si="66"/>
        <v>57237.239775136171</v>
      </c>
      <c r="Q841" s="261">
        <v>0.64039500755498568</v>
      </c>
      <c r="R841" s="94"/>
    </row>
    <row r="842" spans="1:18" x14ac:dyDescent="0.25">
      <c r="A842" s="367">
        <v>42042</v>
      </c>
      <c r="B842" s="367" t="s">
        <v>279</v>
      </c>
      <c r="C842" s="279" t="s">
        <v>564</v>
      </c>
      <c r="D842" s="159" t="s">
        <v>1019</v>
      </c>
      <c r="E842" s="45">
        <f t="shared" si="62"/>
        <v>42042</v>
      </c>
      <c r="F842" s="148" t="str">
        <f t="shared" si="63"/>
        <v>2014-15</v>
      </c>
      <c r="G842" s="1"/>
      <c r="H842" s="163"/>
      <c r="I842" s="37"/>
      <c r="J842" s="138">
        <f t="shared" si="64"/>
        <v>0.77968490742404351</v>
      </c>
      <c r="K842" s="114"/>
      <c r="L842" s="37">
        <v>6.9981815600999999</v>
      </c>
      <c r="M842" s="37" t="s">
        <v>142</v>
      </c>
      <c r="N842" s="37">
        <v>470.74786858536584</v>
      </c>
      <c r="O842" s="132">
        <f t="shared" si="65"/>
        <v>3294.3790533904853</v>
      </c>
      <c r="P842" s="134">
        <f t="shared" si="66"/>
        <v>1644.9042890163157</v>
      </c>
      <c r="Q842" s="261">
        <v>0.64039500755498568</v>
      </c>
      <c r="R842" s="94"/>
    </row>
    <row r="843" spans="1:18" x14ac:dyDescent="0.25">
      <c r="A843" s="367">
        <v>42042</v>
      </c>
      <c r="B843" s="367" t="s">
        <v>279</v>
      </c>
      <c r="C843" s="279" t="s">
        <v>564</v>
      </c>
      <c r="D843" s="159" t="s">
        <v>1019</v>
      </c>
      <c r="E843" s="45">
        <f t="shared" si="62"/>
        <v>42042</v>
      </c>
      <c r="F843" s="148" t="str">
        <f t="shared" si="63"/>
        <v>2014-15</v>
      </c>
      <c r="G843" s="1"/>
      <c r="H843" s="163"/>
      <c r="I843" s="37"/>
      <c r="J843" s="138">
        <f t="shared" si="64"/>
        <v>0.77968490742404351</v>
      </c>
      <c r="K843" s="114"/>
      <c r="L843" s="37">
        <v>16.047303641100001</v>
      </c>
      <c r="M843" s="37" t="s">
        <v>142</v>
      </c>
      <c r="N843" s="37">
        <v>621.96155034146341</v>
      </c>
      <c r="O843" s="132">
        <f t="shared" si="65"/>
        <v>9980.8058514187669</v>
      </c>
      <c r="P843" s="134">
        <f t="shared" si="66"/>
        <v>4983.4794620678085</v>
      </c>
      <c r="Q843" s="261">
        <v>0.64039500755498568</v>
      </c>
      <c r="R843" s="94"/>
    </row>
    <row r="844" spans="1:18" x14ac:dyDescent="0.25">
      <c r="A844" s="367">
        <v>39416</v>
      </c>
      <c r="B844" s="367" t="s">
        <v>279</v>
      </c>
      <c r="C844" s="279" t="s">
        <v>565</v>
      </c>
      <c r="D844" s="159" t="s">
        <v>1020</v>
      </c>
      <c r="E844" s="45">
        <f t="shared" si="62"/>
        <v>39416</v>
      </c>
      <c r="F844" s="148" t="str">
        <f t="shared" si="63"/>
        <v>2007-08</v>
      </c>
      <c r="G844" s="1"/>
      <c r="H844" s="163"/>
      <c r="I844" s="37"/>
      <c r="J844" s="138">
        <f t="shared" si="64"/>
        <v>0.77968490742404351</v>
      </c>
      <c r="K844" s="114"/>
      <c r="L844" s="37">
        <v>14.9462043296</v>
      </c>
      <c r="M844" s="37" t="s">
        <v>142</v>
      </c>
      <c r="N844" s="37">
        <v>1422.8419512195119</v>
      </c>
      <c r="O844" s="132">
        <f t="shared" si="65"/>
        <v>21266.086531653582</v>
      </c>
      <c r="P844" s="134">
        <f t="shared" si="66"/>
        <v>16580.846708704023</v>
      </c>
      <c r="Q844" s="261">
        <v>1</v>
      </c>
      <c r="R844" s="94"/>
    </row>
    <row r="845" spans="1:18" x14ac:dyDescent="0.25">
      <c r="A845" s="367">
        <v>39799</v>
      </c>
      <c r="B845" s="367" t="s">
        <v>279</v>
      </c>
      <c r="C845" s="279" t="s">
        <v>566</v>
      </c>
      <c r="D845" s="159" t="s">
        <v>1021</v>
      </c>
      <c r="E845" s="45">
        <f t="shared" si="62"/>
        <v>39799</v>
      </c>
      <c r="F845" s="148" t="str">
        <f t="shared" si="63"/>
        <v>2008-09</v>
      </c>
      <c r="G845" s="1"/>
      <c r="H845" s="163"/>
      <c r="I845" s="37"/>
      <c r="J845" s="138">
        <f t="shared" si="64"/>
        <v>0.77968490742404351</v>
      </c>
      <c r="K845" s="114"/>
      <c r="L845" s="37">
        <v>36.508740594000002</v>
      </c>
      <c r="M845" s="37" t="s">
        <v>142</v>
      </c>
      <c r="N845" s="37">
        <v>514.18436487804865</v>
      </c>
      <c r="O845" s="132">
        <f t="shared" si="65"/>
        <v>18772.223594823325</v>
      </c>
      <c r="P845" s="134">
        <f t="shared" si="66"/>
        <v>11094.147537823252</v>
      </c>
      <c r="Q845" s="261">
        <v>0.7579823468261091</v>
      </c>
      <c r="R845" s="94"/>
    </row>
    <row r="846" spans="1:18" x14ac:dyDescent="0.25">
      <c r="A846" s="367">
        <v>39799</v>
      </c>
      <c r="B846" s="367" t="s">
        <v>279</v>
      </c>
      <c r="C846" s="279" t="s">
        <v>566</v>
      </c>
      <c r="D846" s="159" t="s">
        <v>1021</v>
      </c>
      <c r="E846" s="45">
        <f t="shared" si="62"/>
        <v>39799</v>
      </c>
      <c r="F846" s="148" t="str">
        <f t="shared" si="63"/>
        <v>2008-09</v>
      </c>
      <c r="G846" s="1"/>
      <c r="H846" s="163"/>
      <c r="I846" s="37"/>
      <c r="J846" s="138">
        <f t="shared" si="64"/>
        <v>0.77968490742404351</v>
      </c>
      <c r="K846" s="114"/>
      <c r="L846" s="37">
        <v>63.380453792600001</v>
      </c>
      <c r="M846" s="37" t="s">
        <v>142</v>
      </c>
      <c r="N846" s="37">
        <v>514.18436487804865</v>
      </c>
      <c r="O846" s="132">
        <f t="shared" si="65"/>
        <v>32589.238379030543</v>
      </c>
      <c r="P846" s="134">
        <f t="shared" si="66"/>
        <v>19259.829124449523</v>
      </c>
      <c r="Q846" s="261">
        <v>0.7579823468261091</v>
      </c>
      <c r="R846" s="94"/>
    </row>
    <row r="847" spans="1:18" x14ac:dyDescent="0.25">
      <c r="A847" s="367">
        <v>39799</v>
      </c>
      <c r="B847" s="367" t="s">
        <v>279</v>
      </c>
      <c r="C847" s="279" t="s">
        <v>566</v>
      </c>
      <c r="D847" s="159" t="s">
        <v>1021</v>
      </c>
      <c r="E847" s="45">
        <f t="shared" si="62"/>
        <v>39799</v>
      </c>
      <c r="F847" s="148" t="str">
        <f t="shared" si="63"/>
        <v>2008-09</v>
      </c>
      <c r="G847" s="1"/>
      <c r="H847" s="163"/>
      <c r="I847" s="37"/>
      <c r="J847" s="138">
        <f t="shared" si="64"/>
        <v>0.77968490742404351</v>
      </c>
      <c r="K847" s="114"/>
      <c r="L847" s="37">
        <v>4.2509364328699997</v>
      </c>
      <c r="M847" s="37" t="s">
        <v>142</v>
      </c>
      <c r="N847" s="37">
        <v>514.18436487804865</v>
      </c>
      <c r="O847" s="132">
        <f t="shared" si="65"/>
        <v>2185.7650498722187</v>
      </c>
      <c r="P847" s="134">
        <f t="shared" si="66"/>
        <v>1291.7595949041975</v>
      </c>
      <c r="Q847" s="261">
        <v>0.7579823468261091</v>
      </c>
      <c r="R847" s="94"/>
    </row>
    <row r="848" spans="1:18" x14ac:dyDescent="0.25">
      <c r="A848" s="367">
        <v>38916</v>
      </c>
      <c r="B848" s="367" t="s">
        <v>279</v>
      </c>
      <c r="C848" s="279" t="s">
        <v>567</v>
      </c>
      <c r="D848" s="159" t="s">
        <v>1021</v>
      </c>
      <c r="E848" s="45">
        <f t="shared" si="62"/>
        <v>38916</v>
      </c>
      <c r="F848" s="148" t="str">
        <f t="shared" si="63"/>
        <v>2006-07</v>
      </c>
      <c r="G848" s="1"/>
      <c r="H848" s="163"/>
      <c r="I848" s="37"/>
      <c r="J848" s="138">
        <f t="shared" si="64"/>
        <v>0.77968490742404351</v>
      </c>
      <c r="K848" s="114"/>
      <c r="L848" s="37">
        <v>221.01355193200001</v>
      </c>
      <c r="M848" s="37" t="s">
        <v>142</v>
      </c>
      <c r="N848" s="37">
        <v>514.18436487804865</v>
      </c>
      <c r="O848" s="132">
        <f t="shared" si="65"/>
        <v>113641.71282959705</v>
      </c>
      <c r="P848" s="134">
        <f t="shared" si="66"/>
        <v>51095.706404625329</v>
      </c>
      <c r="Q848" s="261">
        <v>0.57667019986212886</v>
      </c>
      <c r="R848" s="94"/>
    </row>
    <row r="849" spans="1:18" x14ac:dyDescent="0.25">
      <c r="A849" s="367">
        <v>38936</v>
      </c>
      <c r="B849" s="367" t="s">
        <v>279</v>
      </c>
      <c r="C849" s="279" t="s">
        <v>459</v>
      </c>
      <c r="D849" s="159" t="s">
        <v>931</v>
      </c>
      <c r="E849" s="45">
        <f t="shared" si="62"/>
        <v>38936</v>
      </c>
      <c r="F849" s="148" t="str">
        <f t="shared" si="63"/>
        <v>2006-07</v>
      </c>
      <c r="G849" s="1"/>
      <c r="H849" s="163"/>
      <c r="I849" s="37"/>
      <c r="J849" s="138">
        <f t="shared" si="64"/>
        <v>0.77968490742404351</v>
      </c>
      <c r="K849" s="114"/>
      <c r="L849" s="37">
        <v>18.862332152800001</v>
      </c>
      <c r="M849" s="37" t="s">
        <v>142</v>
      </c>
      <c r="N849" s="37">
        <v>514.18436487804865</v>
      </c>
      <c r="O849" s="132">
        <f t="shared" si="65"/>
        <v>9698.7162781062652</v>
      </c>
      <c r="P849" s="134">
        <f t="shared" si="66"/>
        <v>7561.9427034273476</v>
      </c>
      <c r="Q849" s="261">
        <v>1</v>
      </c>
      <c r="R849" s="94"/>
    </row>
    <row r="850" spans="1:18" x14ac:dyDescent="0.25">
      <c r="A850" s="367">
        <v>38936</v>
      </c>
      <c r="B850" s="367" t="s">
        <v>279</v>
      </c>
      <c r="C850" s="279" t="s">
        <v>459</v>
      </c>
      <c r="D850" s="159" t="s">
        <v>931</v>
      </c>
      <c r="E850" s="45">
        <f t="shared" si="62"/>
        <v>38936</v>
      </c>
      <c r="F850" s="148" t="str">
        <f t="shared" si="63"/>
        <v>2006-07</v>
      </c>
      <c r="G850" s="1"/>
      <c r="H850" s="163"/>
      <c r="I850" s="37"/>
      <c r="J850" s="138">
        <f t="shared" si="64"/>
        <v>0.77968490742404351</v>
      </c>
      <c r="K850" s="114"/>
      <c r="L850" s="37">
        <v>3.2756626229500001</v>
      </c>
      <c r="M850" s="37" t="s">
        <v>142</v>
      </c>
      <c r="N850" s="37">
        <v>514.18436487804865</v>
      </c>
      <c r="O850" s="132">
        <f t="shared" si="65"/>
        <v>1684.2945053363087</v>
      </c>
      <c r="P850" s="134">
        <f t="shared" si="66"/>
        <v>1313.219005467965</v>
      </c>
      <c r="Q850" s="261">
        <v>1</v>
      </c>
      <c r="R850" s="94"/>
    </row>
    <row r="851" spans="1:18" x14ac:dyDescent="0.25">
      <c r="A851" s="367">
        <v>38936</v>
      </c>
      <c r="B851" s="367" t="s">
        <v>279</v>
      </c>
      <c r="C851" s="279" t="s">
        <v>459</v>
      </c>
      <c r="D851" s="159" t="s">
        <v>931</v>
      </c>
      <c r="E851" s="45">
        <f t="shared" si="62"/>
        <v>38936</v>
      </c>
      <c r="F851" s="148" t="str">
        <f t="shared" si="63"/>
        <v>2006-07</v>
      </c>
      <c r="G851" s="1"/>
      <c r="H851" s="163"/>
      <c r="I851" s="37"/>
      <c r="J851" s="138">
        <f t="shared" si="64"/>
        <v>0.77968490742404351</v>
      </c>
      <c r="K851" s="114"/>
      <c r="L851" s="37">
        <v>3.8794448785400002</v>
      </c>
      <c r="M851" s="37" t="s">
        <v>142</v>
      </c>
      <c r="N851" s="37">
        <v>470.74786858536584</v>
      </c>
      <c r="O851" s="132">
        <f t="shared" si="65"/>
        <v>1826.2404078671186</v>
      </c>
      <c r="P851" s="134">
        <f t="shared" si="66"/>
        <v>1423.8920833419218</v>
      </c>
      <c r="Q851" s="261">
        <v>1</v>
      </c>
      <c r="R851" s="94"/>
    </row>
    <row r="852" spans="1:18" x14ac:dyDescent="0.25">
      <c r="A852" s="367">
        <v>38936</v>
      </c>
      <c r="B852" s="367" t="s">
        <v>279</v>
      </c>
      <c r="C852" s="279" t="s">
        <v>459</v>
      </c>
      <c r="D852" s="159" t="s">
        <v>931</v>
      </c>
      <c r="E852" s="45">
        <f t="shared" si="62"/>
        <v>38936</v>
      </c>
      <c r="F852" s="148" t="str">
        <f t="shared" si="63"/>
        <v>2006-07</v>
      </c>
      <c r="G852" s="1"/>
      <c r="H852" s="163"/>
      <c r="I852" s="37"/>
      <c r="J852" s="138">
        <f t="shared" si="64"/>
        <v>0.77968490742404351</v>
      </c>
      <c r="K852" s="114"/>
      <c r="L852" s="37">
        <v>3.0159748792899999</v>
      </c>
      <c r="M852" s="37" t="s">
        <v>142</v>
      </c>
      <c r="N852" s="37">
        <v>470.74786858536584</v>
      </c>
      <c r="O852" s="132">
        <f t="shared" si="65"/>
        <v>1419.7637461327733</v>
      </c>
      <c r="P852" s="134">
        <f t="shared" si="66"/>
        <v>1106.9683649675446</v>
      </c>
      <c r="Q852" s="261">
        <v>1</v>
      </c>
      <c r="R852" s="94"/>
    </row>
    <row r="853" spans="1:18" x14ac:dyDescent="0.25">
      <c r="A853" s="367">
        <v>38936</v>
      </c>
      <c r="B853" s="367" t="s">
        <v>279</v>
      </c>
      <c r="C853" s="279" t="s">
        <v>459</v>
      </c>
      <c r="D853" s="159" t="s">
        <v>931</v>
      </c>
      <c r="E853" s="45">
        <f t="shared" si="62"/>
        <v>38936</v>
      </c>
      <c r="F853" s="148" t="str">
        <f t="shared" si="63"/>
        <v>2006-07</v>
      </c>
      <c r="G853" s="1"/>
      <c r="H853" s="163"/>
      <c r="I853" s="37"/>
      <c r="J853" s="138">
        <f t="shared" si="64"/>
        <v>0.77968490742404351</v>
      </c>
      <c r="K853" s="114"/>
      <c r="L853" s="37">
        <v>25.985656516199999</v>
      </c>
      <c r="M853" s="37" t="s">
        <v>142</v>
      </c>
      <c r="N853" s="37">
        <v>621.96155034146341</v>
      </c>
      <c r="O853" s="132">
        <f t="shared" si="65"/>
        <v>16162.079213456502</v>
      </c>
      <c r="P853" s="134">
        <f t="shared" si="66"/>
        <v>12601.32923532389</v>
      </c>
      <c r="Q853" s="261">
        <v>1</v>
      </c>
      <c r="R853" s="94"/>
    </row>
    <row r="854" spans="1:18" x14ac:dyDescent="0.25">
      <c r="A854" s="367">
        <v>38936</v>
      </c>
      <c r="B854" s="367" t="s">
        <v>279</v>
      </c>
      <c r="C854" s="279" t="s">
        <v>459</v>
      </c>
      <c r="D854" s="159" t="s">
        <v>931</v>
      </c>
      <c r="E854" s="45">
        <f t="shared" si="62"/>
        <v>38936</v>
      </c>
      <c r="F854" s="148" t="str">
        <f t="shared" si="63"/>
        <v>2006-07</v>
      </c>
      <c r="G854" s="1"/>
      <c r="H854" s="163"/>
      <c r="I854" s="37"/>
      <c r="J854" s="138">
        <f t="shared" si="64"/>
        <v>0.77968490742404351</v>
      </c>
      <c r="K854" s="114"/>
      <c r="L854" s="37">
        <v>15.0540187846</v>
      </c>
      <c r="M854" s="37" t="s">
        <v>142</v>
      </c>
      <c r="N854" s="37">
        <v>621.96155034146341</v>
      </c>
      <c r="O854" s="132">
        <f t="shared" si="65"/>
        <v>9363.0208621393285</v>
      </c>
      <c r="P854" s="134">
        <f t="shared" si="66"/>
        <v>7300.2060541064902</v>
      </c>
      <c r="Q854" s="261">
        <v>1</v>
      </c>
      <c r="R854" s="94"/>
    </row>
    <row r="855" spans="1:18" x14ac:dyDescent="0.25">
      <c r="A855" s="367">
        <v>38936</v>
      </c>
      <c r="B855" s="367" t="s">
        <v>279</v>
      </c>
      <c r="C855" s="279" t="s">
        <v>459</v>
      </c>
      <c r="D855" s="159" t="s">
        <v>931</v>
      </c>
      <c r="E855" s="45">
        <f t="shared" ref="E855:E918" si="67">IF(A855&lt;2022,DATEVALUE("30 Jun "&amp;A855),A855)</f>
        <v>38936</v>
      </c>
      <c r="F855" s="148" t="str">
        <f t="shared" si="63"/>
        <v>2006-07</v>
      </c>
      <c r="G855" s="1"/>
      <c r="H855" s="163"/>
      <c r="I855" s="37"/>
      <c r="J855" s="138">
        <f t="shared" si="64"/>
        <v>0.77968490742404351</v>
      </c>
      <c r="K855" s="114"/>
      <c r="L855" s="37">
        <v>2.5254754571100002</v>
      </c>
      <c r="M855" s="37" t="s">
        <v>142</v>
      </c>
      <c r="N855" s="37">
        <v>470.74786858536584</v>
      </c>
      <c r="O855" s="132">
        <f t="shared" si="65"/>
        <v>1188.8621885991852</v>
      </c>
      <c r="P855" s="134">
        <f t="shared" si="66"/>
        <v>926.93790545790148</v>
      </c>
      <c r="Q855" s="261">
        <v>1</v>
      </c>
      <c r="R855" s="94"/>
    </row>
    <row r="856" spans="1:18" x14ac:dyDescent="0.25">
      <c r="A856" s="367">
        <v>38936</v>
      </c>
      <c r="B856" s="367" t="s">
        <v>279</v>
      </c>
      <c r="C856" s="279" t="s">
        <v>459</v>
      </c>
      <c r="D856" s="159" t="s">
        <v>931</v>
      </c>
      <c r="E856" s="45">
        <f t="shared" si="67"/>
        <v>38936</v>
      </c>
      <c r="F856" s="148" t="str">
        <f t="shared" ref="F856:F919" si="68">IF(E856="","-",IF(OR(E856&lt;$E$15,E856&gt;$E$16),"ERROR - date outside of range",IF(MONTH(E856)&gt;=7,YEAR(E856)&amp;"-"&amp;IF(YEAR(E856)=1999,"00",IF(AND(YEAR(E856)&gt;=2000,YEAR(E856)&lt;2009),"0","")&amp;RIGHT(YEAR(E856),2)+1),RIGHT(YEAR(E856),4)-1&amp;"-"&amp;RIGHT(YEAR(E856),2))))</f>
        <v>2006-07</v>
      </c>
      <c r="G856" s="1"/>
      <c r="H856" s="163"/>
      <c r="I856" s="37"/>
      <c r="J856" s="138">
        <f t="shared" ref="J856:J919" si="69">J855</f>
        <v>0.77968490742404351</v>
      </c>
      <c r="K856" s="114"/>
      <c r="L856" s="37">
        <v>3.2413926206400001</v>
      </c>
      <c r="M856" s="37" t="s">
        <v>142</v>
      </c>
      <c r="N856" s="37">
        <v>470.74786858536584</v>
      </c>
      <c r="O856" s="132">
        <f t="shared" si="65"/>
        <v>1525.8786674146133</v>
      </c>
      <c r="P856" s="134">
        <f t="shared" si="66"/>
        <v>1189.7045675434856</v>
      </c>
      <c r="Q856" s="261">
        <v>1</v>
      </c>
      <c r="R856" s="94"/>
    </row>
    <row r="857" spans="1:18" x14ac:dyDescent="0.25">
      <c r="A857" s="367">
        <v>38936</v>
      </c>
      <c r="B857" s="367" t="s">
        <v>279</v>
      </c>
      <c r="C857" s="279" t="s">
        <v>459</v>
      </c>
      <c r="D857" s="159" t="s">
        <v>931</v>
      </c>
      <c r="E857" s="45">
        <f t="shared" si="67"/>
        <v>38936</v>
      </c>
      <c r="F857" s="148" t="str">
        <f t="shared" si="68"/>
        <v>2006-07</v>
      </c>
      <c r="G857" s="1"/>
      <c r="H857" s="163"/>
      <c r="I857" s="37"/>
      <c r="J857" s="138">
        <f t="shared" si="69"/>
        <v>0.77968490742404351</v>
      </c>
      <c r="K857" s="114"/>
      <c r="L857" s="37">
        <v>15.7413230968</v>
      </c>
      <c r="M857" s="37" t="s">
        <v>142</v>
      </c>
      <c r="N857" s="37">
        <v>514.18436487804865</v>
      </c>
      <c r="O857" s="132">
        <f t="shared" si="65"/>
        <v>8093.9422188682665</v>
      </c>
      <c r="P857" s="134">
        <f t="shared" si="66"/>
        <v>6310.724589613862</v>
      </c>
      <c r="Q857" s="261">
        <v>1</v>
      </c>
      <c r="R857" s="94"/>
    </row>
    <row r="858" spans="1:18" x14ac:dyDescent="0.25">
      <c r="A858" s="367">
        <v>38936</v>
      </c>
      <c r="B858" s="367" t="s">
        <v>279</v>
      </c>
      <c r="C858" s="279" t="s">
        <v>459</v>
      </c>
      <c r="D858" s="159" t="s">
        <v>931</v>
      </c>
      <c r="E858" s="45">
        <f t="shared" si="67"/>
        <v>38936</v>
      </c>
      <c r="F858" s="148" t="str">
        <f t="shared" si="68"/>
        <v>2006-07</v>
      </c>
      <c r="G858" s="1"/>
      <c r="H858" s="163"/>
      <c r="I858" s="37"/>
      <c r="J858" s="138">
        <f t="shared" si="69"/>
        <v>0.77968490742404351</v>
      </c>
      <c r="K858" s="114"/>
      <c r="L858" s="37">
        <v>22.390885951200001</v>
      </c>
      <c r="M858" s="37" t="s">
        <v>142</v>
      </c>
      <c r="N858" s="37">
        <v>470.74786858536584</v>
      </c>
      <c r="O858" s="132">
        <f t="shared" si="65"/>
        <v>10540.461837265413</v>
      </c>
      <c r="P858" s="134">
        <f t="shared" si="66"/>
        <v>8218.2390117949471</v>
      </c>
      <c r="Q858" s="261">
        <v>1</v>
      </c>
      <c r="R858" s="94"/>
    </row>
    <row r="859" spans="1:18" x14ac:dyDescent="0.25">
      <c r="A859" s="367">
        <v>38936</v>
      </c>
      <c r="B859" s="367" t="s">
        <v>279</v>
      </c>
      <c r="C859" s="279" t="s">
        <v>459</v>
      </c>
      <c r="D859" s="159" t="s">
        <v>931</v>
      </c>
      <c r="E859" s="45">
        <f t="shared" si="67"/>
        <v>38936</v>
      </c>
      <c r="F859" s="148" t="str">
        <f t="shared" si="68"/>
        <v>2006-07</v>
      </c>
      <c r="G859" s="1"/>
      <c r="H859" s="163"/>
      <c r="I859" s="37"/>
      <c r="J859" s="138">
        <f t="shared" si="69"/>
        <v>0.77968490742404351</v>
      </c>
      <c r="K859" s="114"/>
      <c r="L859" s="37">
        <v>5.1954605976900003</v>
      </c>
      <c r="M859" s="37" t="s">
        <v>142</v>
      </c>
      <c r="N859" s="37">
        <v>470.74786858536584</v>
      </c>
      <c r="O859" s="132">
        <f t="shared" si="65"/>
        <v>2445.7520026818183</v>
      </c>
      <c r="P859" s="134">
        <f t="shared" si="66"/>
        <v>1906.9159237931426</v>
      </c>
      <c r="Q859" s="261">
        <v>1</v>
      </c>
      <c r="R859" s="94"/>
    </row>
    <row r="860" spans="1:18" x14ac:dyDescent="0.25">
      <c r="A860" s="367">
        <v>38936</v>
      </c>
      <c r="B860" s="367" t="s">
        <v>279</v>
      </c>
      <c r="C860" s="279" t="s">
        <v>459</v>
      </c>
      <c r="D860" s="159" t="s">
        <v>931</v>
      </c>
      <c r="E860" s="45">
        <f t="shared" si="67"/>
        <v>38936</v>
      </c>
      <c r="F860" s="148" t="str">
        <f t="shared" si="68"/>
        <v>2006-07</v>
      </c>
      <c r="G860" s="1"/>
      <c r="H860" s="163"/>
      <c r="I860" s="37"/>
      <c r="J860" s="138">
        <f t="shared" si="69"/>
        <v>0.77968490742404351</v>
      </c>
      <c r="K860" s="114"/>
      <c r="L860" s="37">
        <v>23.8093444752</v>
      </c>
      <c r="M860" s="37" t="s">
        <v>142</v>
      </c>
      <c r="N860" s="37">
        <v>514.18436487804865</v>
      </c>
      <c r="O860" s="132">
        <f t="shared" si="65"/>
        <v>12242.392667143389</v>
      </c>
      <c r="P860" s="134">
        <f t="shared" si="66"/>
        <v>9545.2087933304829</v>
      </c>
      <c r="Q860" s="261">
        <v>1</v>
      </c>
      <c r="R860" s="94"/>
    </row>
    <row r="861" spans="1:18" x14ac:dyDescent="0.25">
      <c r="A861" s="367">
        <v>38936</v>
      </c>
      <c r="B861" s="367" t="s">
        <v>279</v>
      </c>
      <c r="C861" s="279" t="s">
        <v>459</v>
      </c>
      <c r="D861" s="159" t="s">
        <v>931</v>
      </c>
      <c r="E861" s="45">
        <f t="shared" si="67"/>
        <v>38936</v>
      </c>
      <c r="F861" s="148" t="str">
        <f t="shared" si="68"/>
        <v>2006-07</v>
      </c>
      <c r="G861" s="1"/>
      <c r="H861" s="163"/>
      <c r="I861" s="37"/>
      <c r="J861" s="138">
        <f t="shared" si="69"/>
        <v>0.77968490742404351</v>
      </c>
      <c r="K861" s="114"/>
      <c r="L861" s="37">
        <v>5.3550798313400003</v>
      </c>
      <c r="M861" s="37" t="s">
        <v>142</v>
      </c>
      <c r="N861" s="37">
        <v>621.96155034146341</v>
      </c>
      <c r="O861" s="132">
        <f t="shared" si="65"/>
        <v>3330.6537541025291</v>
      </c>
      <c r="P861" s="134">
        <f t="shared" si="66"/>
        <v>2596.8604639289733</v>
      </c>
      <c r="Q861" s="261">
        <v>1</v>
      </c>
      <c r="R861" s="94"/>
    </row>
    <row r="862" spans="1:18" x14ac:dyDescent="0.25">
      <c r="A862" s="367">
        <v>38936</v>
      </c>
      <c r="B862" s="367" t="s">
        <v>279</v>
      </c>
      <c r="C862" s="279" t="s">
        <v>459</v>
      </c>
      <c r="D862" s="159" t="s">
        <v>931</v>
      </c>
      <c r="E862" s="45">
        <f t="shared" si="67"/>
        <v>38936</v>
      </c>
      <c r="F862" s="148" t="str">
        <f t="shared" si="68"/>
        <v>2006-07</v>
      </c>
      <c r="G862" s="1"/>
      <c r="H862" s="163"/>
      <c r="I862" s="37"/>
      <c r="J862" s="138">
        <f t="shared" si="69"/>
        <v>0.77968490742404351</v>
      </c>
      <c r="K862" s="114"/>
      <c r="L862" s="37">
        <v>2.08324986499</v>
      </c>
      <c r="M862" s="37" t="s">
        <v>142</v>
      </c>
      <c r="N862" s="37">
        <v>470.74786858536584</v>
      </c>
      <c r="O862" s="132">
        <f t="shared" ref="O862:O925" si="70">IF(N862="","-",L862*N862)</f>
        <v>980.68543367479367</v>
      </c>
      <c r="P862" s="134">
        <f t="shared" ref="P862:P925" si="71">IF(O862="-","-",IF(OR(E862&lt;$E$15,E862&gt;$E$16),0,O862*J862))*Q862</f>
        <v>764.6256315668395</v>
      </c>
      <c r="Q862" s="261">
        <v>1</v>
      </c>
      <c r="R862" s="94"/>
    </row>
    <row r="863" spans="1:18" x14ac:dyDescent="0.25">
      <c r="A863" s="367">
        <v>38936</v>
      </c>
      <c r="B863" s="367" t="s">
        <v>279</v>
      </c>
      <c r="C863" s="279" t="s">
        <v>459</v>
      </c>
      <c r="D863" s="159" t="s">
        <v>931</v>
      </c>
      <c r="E863" s="45">
        <f t="shared" si="67"/>
        <v>38936</v>
      </c>
      <c r="F863" s="148" t="str">
        <f t="shared" si="68"/>
        <v>2006-07</v>
      </c>
      <c r="G863" s="1"/>
      <c r="H863" s="163"/>
      <c r="I863" s="37"/>
      <c r="J863" s="138">
        <f t="shared" si="69"/>
        <v>0.77968490742404351</v>
      </c>
      <c r="K863" s="114"/>
      <c r="L863" s="37">
        <v>2.9231526431199999</v>
      </c>
      <c r="M863" s="37" t="s">
        <v>142</v>
      </c>
      <c r="N863" s="37">
        <v>514.18436487804865</v>
      </c>
      <c r="O863" s="132">
        <f t="shared" si="70"/>
        <v>1503.0393852442464</v>
      </c>
      <c r="P863" s="134">
        <f t="shared" si="71"/>
        <v>1171.8971239388516</v>
      </c>
      <c r="Q863" s="261">
        <v>1</v>
      </c>
      <c r="R863" s="94"/>
    </row>
    <row r="864" spans="1:18" x14ac:dyDescent="0.25">
      <c r="A864" s="367">
        <v>38936</v>
      </c>
      <c r="B864" s="367" t="s">
        <v>279</v>
      </c>
      <c r="C864" s="279" t="s">
        <v>459</v>
      </c>
      <c r="D864" s="159" t="s">
        <v>931</v>
      </c>
      <c r="E864" s="45">
        <f t="shared" si="67"/>
        <v>38936</v>
      </c>
      <c r="F864" s="148" t="str">
        <f t="shared" si="68"/>
        <v>2006-07</v>
      </c>
      <c r="G864" s="1"/>
      <c r="H864" s="163"/>
      <c r="I864" s="37"/>
      <c r="J864" s="138">
        <f t="shared" si="69"/>
        <v>0.77968490742404351</v>
      </c>
      <c r="K864" s="114"/>
      <c r="L864" s="37">
        <v>1.44998896548</v>
      </c>
      <c r="M864" s="37" t="s">
        <v>142</v>
      </c>
      <c r="N864" s="37">
        <v>470.74786858536584</v>
      </c>
      <c r="O864" s="132">
        <f t="shared" si="70"/>
        <v>682.57921497200959</v>
      </c>
      <c r="P864" s="134">
        <f t="shared" si="71"/>
        <v>532.19671203502764</v>
      </c>
      <c r="Q864" s="261">
        <v>1</v>
      </c>
      <c r="R864" s="94"/>
    </row>
    <row r="865" spans="1:18" x14ac:dyDescent="0.25">
      <c r="A865" s="367">
        <v>38936</v>
      </c>
      <c r="B865" s="367" t="s">
        <v>279</v>
      </c>
      <c r="C865" s="279" t="s">
        <v>459</v>
      </c>
      <c r="D865" s="159" t="s">
        <v>931</v>
      </c>
      <c r="E865" s="45">
        <f t="shared" si="67"/>
        <v>38936</v>
      </c>
      <c r="F865" s="148" t="str">
        <f t="shared" si="68"/>
        <v>2006-07</v>
      </c>
      <c r="G865" s="1"/>
      <c r="H865" s="163"/>
      <c r="I865" s="37"/>
      <c r="J865" s="138">
        <f t="shared" si="69"/>
        <v>0.77968490742404351</v>
      </c>
      <c r="K865" s="114"/>
      <c r="L865" s="37">
        <v>102.14203559800001</v>
      </c>
      <c r="M865" s="37" t="s">
        <v>142</v>
      </c>
      <c r="N865" s="37">
        <v>514.18436487804865</v>
      </c>
      <c r="O865" s="132">
        <f t="shared" si="70"/>
        <v>52519.837701308672</v>
      </c>
      <c r="P865" s="134">
        <f t="shared" si="71"/>
        <v>40948.924796070642</v>
      </c>
      <c r="Q865" s="261">
        <v>1</v>
      </c>
      <c r="R865" s="94"/>
    </row>
    <row r="866" spans="1:18" x14ac:dyDescent="0.25">
      <c r="A866" s="367">
        <v>38916</v>
      </c>
      <c r="B866" s="367" t="s">
        <v>279</v>
      </c>
      <c r="C866" s="279" t="s">
        <v>567</v>
      </c>
      <c r="D866" s="159" t="s">
        <v>1021</v>
      </c>
      <c r="E866" s="45">
        <f t="shared" si="67"/>
        <v>38916</v>
      </c>
      <c r="F866" s="148" t="str">
        <f t="shared" si="68"/>
        <v>2006-07</v>
      </c>
      <c r="G866" s="1"/>
      <c r="H866" s="163"/>
      <c r="I866" s="37"/>
      <c r="J866" s="138">
        <f t="shared" si="69"/>
        <v>0.77968490742404351</v>
      </c>
      <c r="K866" s="114"/>
      <c r="L866" s="37">
        <v>11.019246666200001</v>
      </c>
      <c r="M866" s="37" t="s">
        <v>142</v>
      </c>
      <c r="N866" s="37">
        <v>514.18436487804865</v>
      </c>
      <c r="O866" s="132">
        <f t="shared" si="70"/>
        <v>5665.9243484946028</v>
      </c>
      <c r="P866" s="134">
        <f t="shared" si="71"/>
        <v>2547.5188626873569</v>
      </c>
      <c r="Q866" s="261">
        <v>0.57667019986212886</v>
      </c>
      <c r="R866" s="94"/>
    </row>
    <row r="867" spans="1:18" x14ac:dyDescent="0.25">
      <c r="A867" s="367">
        <v>38916</v>
      </c>
      <c r="B867" s="367" t="s">
        <v>279</v>
      </c>
      <c r="C867" s="279" t="s">
        <v>567</v>
      </c>
      <c r="D867" s="159" t="s">
        <v>1021</v>
      </c>
      <c r="E867" s="45">
        <f t="shared" si="67"/>
        <v>38916</v>
      </c>
      <c r="F867" s="148" t="str">
        <f t="shared" si="68"/>
        <v>2006-07</v>
      </c>
      <c r="G867" s="1"/>
      <c r="H867" s="163"/>
      <c r="I867" s="37"/>
      <c r="J867" s="138">
        <f t="shared" si="69"/>
        <v>0.77968490742404351</v>
      </c>
      <c r="K867" s="114"/>
      <c r="L867" s="37">
        <v>0.60018663763900004</v>
      </c>
      <c r="M867" s="37" t="s">
        <v>142</v>
      </c>
      <c r="N867" s="37">
        <v>470.74786858536584</v>
      </c>
      <c r="O867" s="132">
        <f t="shared" si="70"/>
        <v>282.53658042197657</v>
      </c>
      <c r="P867" s="134">
        <f t="shared" si="71"/>
        <v>127.0343943465122</v>
      </c>
      <c r="Q867" s="261">
        <v>0.57667019986212886</v>
      </c>
      <c r="R867" s="94"/>
    </row>
    <row r="868" spans="1:18" x14ac:dyDescent="0.25">
      <c r="A868" s="367">
        <v>39939</v>
      </c>
      <c r="B868" s="367" t="s">
        <v>279</v>
      </c>
      <c r="C868" s="279" t="s">
        <v>568</v>
      </c>
      <c r="D868" s="159" t="s">
        <v>1022</v>
      </c>
      <c r="E868" s="45">
        <f t="shared" si="67"/>
        <v>39939</v>
      </c>
      <c r="F868" s="148" t="str">
        <f t="shared" si="68"/>
        <v>2008-09</v>
      </c>
      <c r="G868" s="1"/>
      <c r="H868" s="163"/>
      <c r="I868" s="37"/>
      <c r="J868" s="138">
        <f t="shared" si="69"/>
        <v>0.77968490742404351</v>
      </c>
      <c r="K868" s="114"/>
      <c r="L868" s="37">
        <v>145.75029947499999</v>
      </c>
      <c r="M868" s="37" t="s">
        <v>142</v>
      </c>
      <c r="N868" s="37">
        <v>470.74786858536584</v>
      </c>
      <c r="O868" s="132">
        <f t="shared" si="70"/>
        <v>68611.642823535018</v>
      </c>
      <c r="P868" s="134">
        <f t="shared" si="71"/>
        <v>34647.914355801331</v>
      </c>
      <c r="Q868" s="261">
        <v>0.64767950050956913</v>
      </c>
      <c r="R868" s="94"/>
    </row>
    <row r="869" spans="1:18" x14ac:dyDescent="0.25">
      <c r="A869" s="367">
        <v>39939</v>
      </c>
      <c r="B869" s="367" t="s">
        <v>279</v>
      </c>
      <c r="C869" s="279" t="s">
        <v>568</v>
      </c>
      <c r="D869" s="159" t="s">
        <v>1022</v>
      </c>
      <c r="E869" s="45">
        <f t="shared" si="67"/>
        <v>39939</v>
      </c>
      <c r="F869" s="148" t="str">
        <f t="shared" si="68"/>
        <v>2008-09</v>
      </c>
      <c r="G869" s="1"/>
      <c r="H869" s="163"/>
      <c r="I869" s="37"/>
      <c r="J869" s="138">
        <f t="shared" si="69"/>
        <v>0.77968490742404351</v>
      </c>
      <c r="K869" s="114"/>
      <c r="L869" s="37">
        <v>17.653779196199999</v>
      </c>
      <c r="M869" s="37" t="s">
        <v>142</v>
      </c>
      <c r="N869" s="37">
        <v>470.74786858536584</v>
      </c>
      <c r="O869" s="132">
        <f t="shared" si="70"/>
        <v>8310.4789290878216</v>
      </c>
      <c r="P869" s="134">
        <f t="shared" si="71"/>
        <v>4196.6749423460478</v>
      </c>
      <c r="Q869" s="261">
        <v>0.64767950050956913</v>
      </c>
      <c r="R869" s="94"/>
    </row>
    <row r="870" spans="1:18" x14ac:dyDescent="0.25">
      <c r="A870" s="367">
        <v>39939</v>
      </c>
      <c r="B870" s="367" t="s">
        <v>279</v>
      </c>
      <c r="C870" s="279" t="s">
        <v>568</v>
      </c>
      <c r="D870" s="159" t="s">
        <v>1022</v>
      </c>
      <c r="E870" s="45">
        <f t="shared" si="67"/>
        <v>39939</v>
      </c>
      <c r="F870" s="148" t="str">
        <f t="shared" si="68"/>
        <v>2008-09</v>
      </c>
      <c r="G870" s="1"/>
      <c r="H870" s="163"/>
      <c r="I870" s="37"/>
      <c r="J870" s="138">
        <f t="shared" si="69"/>
        <v>0.77968490742404351</v>
      </c>
      <c r="K870" s="114"/>
      <c r="L870" s="37">
        <v>2.0002522805499998</v>
      </c>
      <c r="M870" s="37" t="s">
        <v>142</v>
      </c>
      <c r="N870" s="37">
        <v>470.74786858536584</v>
      </c>
      <c r="O870" s="132">
        <f t="shared" si="70"/>
        <v>941.61449770192962</v>
      </c>
      <c r="P870" s="134">
        <f t="shared" si="71"/>
        <v>475.50207413728327</v>
      </c>
      <c r="Q870" s="261">
        <v>0.64767950050956913</v>
      </c>
      <c r="R870" s="94"/>
    </row>
    <row r="871" spans="1:18" x14ac:dyDescent="0.25">
      <c r="A871" s="367">
        <v>41708</v>
      </c>
      <c r="B871" s="367" t="s">
        <v>279</v>
      </c>
      <c r="C871" s="279" t="s">
        <v>569</v>
      </c>
      <c r="D871" s="159" t="s">
        <v>1023</v>
      </c>
      <c r="E871" s="45">
        <f t="shared" si="67"/>
        <v>41708</v>
      </c>
      <c r="F871" s="148" t="str">
        <f t="shared" si="68"/>
        <v>2013-14</v>
      </c>
      <c r="G871" s="1"/>
      <c r="H871" s="163"/>
      <c r="I871" s="37"/>
      <c r="J871" s="138">
        <f t="shared" si="69"/>
        <v>0.77968490742404351</v>
      </c>
      <c r="K871" s="114"/>
      <c r="L871" s="37">
        <v>76.108597594499997</v>
      </c>
      <c r="M871" s="37" t="s">
        <v>142</v>
      </c>
      <c r="N871" s="37">
        <v>621.96155034146341</v>
      </c>
      <c r="O871" s="132">
        <f t="shared" si="70"/>
        <v>47336.621354189789</v>
      </c>
      <c r="P871" s="134">
        <f t="shared" si="71"/>
        <v>27710.440243101522</v>
      </c>
      <c r="Q871" s="261">
        <v>0.75080480103672764</v>
      </c>
      <c r="R871" s="94"/>
    </row>
    <row r="872" spans="1:18" x14ac:dyDescent="0.25">
      <c r="A872" s="367">
        <v>41708</v>
      </c>
      <c r="B872" s="367" t="s">
        <v>279</v>
      </c>
      <c r="C872" s="279" t="s">
        <v>569</v>
      </c>
      <c r="D872" s="159" t="s">
        <v>1023</v>
      </c>
      <c r="E872" s="45">
        <f t="shared" si="67"/>
        <v>41708</v>
      </c>
      <c r="F872" s="148" t="str">
        <f t="shared" si="68"/>
        <v>2013-14</v>
      </c>
      <c r="G872" s="1"/>
      <c r="H872" s="163"/>
      <c r="I872" s="37"/>
      <c r="J872" s="138">
        <f t="shared" si="69"/>
        <v>0.77968490742404351</v>
      </c>
      <c r="K872" s="114"/>
      <c r="L872" s="37">
        <v>1.49995266592</v>
      </c>
      <c r="M872" s="37" t="s">
        <v>142</v>
      </c>
      <c r="N872" s="37">
        <v>621.96155034146341</v>
      </c>
      <c r="O872" s="132">
        <f t="shared" si="70"/>
        <v>932.91288553441427</v>
      </c>
      <c r="P872" s="134">
        <f t="shared" si="71"/>
        <v>546.11896724083942</v>
      </c>
      <c r="Q872" s="261">
        <v>0.75080480103672764</v>
      </c>
      <c r="R872" s="94"/>
    </row>
    <row r="873" spans="1:18" x14ac:dyDescent="0.25">
      <c r="A873" s="367">
        <v>41708</v>
      </c>
      <c r="B873" s="367" t="s">
        <v>279</v>
      </c>
      <c r="C873" s="279" t="s">
        <v>569</v>
      </c>
      <c r="D873" s="159" t="s">
        <v>1023</v>
      </c>
      <c r="E873" s="45">
        <f t="shared" si="67"/>
        <v>41708</v>
      </c>
      <c r="F873" s="148" t="str">
        <f t="shared" si="68"/>
        <v>2013-14</v>
      </c>
      <c r="G873" s="1"/>
      <c r="H873" s="163"/>
      <c r="I873" s="37"/>
      <c r="J873" s="138">
        <f t="shared" si="69"/>
        <v>0.77968490742404351</v>
      </c>
      <c r="K873" s="114"/>
      <c r="L873" s="37">
        <v>1.5002083188699999</v>
      </c>
      <c r="M873" s="37" t="s">
        <v>142</v>
      </c>
      <c r="N873" s="37">
        <v>621.96155034146341</v>
      </c>
      <c r="O873" s="132">
        <f t="shared" si="70"/>
        <v>933.07189183954563</v>
      </c>
      <c r="P873" s="134">
        <f t="shared" si="71"/>
        <v>546.21204812812232</v>
      </c>
      <c r="Q873" s="261">
        <v>0.75080480103672764</v>
      </c>
      <c r="R873" s="94"/>
    </row>
    <row r="874" spans="1:18" x14ac:dyDescent="0.25">
      <c r="A874" s="367">
        <v>39623</v>
      </c>
      <c r="B874" s="367" t="s">
        <v>279</v>
      </c>
      <c r="C874" s="279" t="s">
        <v>570</v>
      </c>
      <c r="D874" s="159" t="s">
        <v>1024</v>
      </c>
      <c r="E874" s="45">
        <f t="shared" si="67"/>
        <v>39623</v>
      </c>
      <c r="F874" s="148" t="str">
        <f t="shared" si="68"/>
        <v>2007-08</v>
      </c>
      <c r="G874" s="1"/>
      <c r="H874" s="163"/>
      <c r="I874" s="37"/>
      <c r="J874" s="138">
        <f t="shared" si="69"/>
        <v>0.77968490742404351</v>
      </c>
      <c r="K874" s="114"/>
      <c r="L874" s="37">
        <v>52.445881765400003</v>
      </c>
      <c r="M874" s="37" t="s">
        <v>142</v>
      </c>
      <c r="N874" s="37">
        <v>514.18436487804865</v>
      </c>
      <c r="O874" s="132">
        <f t="shared" si="70"/>
        <v>26966.852406011432</v>
      </c>
      <c r="P874" s="134">
        <f t="shared" si="71"/>
        <v>14234.472411825633</v>
      </c>
      <c r="Q874" s="261">
        <v>0.67700517637013713</v>
      </c>
      <c r="R874" s="94"/>
    </row>
    <row r="875" spans="1:18" x14ac:dyDescent="0.25">
      <c r="A875" s="367">
        <v>39623</v>
      </c>
      <c r="B875" s="367" t="s">
        <v>279</v>
      </c>
      <c r="C875" s="279" t="s">
        <v>570</v>
      </c>
      <c r="D875" s="159" t="s">
        <v>1024</v>
      </c>
      <c r="E875" s="45">
        <f t="shared" si="67"/>
        <v>39623</v>
      </c>
      <c r="F875" s="148" t="str">
        <f t="shared" si="68"/>
        <v>2007-08</v>
      </c>
      <c r="G875" s="1"/>
      <c r="H875" s="163"/>
      <c r="I875" s="37"/>
      <c r="J875" s="138">
        <f t="shared" si="69"/>
        <v>0.77968490742404351</v>
      </c>
      <c r="K875" s="114"/>
      <c r="L875" s="37">
        <v>1.9991928371200001</v>
      </c>
      <c r="M875" s="37" t="s">
        <v>142</v>
      </c>
      <c r="N875" s="37">
        <v>514.18436487804865</v>
      </c>
      <c r="O875" s="132">
        <f t="shared" si="70"/>
        <v>1027.9536992232913</v>
      </c>
      <c r="P875" s="134">
        <f t="shared" si="71"/>
        <v>542.6060984768917</v>
      </c>
      <c r="Q875" s="261">
        <v>0.67700517637013713</v>
      </c>
      <c r="R875" s="94"/>
    </row>
    <row r="876" spans="1:18" x14ac:dyDescent="0.25">
      <c r="A876" s="367">
        <v>39623</v>
      </c>
      <c r="B876" s="367" t="s">
        <v>279</v>
      </c>
      <c r="C876" s="279" t="s">
        <v>570</v>
      </c>
      <c r="D876" s="159" t="s">
        <v>1024</v>
      </c>
      <c r="E876" s="45">
        <f t="shared" si="67"/>
        <v>39623</v>
      </c>
      <c r="F876" s="148" t="str">
        <f t="shared" si="68"/>
        <v>2007-08</v>
      </c>
      <c r="G876" s="1"/>
      <c r="H876" s="163"/>
      <c r="I876" s="37"/>
      <c r="J876" s="138">
        <f t="shared" si="69"/>
        <v>0.77968490742404351</v>
      </c>
      <c r="K876" s="114"/>
      <c r="L876" s="37">
        <v>15.082383548499999</v>
      </c>
      <c r="M876" s="37" t="s">
        <v>142</v>
      </c>
      <c r="N876" s="37">
        <v>514.18436487804865</v>
      </c>
      <c r="O876" s="132">
        <f t="shared" si="70"/>
        <v>7755.1258057326022</v>
      </c>
      <c r="P876" s="134">
        <f t="shared" si="71"/>
        <v>4093.5487267816866</v>
      </c>
      <c r="Q876" s="261">
        <v>0.67700517637013713</v>
      </c>
      <c r="R876" s="94"/>
    </row>
    <row r="877" spans="1:18" x14ac:dyDescent="0.25">
      <c r="A877" s="367">
        <v>39623</v>
      </c>
      <c r="B877" s="367" t="s">
        <v>279</v>
      </c>
      <c r="C877" s="279" t="s">
        <v>570</v>
      </c>
      <c r="D877" s="159" t="s">
        <v>1024</v>
      </c>
      <c r="E877" s="45">
        <f t="shared" si="67"/>
        <v>39623</v>
      </c>
      <c r="F877" s="148" t="str">
        <f t="shared" si="68"/>
        <v>2007-08</v>
      </c>
      <c r="G877" s="1"/>
      <c r="H877" s="163"/>
      <c r="I877" s="37"/>
      <c r="J877" s="138">
        <f t="shared" si="69"/>
        <v>0.77968490742404351</v>
      </c>
      <c r="K877" s="114"/>
      <c r="L877" s="37">
        <v>2.4996737787200001</v>
      </c>
      <c r="M877" s="37" t="s">
        <v>142</v>
      </c>
      <c r="N877" s="37">
        <v>514.18436487804865</v>
      </c>
      <c r="O877" s="132">
        <f t="shared" si="70"/>
        <v>1285.2931743134552</v>
      </c>
      <c r="P877" s="134">
        <f t="shared" si="71"/>
        <v>678.44292524085085</v>
      </c>
      <c r="Q877" s="261">
        <v>0.67700517637013713</v>
      </c>
      <c r="R877" s="94"/>
    </row>
    <row r="878" spans="1:18" x14ac:dyDescent="0.25">
      <c r="A878" s="367">
        <v>39623</v>
      </c>
      <c r="B878" s="367" t="s">
        <v>279</v>
      </c>
      <c r="C878" s="279" t="s">
        <v>570</v>
      </c>
      <c r="D878" s="159" t="s">
        <v>1024</v>
      </c>
      <c r="E878" s="45">
        <f t="shared" si="67"/>
        <v>39623</v>
      </c>
      <c r="F878" s="148" t="str">
        <f t="shared" si="68"/>
        <v>2007-08</v>
      </c>
      <c r="G878" s="1"/>
      <c r="H878" s="163"/>
      <c r="I878" s="37"/>
      <c r="J878" s="138">
        <f t="shared" si="69"/>
        <v>0.77968490742404351</v>
      </c>
      <c r="K878" s="114"/>
      <c r="L878" s="37">
        <v>1.20040868041</v>
      </c>
      <c r="M878" s="37" t="s">
        <v>142</v>
      </c>
      <c r="N878" s="37">
        <v>514.18436487804865</v>
      </c>
      <c r="O878" s="132">
        <f t="shared" si="70"/>
        <v>617.23137493071238</v>
      </c>
      <c r="P878" s="134">
        <f t="shared" si="71"/>
        <v>325.80602459209763</v>
      </c>
      <c r="Q878" s="261">
        <v>0.67700517637013713</v>
      </c>
      <c r="R878" s="94"/>
    </row>
    <row r="879" spans="1:18" x14ac:dyDescent="0.25">
      <c r="A879" s="367">
        <v>40575</v>
      </c>
      <c r="B879" s="367" t="s">
        <v>279</v>
      </c>
      <c r="C879" s="279" t="s">
        <v>571</v>
      </c>
      <c r="D879" s="159" t="s">
        <v>1025</v>
      </c>
      <c r="E879" s="45">
        <f t="shared" si="67"/>
        <v>40575</v>
      </c>
      <c r="F879" s="148" t="str">
        <f t="shared" si="68"/>
        <v>2010-11</v>
      </c>
      <c r="G879" s="1"/>
      <c r="H879" s="163"/>
      <c r="I879" s="37"/>
      <c r="J879" s="138">
        <f t="shared" si="69"/>
        <v>0.77968490742404351</v>
      </c>
      <c r="K879" s="114"/>
      <c r="L879" s="37">
        <v>16.295979595399999</v>
      </c>
      <c r="M879" s="37" t="s">
        <v>142</v>
      </c>
      <c r="N879" s="37">
        <v>514.18436487804865</v>
      </c>
      <c r="O879" s="132">
        <f t="shared" si="70"/>
        <v>8379.1379183263889</v>
      </c>
      <c r="P879" s="134">
        <f t="shared" si="71"/>
        <v>5545.0564224987274</v>
      </c>
      <c r="Q879" s="261">
        <v>0.84876507945420487</v>
      </c>
      <c r="R879" s="94"/>
    </row>
    <row r="880" spans="1:18" x14ac:dyDescent="0.25">
      <c r="A880" s="367">
        <v>40575</v>
      </c>
      <c r="B880" s="367" t="s">
        <v>279</v>
      </c>
      <c r="C880" s="279" t="s">
        <v>571</v>
      </c>
      <c r="D880" s="159" t="s">
        <v>1025</v>
      </c>
      <c r="E880" s="45">
        <f t="shared" si="67"/>
        <v>40575</v>
      </c>
      <c r="F880" s="148" t="str">
        <f t="shared" si="68"/>
        <v>2010-11</v>
      </c>
      <c r="G880" s="1"/>
      <c r="H880" s="163"/>
      <c r="I880" s="37"/>
      <c r="J880" s="138">
        <f t="shared" si="69"/>
        <v>0.77968490742404351</v>
      </c>
      <c r="K880" s="114"/>
      <c r="L880" s="37">
        <v>17.670750761000001</v>
      </c>
      <c r="M880" s="37" t="s">
        <v>142</v>
      </c>
      <c r="N880" s="37">
        <v>514.18436487804865</v>
      </c>
      <c r="O880" s="132">
        <f t="shared" si="70"/>
        <v>9086.0237569630808</v>
      </c>
      <c r="P880" s="134">
        <f t="shared" si="71"/>
        <v>6012.8517849467889</v>
      </c>
      <c r="Q880" s="261">
        <v>0.84876507945420487</v>
      </c>
      <c r="R880" s="94"/>
    </row>
    <row r="881" spans="1:18" x14ac:dyDescent="0.25">
      <c r="A881" s="367">
        <v>40575</v>
      </c>
      <c r="B881" s="367" t="s">
        <v>279</v>
      </c>
      <c r="C881" s="279" t="s">
        <v>571</v>
      </c>
      <c r="D881" s="159" t="s">
        <v>1025</v>
      </c>
      <c r="E881" s="45">
        <f t="shared" si="67"/>
        <v>40575</v>
      </c>
      <c r="F881" s="148" t="str">
        <f t="shared" si="68"/>
        <v>2010-11</v>
      </c>
      <c r="G881" s="1"/>
      <c r="H881" s="163"/>
      <c r="I881" s="37"/>
      <c r="J881" s="138">
        <f t="shared" si="69"/>
        <v>0.77968490742404351</v>
      </c>
      <c r="K881" s="114"/>
      <c r="L881" s="37">
        <v>2.01583385095</v>
      </c>
      <c r="M881" s="37" t="s">
        <v>142</v>
      </c>
      <c r="N881" s="37">
        <v>470.74786858536584</v>
      </c>
      <c r="O881" s="132">
        <f t="shared" si="70"/>
        <v>948.94948875694251</v>
      </c>
      <c r="P881" s="134">
        <f t="shared" si="71"/>
        <v>627.9856601655714</v>
      </c>
      <c r="Q881" s="261">
        <v>0.84876507945420487</v>
      </c>
      <c r="R881" s="94"/>
    </row>
    <row r="882" spans="1:18" x14ac:dyDescent="0.25">
      <c r="A882" s="367">
        <v>40127</v>
      </c>
      <c r="B882" s="367" t="s">
        <v>279</v>
      </c>
      <c r="C882" s="279" t="s">
        <v>572</v>
      </c>
      <c r="D882" s="159" t="s">
        <v>1026</v>
      </c>
      <c r="E882" s="45">
        <f t="shared" si="67"/>
        <v>40127</v>
      </c>
      <c r="F882" s="148" t="str">
        <f t="shared" si="68"/>
        <v>2009-10</v>
      </c>
      <c r="G882" s="1"/>
      <c r="H882" s="163"/>
      <c r="I882" s="37"/>
      <c r="J882" s="138">
        <f t="shared" si="69"/>
        <v>0.77968490742404351</v>
      </c>
      <c r="K882" s="114"/>
      <c r="L882" s="37">
        <v>15.0350912867</v>
      </c>
      <c r="M882" s="37" t="s">
        <v>142</v>
      </c>
      <c r="N882" s="37">
        <v>514.18436487804865</v>
      </c>
      <c r="O882" s="132">
        <f t="shared" si="70"/>
        <v>7730.8088641353233</v>
      </c>
      <c r="P882" s="134">
        <f t="shared" si="71"/>
        <v>5510.5197255131097</v>
      </c>
      <c r="Q882" s="261">
        <v>0.91421532657936699</v>
      </c>
      <c r="R882" s="94"/>
    </row>
    <row r="883" spans="1:18" x14ac:dyDescent="0.25">
      <c r="A883" s="367">
        <v>40127</v>
      </c>
      <c r="B883" s="367" t="s">
        <v>279</v>
      </c>
      <c r="C883" s="279" t="s">
        <v>572</v>
      </c>
      <c r="D883" s="159" t="s">
        <v>1026</v>
      </c>
      <c r="E883" s="45">
        <f t="shared" si="67"/>
        <v>40127</v>
      </c>
      <c r="F883" s="148" t="str">
        <f t="shared" si="68"/>
        <v>2009-10</v>
      </c>
      <c r="G883" s="1"/>
      <c r="H883" s="163"/>
      <c r="I883" s="37"/>
      <c r="J883" s="138">
        <f t="shared" si="69"/>
        <v>0.77968490742404351</v>
      </c>
      <c r="K883" s="114"/>
      <c r="L883" s="37">
        <v>69.1128633557</v>
      </c>
      <c r="M883" s="37" t="s">
        <v>142</v>
      </c>
      <c r="N883" s="37">
        <v>514.18436487804865</v>
      </c>
      <c r="O883" s="132">
        <f t="shared" si="70"/>
        <v>35536.753749453965</v>
      </c>
      <c r="P883" s="134">
        <f t="shared" si="71"/>
        <v>25330.594244224769</v>
      </c>
      <c r="Q883" s="261">
        <v>0.91421532657936699</v>
      </c>
      <c r="R883" s="94"/>
    </row>
    <row r="884" spans="1:18" x14ac:dyDescent="0.25">
      <c r="A884" s="367">
        <v>44096</v>
      </c>
      <c r="B884" s="367" t="s">
        <v>279</v>
      </c>
      <c r="C884" s="279" t="s">
        <v>573</v>
      </c>
      <c r="D884" s="159" t="s">
        <v>1027</v>
      </c>
      <c r="E884" s="45">
        <f t="shared" si="67"/>
        <v>44096</v>
      </c>
      <c r="F884" s="148" t="str">
        <f t="shared" si="68"/>
        <v>2020-21</v>
      </c>
      <c r="G884" s="1"/>
      <c r="H884" s="163"/>
      <c r="I884" s="37"/>
      <c r="J884" s="138">
        <f t="shared" si="69"/>
        <v>0.77968490742404351</v>
      </c>
      <c r="K884" s="114"/>
      <c r="L884" s="37">
        <v>164.413884951</v>
      </c>
      <c r="M884" s="37" t="s">
        <v>142</v>
      </c>
      <c r="N884" s="37">
        <v>771.6404230243902</v>
      </c>
      <c r="O884" s="132">
        <f t="shared" si="70"/>
        <v>126868.39973467306</v>
      </c>
      <c r="P884" s="134">
        <f t="shared" si="71"/>
        <v>98917.376502165105</v>
      </c>
      <c r="Q884" s="261">
        <v>1</v>
      </c>
      <c r="R884" s="94"/>
    </row>
    <row r="885" spans="1:18" x14ac:dyDescent="0.25">
      <c r="A885" s="367">
        <v>44096</v>
      </c>
      <c r="B885" s="367" t="s">
        <v>279</v>
      </c>
      <c r="C885" s="279" t="s">
        <v>573</v>
      </c>
      <c r="D885" s="159" t="s">
        <v>1027</v>
      </c>
      <c r="E885" s="45">
        <f t="shared" si="67"/>
        <v>44096</v>
      </c>
      <c r="F885" s="148" t="str">
        <f t="shared" si="68"/>
        <v>2020-21</v>
      </c>
      <c r="G885" s="1"/>
      <c r="H885" s="163"/>
      <c r="I885" s="37"/>
      <c r="J885" s="138">
        <f t="shared" si="69"/>
        <v>0.77968490742404351</v>
      </c>
      <c r="K885" s="114"/>
      <c r="L885" s="37">
        <v>9.6797418447699997</v>
      </c>
      <c r="M885" s="37" t="s">
        <v>142</v>
      </c>
      <c r="N885" s="37">
        <v>1128.7084557073169</v>
      </c>
      <c r="O885" s="132">
        <f t="shared" si="70"/>
        <v>10925.606469255841</v>
      </c>
      <c r="P885" s="134">
        <f t="shared" si="71"/>
        <v>8518.5304685332721</v>
      </c>
      <c r="Q885" s="261">
        <v>1</v>
      </c>
      <c r="R885" s="94"/>
    </row>
    <row r="886" spans="1:18" x14ac:dyDescent="0.25">
      <c r="A886" s="367">
        <v>44096</v>
      </c>
      <c r="B886" s="367" t="s">
        <v>279</v>
      </c>
      <c r="C886" s="279" t="s">
        <v>573</v>
      </c>
      <c r="D886" s="159" t="s">
        <v>1027</v>
      </c>
      <c r="E886" s="45">
        <f t="shared" si="67"/>
        <v>44096</v>
      </c>
      <c r="F886" s="148" t="str">
        <f t="shared" si="68"/>
        <v>2020-21</v>
      </c>
      <c r="G886" s="1"/>
      <c r="H886" s="163"/>
      <c r="I886" s="37"/>
      <c r="J886" s="138">
        <f t="shared" si="69"/>
        <v>0.77968490742404351</v>
      </c>
      <c r="K886" s="114"/>
      <c r="L886" s="37">
        <v>1.1781213859399999</v>
      </c>
      <c r="M886" s="37" t="s">
        <v>142</v>
      </c>
      <c r="N886" s="37">
        <v>771.6404230243902</v>
      </c>
      <c r="O886" s="132">
        <f t="shared" si="70"/>
        <v>909.08608462082248</v>
      </c>
      <c r="P886" s="134">
        <f t="shared" si="71"/>
        <v>708.80069972807212</v>
      </c>
      <c r="Q886" s="261">
        <v>1</v>
      </c>
      <c r="R886" s="94"/>
    </row>
    <row r="887" spans="1:18" x14ac:dyDescent="0.25">
      <c r="A887" s="367">
        <v>42287</v>
      </c>
      <c r="B887" s="367" t="s">
        <v>279</v>
      </c>
      <c r="C887" s="279" t="s">
        <v>574</v>
      </c>
      <c r="D887" s="159" t="s">
        <v>1028</v>
      </c>
      <c r="E887" s="45">
        <f t="shared" si="67"/>
        <v>42287</v>
      </c>
      <c r="F887" s="148" t="str">
        <f t="shared" si="68"/>
        <v>2015-16</v>
      </c>
      <c r="G887" s="1"/>
      <c r="H887" s="163"/>
      <c r="I887" s="37"/>
      <c r="J887" s="138">
        <f t="shared" si="69"/>
        <v>0.77968490742404351</v>
      </c>
      <c r="K887" s="114"/>
      <c r="L887" s="37">
        <v>178.66437155899999</v>
      </c>
      <c r="M887" s="37" t="s">
        <v>142</v>
      </c>
      <c r="N887" s="37">
        <v>470.74786858536584</v>
      </c>
      <c r="O887" s="132">
        <f t="shared" si="70"/>
        <v>84105.872103543094</v>
      </c>
      <c r="P887" s="134">
        <f t="shared" si="71"/>
        <v>65576.079104869437</v>
      </c>
      <c r="Q887" s="261">
        <v>1</v>
      </c>
      <c r="R887" s="94"/>
    </row>
    <row r="888" spans="1:18" x14ac:dyDescent="0.25">
      <c r="A888" s="367">
        <v>42339</v>
      </c>
      <c r="B888" s="367" t="s">
        <v>279</v>
      </c>
      <c r="C888" s="279" t="s">
        <v>575</v>
      </c>
      <c r="D888" s="159" t="s">
        <v>932</v>
      </c>
      <c r="E888" s="45">
        <f t="shared" si="67"/>
        <v>42339</v>
      </c>
      <c r="F888" s="148" t="str">
        <f t="shared" si="68"/>
        <v>2015-16</v>
      </c>
      <c r="G888" s="1"/>
      <c r="H888" s="163"/>
      <c r="I888" s="37"/>
      <c r="J888" s="138">
        <f t="shared" si="69"/>
        <v>0.77968490742404351</v>
      </c>
      <c r="K888" s="114"/>
      <c r="L888" s="37">
        <v>86.469196889100004</v>
      </c>
      <c r="M888" s="37" t="s">
        <v>142</v>
      </c>
      <c r="N888" s="37">
        <v>470.74786858536584</v>
      </c>
      <c r="O888" s="132">
        <f t="shared" si="70"/>
        <v>40705.190133832177</v>
      </c>
      <c r="P888" s="134">
        <f t="shared" si="71"/>
        <v>13630.958443194238</v>
      </c>
      <c r="Q888" s="261">
        <v>0.42949437322812378</v>
      </c>
      <c r="R888" s="94"/>
    </row>
    <row r="889" spans="1:18" x14ac:dyDescent="0.25">
      <c r="A889" s="367">
        <v>42339</v>
      </c>
      <c r="B889" s="367" t="s">
        <v>279</v>
      </c>
      <c r="C889" s="279" t="s">
        <v>575</v>
      </c>
      <c r="D889" s="159" t="s">
        <v>932</v>
      </c>
      <c r="E889" s="45">
        <f t="shared" si="67"/>
        <v>42339</v>
      </c>
      <c r="F889" s="148" t="str">
        <f t="shared" si="68"/>
        <v>2015-16</v>
      </c>
      <c r="G889" s="1"/>
      <c r="H889" s="163"/>
      <c r="I889" s="37"/>
      <c r="J889" s="138">
        <f t="shared" si="69"/>
        <v>0.77968490742404351</v>
      </c>
      <c r="K889" s="114"/>
      <c r="L889" s="37">
        <v>94.562382486399997</v>
      </c>
      <c r="M889" s="37" t="s">
        <v>142</v>
      </c>
      <c r="N889" s="37">
        <v>621.96155034146341</v>
      </c>
      <c r="O889" s="132">
        <f t="shared" si="70"/>
        <v>58814.166015223789</v>
      </c>
      <c r="P889" s="134">
        <f t="shared" si="71"/>
        <v>19695.116278509009</v>
      </c>
      <c r="Q889" s="261">
        <v>0.42949437322812378</v>
      </c>
      <c r="R889" s="94"/>
    </row>
    <row r="890" spans="1:18" x14ac:dyDescent="0.25">
      <c r="A890" s="367">
        <v>42339</v>
      </c>
      <c r="B890" s="367" t="s">
        <v>279</v>
      </c>
      <c r="C890" s="279" t="s">
        <v>575</v>
      </c>
      <c r="D890" s="159" t="s">
        <v>932</v>
      </c>
      <c r="E890" s="45">
        <f t="shared" si="67"/>
        <v>42339</v>
      </c>
      <c r="F890" s="148" t="str">
        <f t="shared" si="68"/>
        <v>2015-16</v>
      </c>
      <c r="G890" s="1"/>
      <c r="H890" s="163"/>
      <c r="I890" s="37"/>
      <c r="J890" s="138">
        <f t="shared" si="69"/>
        <v>0.77968490742404351</v>
      </c>
      <c r="K890" s="114"/>
      <c r="L890" s="37">
        <v>21.600229030600001</v>
      </c>
      <c r="M890" s="37" t="s">
        <v>142</v>
      </c>
      <c r="N890" s="37">
        <v>916.52160117073151</v>
      </c>
      <c r="O890" s="132">
        <f t="shared" si="70"/>
        <v>19797.076496780031</v>
      </c>
      <c r="P890" s="134">
        <f t="shared" si="71"/>
        <v>6629.4525621207495</v>
      </c>
      <c r="Q890" s="261">
        <v>0.42949437322812378</v>
      </c>
      <c r="R890" s="94"/>
    </row>
    <row r="891" spans="1:18" x14ac:dyDescent="0.25">
      <c r="A891" s="367">
        <v>42339</v>
      </c>
      <c r="B891" s="367" t="s">
        <v>279</v>
      </c>
      <c r="C891" s="279" t="s">
        <v>575</v>
      </c>
      <c r="D891" s="159" t="s">
        <v>932</v>
      </c>
      <c r="E891" s="45">
        <f t="shared" si="67"/>
        <v>42339</v>
      </c>
      <c r="F891" s="148" t="str">
        <f t="shared" si="68"/>
        <v>2015-16</v>
      </c>
      <c r="G891" s="1"/>
      <c r="H891" s="163"/>
      <c r="I891" s="37"/>
      <c r="J891" s="138">
        <f t="shared" si="69"/>
        <v>0.77968490742404351</v>
      </c>
      <c r="K891" s="114"/>
      <c r="L891" s="37">
        <v>3.2307630663100002</v>
      </c>
      <c r="M891" s="37" t="s">
        <v>142</v>
      </c>
      <c r="N891" s="37">
        <v>621.96155034146341</v>
      </c>
      <c r="O891" s="132">
        <f t="shared" si="70"/>
        <v>2009.4104055081079</v>
      </c>
      <c r="P891" s="134">
        <f t="shared" si="71"/>
        <v>672.8918263923722</v>
      </c>
      <c r="Q891" s="261">
        <v>0.42949437322812378</v>
      </c>
      <c r="R891" s="94"/>
    </row>
    <row r="892" spans="1:18" x14ac:dyDescent="0.25">
      <c r="A892" s="367">
        <v>42339</v>
      </c>
      <c r="B892" s="367" t="s">
        <v>279</v>
      </c>
      <c r="C892" s="279" t="s">
        <v>575</v>
      </c>
      <c r="D892" s="159" t="s">
        <v>932</v>
      </c>
      <c r="E892" s="45">
        <f t="shared" si="67"/>
        <v>42339</v>
      </c>
      <c r="F892" s="148" t="str">
        <f t="shared" si="68"/>
        <v>2015-16</v>
      </c>
      <c r="G892" s="1"/>
      <c r="H892" s="163"/>
      <c r="I892" s="37"/>
      <c r="J892" s="138">
        <f t="shared" si="69"/>
        <v>0.77968490742404351</v>
      </c>
      <c r="K892" s="114"/>
      <c r="L892" s="37">
        <v>2.7001407370699999</v>
      </c>
      <c r="M892" s="37" t="s">
        <v>142</v>
      </c>
      <c r="N892" s="37">
        <v>470.74786858536584</v>
      </c>
      <c r="O892" s="132">
        <f t="shared" si="70"/>
        <v>1271.0854968562212</v>
      </c>
      <c r="P892" s="134">
        <f t="shared" si="71"/>
        <v>425.64875703635221</v>
      </c>
      <c r="Q892" s="261">
        <v>0.42949437322812378</v>
      </c>
      <c r="R892" s="94"/>
    </row>
    <row r="893" spans="1:18" x14ac:dyDescent="0.25">
      <c r="A893" s="367">
        <v>39063</v>
      </c>
      <c r="B893" s="367" t="s">
        <v>279</v>
      </c>
      <c r="C893" s="279" t="s">
        <v>576</v>
      </c>
      <c r="D893" s="159" t="s">
        <v>1029</v>
      </c>
      <c r="E893" s="45">
        <f t="shared" si="67"/>
        <v>39063</v>
      </c>
      <c r="F893" s="148" t="str">
        <f t="shared" si="68"/>
        <v>2006-07</v>
      </c>
      <c r="G893" s="1"/>
      <c r="H893" s="163"/>
      <c r="I893" s="37"/>
      <c r="J893" s="138">
        <f t="shared" si="69"/>
        <v>0.77968490742404351</v>
      </c>
      <c r="K893" s="114"/>
      <c r="L893" s="37">
        <v>136.66438091399999</v>
      </c>
      <c r="M893" s="37" t="s">
        <v>142</v>
      </c>
      <c r="N893" s="37">
        <v>514.18436487804865</v>
      </c>
      <c r="O893" s="132">
        <f t="shared" si="70"/>
        <v>70270.687901716796</v>
      </c>
      <c r="P893" s="134">
        <f t="shared" si="71"/>
        <v>52501.067650554614</v>
      </c>
      <c r="Q893" s="261">
        <v>0.95824111850499416</v>
      </c>
      <c r="R893" s="94"/>
    </row>
    <row r="894" spans="1:18" x14ac:dyDescent="0.25">
      <c r="A894" s="367">
        <v>39063</v>
      </c>
      <c r="B894" s="367" t="s">
        <v>279</v>
      </c>
      <c r="C894" s="279" t="s">
        <v>576</v>
      </c>
      <c r="D894" s="159" t="s">
        <v>1029</v>
      </c>
      <c r="E894" s="45">
        <f t="shared" si="67"/>
        <v>39063</v>
      </c>
      <c r="F894" s="148" t="str">
        <f t="shared" si="68"/>
        <v>2006-07</v>
      </c>
      <c r="G894" s="1"/>
      <c r="H894" s="163"/>
      <c r="I894" s="37"/>
      <c r="J894" s="138">
        <f t="shared" si="69"/>
        <v>0.77968490742404351</v>
      </c>
      <c r="K894" s="114"/>
      <c r="L894" s="37">
        <v>29.137058822899998</v>
      </c>
      <c r="M894" s="37" t="s">
        <v>142</v>
      </c>
      <c r="N894" s="37">
        <v>798.44393414634135</v>
      </c>
      <c r="O894" s="132">
        <f t="shared" si="70"/>
        <v>23264.30787600964</v>
      </c>
      <c r="P894" s="134">
        <f t="shared" si="71"/>
        <v>17381.372491329665</v>
      </c>
      <c r="Q894" s="261">
        <v>0.95824111850499416</v>
      </c>
      <c r="R894" s="94"/>
    </row>
    <row r="895" spans="1:18" x14ac:dyDescent="0.25">
      <c r="A895" s="367">
        <v>39063</v>
      </c>
      <c r="B895" s="367" t="s">
        <v>279</v>
      </c>
      <c r="C895" s="279" t="s">
        <v>576</v>
      </c>
      <c r="D895" s="159" t="s">
        <v>1029</v>
      </c>
      <c r="E895" s="45">
        <f t="shared" si="67"/>
        <v>39063</v>
      </c>
      <c r="F895" s="148" t="str">
        <f t="shared" si="68"/>
        <v>2006-07</v>
      </c>
      <c r="G895" s="1"/>
      <c r="H895" s="163"/>
      <c r="I895" s="37"/>
      <c r="J895" s="138">
        <f t="shared" si="69"/>
        <v>0.77968490742404351</v>
      </c>
      <c r="K895" s="114"/>
      <c r="L895" s="37">
        <v>1.8994686099</v>
      </c>
      <c r="M895" s="37" t="s">
        <v>142</v>
      </c>
      <c r="N895" s="37">
        <v>514.18436487804865</v>
      </c>
      <c r="O895" s="132">
        <f t="shared" si="70"/>
        <v>976.67706078722142</v>
      </c>
      <c r="P895" s="134">
        <f t="shared" si="71"/>
        <v>729.70096027595605</v>
      </c>
      <c r="Q895" s="261">
        <v>0.95824111850499416</v>
      </c>
      <c r="R895" s="94"/>
    </row>
    <row r="896" spans="1:18" x14ac:dyDescent="0.25">
      <c r="A896" s="367">
        <v>42358</v>
      </c>
      <c r="B896" s="367" t="s">
        <v>279</v>
      </c>
      <c r="C896" s="279" t="s">
        <v>577</v>
      </c>
      <c r="D896" s="159" t="s">
        <v>1030</v>
      </c>
      <c r="E896" s="45">
        <f t="shared" si="67"/>
        <v>42358</v>
      </c>
      <c r="F896" s="148" t="str">
        <f t="shared" si="68"/>
        <v>2015-16</v>
      </c>
      <c r="G896" s="1"/>
      <c r="H896" s="163"/>
      <c r="I896" s="37"/>
      <c r="J896" s="138">
        <f t="shared" si="69"/>
        <v>0.77968490742404351</v>
      </c>
      <c r="K896" s="114"/>
      <c r="L896" s="37">
        <v>0.34828149534500003</v>
      </c>
      <c r="M896" s="37" t="s">
        <v>142</v>
      </c>
      <c r="N896" s="37">
        <v>796.67902439024385</v>
      </c>
      <c r="O896" s="132">
        <f t="shared" si="70"/>
        <v>277.46856192462985</v>
      </c>
      <c r="P896" s="134">
        <f t="shared" si="71"/>
        <v>216.33805001728751</v>
      </c>
      <c r="Q896" s="261">
        <v>1</v>
      </c>
      <c r="R896" s="94"/>
    </row>
    <row r="897" spans="1:18" x14ac:dyDescent="0.25">
      <c r="A897" s="367">
        <v>42358</v>
      </c>
      <c r="B897" s="367" t="s">
        <v>279</v>
      </c>
      <c r="C897" s="279" t="s">
        <v>577</v>
      </c>
      <c r="D897" s="159" t="s">
        <v>1030</v>
      </c>
      <c r="E897" s="45">
        <f t="shared" si="67"/>
        <v>42358</v>
      </c>
      <c r="F897" s="148" t="str">
        <f t="shared" si="68"/>
        <v>2015-16</v>
      </c>
      <c r="G897" s="1"/>
      <c r="H897" s="163"/>
      <c r="I897" s="37"/>
      <c r="J897" s="138">
        <f t="shared" si="69"/>
        <v>0.77968490742404351</v>
      </c>
      <c r="K897" s="114"/>
      <c r="L897" s="37">
        <v>0.56423842478200004</v>
      </c>
      <c r="M897" s="37" t="s">
        <v>142</v>
      </c>
      <c r="N897" s="37">
        <v>796.67902439024385</v>
      </c>
      <c r="O897" s="132">
        <f t="shared" si="70"/>
        <v>449.51691777881177</v>
      </c>
      <c r="P897" s="134">
        <f t="shared" si="71"/>
        <v>350.48155642391424</v>
      </c>
      <c r="Q897" s="261">
        <v>1</v>
      </c>
      <c r="R897" s="94"/>
    </row>
    <row r="898" spans="1:18" x14ac:dyDescent="0.25">
      <c r="A898" s="367">
        <v>42358</v>
      </c>
      <c r="B898" s="367" t="s">
        <v>279</v>
      </c>
      <c r="C898" s="279" t="s">
        <v>577</v>
      </c>
      <c r="D898" s="159" t="s">
        <v>1030</v>
      </c>
      <c r="E898" s="45">
        <f t="shared" si="67"/>
        <v>42358</v>
      </c>
      <c r="F898" s="148" t="str">
        <f t="shared" si="68"/>
        <v>2015-16</v>
      </c>
      <c r="G898" s="1"/>
      <c r="H898" s="163"/>
      <c r="I898" s="37"/>
      <c r="J898" s="138">
        <f t="shared" si="69"/>
        <v>0.77968490742404351</v>
      </c>
      <c r="K898" s="114"/>
      <c r="L898" s="37">
        <v>0.54677417642000004</v>
      </c>
      <c r="M898" s="37" t="s">
        <v>142</v>
      </c>
      <c r="N898" s="37">
        <v>796.67902439024385</v>
      </c>
      <c r="O898" s="132">
        <f t="shared" si="70"/>
        <v>435.60351743206468</v>
      </c>
      <c r="P898" s="134">
        <f t="shared" si="71"/>
        <v>339.63348816260708</v>
      </c>
      <c r="Q898" s="261">
        <v>1</v>
      </c>
      <c r="R898" s="94"/>
    </row>
    <row r="899" spans="1:18" x14ac:dyDescent="0.25">
      <c r="A899" s="367">
        <v>42358</v>
      </c>
      <c r="B899" s="367" t="s">
        <v>279</v>
      </c>
      <c r="C899" s="279" t="s">
        <v>577</v>
      </c>
      <c r="D899" s="159" t="s">
        <v>1031</v>
      </c>
      <c r="E899" s="45">
        <f t="shared" si="67"/>
        <v>42358</v>
      </c>
      <c r="F899" s="148" t="str">
        <f t="shared" si="68"/>
        <v>2015-16</v>
      </c>
      <c r="G899" s="1"/>
      <c r="H899" s="163"/>
      <c r="I899" s="37"/>
      <c r="J899" s="138">
        <f t="shared" si="69"/>
        <v>0.77968490742404351</v>
      </c>
      <c r="K899" s="114"/>
      <c r="L899" s="37">
        <v>1.4999723360799999</v>
      </c>
      <c r="M899" s="37" t="s">
        <v>142</v>
      </c>
      <c r="N899" s="37">
        <v>4941.5647267317063</v>
      </c>
      <c r="O899" s="132">
        <f t="shared" si="70"/>
        <v>7412.2103870462843</v>
      </c>
      <c r="P899" s="134">
        <f t="shared" si="71"/>
        <v>5779.1885694317161</v>
      </c>
      <c r="Q899" s="261">
        <v>1</v>
      </c>
      <c r="R899" s="94"/>
    </row>
    <row r="900" spans="1:18" x14ac:dyDescent="0.25">
      <c r="A900" s="367">
        <v>42269</v>
      </c>
      <c r="B900" s="367" t="s">
        <v>279</v>
      </c>
      <c r="C900" s="279" t="s">
        <v>578</v>
      </c>
      <c r="D900" s="159" t="s">
        <v>1032</v>
      </c>
      <c r="E900" s="45">
        <f t="shared" si="67"/>
        <v>42269</v>
      </c>
      <c r="F900" s="148" t="str">
        <f t="shared" si="68"/>
        <v>2015-16</v>
      </c>
      <c r="G900" s="1"/>
      <c r="H900" s="163"/>
      <c r="I900" s="37"/>
      <c r="J900" s="138">
        <f t="shared" si="69"/>
        <v>0.77968490742404351</v>
      </c>
      <c r="K900" s="114"/>
      <c r="L900" s="37">
        <v>343.77300663699998</v>
      </c>
      <c r="M900" s="37" t="s">
        <v>142</v>
      </c>
      <c r="N900" s="37">
        <v>470.74786858536584</v>
      </c>
      <c r="O900" s="132">
        <f t="shared" si="70"/>
        <v>161830.41015155058</v>
      </c>
      <c r="P900" s="134">
        <f t="shared" si="71"/>
        <v>29868.827094232398</v>
      </c>
      <c r="Q900" s="261">
        <v>0.23672215536946176</v>
      </c>
      <c r="R900" s="94"/>
    </row>
    <row r="901" spans="1:18" x14ac:dyDescent="0.25">
      <c r="A901" s="367">
        <v>42269</v>
      </c>
      <c r="B901" s="367" t="s">
        <v>279</v>
      </c>
      <c r="C901" s="279" t="s">
        <v>578</v>
      </c>
      <c r="D901" s="159" t="s">
        <v>1032</v>
      </c>
      <c r="E901" s="45">
        <f t="shared" si="67"/>
        <v>42269</v>
      </c>
      <c r="F901" s="148" t="str">
        <f t="shared" si="68"/>
        <v>2015-16</v>
      </c>
      <c r="G901" s="1"/>
      <c r="H901" s="163"/>
      <c r="I901" s="37"/>
      <c r="J901" s="138">
        <f t="shared" si="69"/>
        <v>0.77968490742404351</v>
      </c>
      <c r="K901" s="114"/>
      <c r="L901" s="37">
        <v>116.41249888999999</v>
      </c>
      <c r="M901" s="37" t="s">
        <v>142</v>
      </c>
      <c r="N901" s="37">
        <v>514.18436487804865</v>
      </c>
      <c r="O901" s="132">
        <f t="shared" si="70"/>
        <v>59857.486805621193</v>
      </c>
      <c r="P901" s="134">
        <f t="shared" si="71"/>
        <v>11047.818033817584</v>
      </c>
      <c r="Q901" s="261">
        <v>0.23672215536946176</v>
      </c>
      <c r="R901" s="94"/>
    </row>
    <row r="902" spans="1:18" x14ac:dyDescent="0.25">
      <c r="A902" s="367">
        <v>42269</v>
      </c>
      <c r="B902" s="367" t="s">
        <v>279</v>
      </c>
      <c r="C902" s="279" t="s">
        <v>578</v>
      </c>
      <c r="D902" s="159" t="s">
        <v>1032</v>
      </c>
      <c r="E902" s="45">
        <f t="shared" si="67"/>
        <v>42269</v>
      </c>
      <c r="F902" s="148" t="str">
        <f t="shared" si="68"/>
        <v>2015-16</v>
      </c>
      <c r="G902" s="1"/>
      <c r="H902" s="163"/>
      <c r="I902" s="37"/>
      <c r="J902" s="138">
        <f t="shared" si="69"/>
        <v>0.77968490742404351</v>
      </c>
      <c r="K902" s="114"/>
      <c r="L902" s="37">
        <v>11.094271127500001</v>
      </c>
      <c r="M902" s="37" t="s">
        <v>142</v>
      </c>
      <c r="N902" s="37">
        <v>514.18436487804865</v>
      </c>
      <c r="O902" s="132">
        <f t="shared" si="70"/>
        <v>5704.5007534784609</v>
      </c>
      <c r="P902" s="134">
        <f t="shared" si="71"/>
        <v>1052.8722414100241</v>
      </c>
      <c r="Q902" s="261">
        <v>0.23672215536946176</v>
      </c>
      <c r="R902" s="94"/>
    </row>
    <row r="903" spans="1:18" x14ac:dyDescent="0.25">
      <c r="A903" s="367">
        <v>42269</v>
      </c>
      <c r="B903" s="367" t="s">
        <v>279</v>
      </c>
      <c r="C903" s="279" t="s">
        <v>578</v>
      </c>
      <c r="D903" s="159" t="s">
        <v>1032</v>
      </c>
      <c r="E903" s="45">
        <f t="shared" si="67"/>
        <v>42269</v>
      </c>
      <c r="F903" s="148" t="str">
        <f t="shared" si="68"/>
        <v>2015-16</v>
      </c>
      <c r="G903" s="1"/>
      <c r="H903" s="163"/>
      <c r="I903" s="37"/>
      <c r="J903" s="138">
        <f t="shared" si="69"/>
        <v>0.77968490742404351</v>
      </c>
      <c r="K903" s="114"/>
      <c r="L903" s="37">
        <v>2.5127184906200002</v>
      </c>
      <c r="M903" s="37" t="s">
        <v>142</v>
      </c>
      <c r="N903" s="37">
        <v>470.74786858536584</v>
      </c>
      <c r="O903" s="132">
        <f t="shared" si="70"/>
        <v>1182.8568738144027</v>
      </c>
      <c r="P903" s="134">
        <f t="shared" si="71"/>
        <v>218.31834578000758</v>
      </c>
      <c r="Q903" s="261">
        <v>0.23672215536946176</v>
      </c>
      <c r="R903" s="94"/>
    </row>
    <row r="904" spans="1:18" x14ac:dyDescent="0.25">
      <c r="A904" s="367">
        <v>42269</v>
      </c>
      <c r="B904" s="367" t="s">
        <v>279</v>
      </c>
      <c r="C904" s="279" t="s">
        <v>578</v>
      </c>
      <c r="D904" s="159" t="s">
        <v>1032</v>
      </c>
      <c r="E904" s="45">
        <f t="shared" si="67"/>
        <v>42269</v>
      </c>
      <c r="F904" s="148" t="str">
        <f t="shared" si="68"/>
        <v>2015-16</v>
      </c>
      <c r="G904" s="1"/>
      <c r="H904" s="163"/>
      <c r="I904" s="37"/>
      <c r="J904" s="138">
        <f t="shared" si="69"/>
        <v>0.77968490742404351</v>
      </c>
      <c r="K904" s="114"/>
      <c r="L904" s="37">
        <v>1.4999376653700001</v>
      </c>
      <c r="M904" s="37" t="s">
        <v>142</v>
      </c>
      <c r="N904" s="37">
        <v>514.18436487804865</v>
      </c>
      <c r="O904" s="132">
        <f t="shared" si="70"/>
        <v>771.24449582493651</v>
      </c>
      <c r="P904" s="134">
        <f t="shared" si="71"/>
        <v>142.34758764808552</v>
      </c>
      <c r="Q904" s="261">
        <v>0.23672215536946176</v>
      </c>
      <c r="R904" s="94"/>
    </row>
    <row r="905" spans="1:18" x14ac:dyDescent="0.25">
      <c r="A905" s="367">
        <v>42269</v>
      </c>
      <c r="B905" s="367" t="s">
        <v>279</v>
      </c>
      <c r="C905" s="279" t="s">
        <v>578</v>
      </c>
      <c r="D905" s="159" t="s">
        <v>1032</v>
      </c>
      <c r="E905" s="45">
        <f t="shared" si="67"/>
        <v>42269</v>
      </c>
      <c r="F905" s="148" t="str">
        <f t="shared" si="68"/>
        <v>2015-16</v>
      </c>
      <c r="G905" s="1"/>
      <c r="H905" s="163"/>
      <c r="I905" s="37"/>
      <c r="J905" s="138">
        <f t="shared" si="69"/>
        <v>0.77968490742404351</v>
      </c>
      <c r="K905" s="114"/>
      <c r="L905" s="37">
        <v>4.7262637463399999</v>
      </c>
      <c r="M905" s="37" t="s">
        <v>142</v>
      </c>
      <c r="N905" s="37">
        <v>470.74786858536584</v>
      </c>
      <c r="O905" s="132">
        <f t="shared" si="70"/>
        <v>2224.8785849618412</v>
      </c>
      <c r="P905" s="134">
        <f t="shared" si="71"/>
        <v>410.64292982791375</v>
      </c>
      <c r="Q905" s="261">
        <v>0.23672215536946176</v>
      </c>
      <c r="R905" s="94"/>
    </row>
    <row r="906" spans="1:18" x14ac:dyDescent="0.25">
      <c r="A906" s="367">
        <v>42269</v>
      </c>
      <c r="B906" s="367" t="s">
        <v>279</v>
      </c>
      <c r="C906" s="279" t="s">
        <v>578</v>
      </c>
      <c r="D906" s="159" t="s">
        <v>1032</v>
      </c>
      <c r="E906" s="45">
        <f t="shared" si="67"/>
        <v>42269</v>
      </c>
      <c r="F906" s="148" t="str">
        <f t="shared" si="68"/>
        <v>2015-16</v>
      </c>
      <c r="G906" s="1"/>
      <c r="H906" s="163"/>
      <c r="I906" s="37"/>
      <c r="J906" s="138">
        <f t="shared" si="69"/>
        <v>0.77968490742404351</v>
      </c>
      <c r="K906" s="114"/>
      <c r="L906" s="37">
        <v>136.990587836</v>
      </c>
      <c r="M906" s="37" t="s">
        <v>142</v>
      </c>
      <c r="N906" s="37">
        <v>514.18436487804865</v>
      </c>
      <c r="O906" s="132">
        <f t="shared" si="70"/>
        <v>70438.4184007242</v>
      </c>
      <c r="P906" s="134">
        <f t="shared" si="71"/>
        <v>13000.726736292403</v>
      </c>
      <c r="Q906" s="261">
        <v>0.23672215536946176</v>
      </c>
      <c r="R906" s="94"/>
    </row>
    <row r="907" spans="1:18" x14ac:dyDescent="0.25">
      <c r="A907" s="367">
        <v>42269</v>
      </c>
      <c r="B907" s="367" t="s">
        <v>279</v>
      </c>
      <c r="C907" s="279" t="s">
        <v>578</v>
      </c>
      <c r="D907" s="159" t="s">
        <v>1032</v>
      </c>
      <c r="E907" s="45">
        <f t="shared" si="67"/>
        <v>42269</v>
      </c>
      <c r="F907" s="148" t="str">
        <f t="shared" si="68"/>
        <v>2015-16</v>
      </c>
      <c r="G907" s="1"/>
      <c r="H907" s="163"/>
      <c r="I907" s="37"/>
      <c r="J907" s="138">
        <f t="shared" si="69"/>
        <v>0.77968490742404351</v>
      </c>
      <c r="K907" s="114"/>
      <c r="L907" s="37">
        <v>23.010397768000001</v>
      </c>
      <c r="M907" s="37" t="s">
        <v>142</v>
      </c>
      <c r="N907" s="37">
        <v>514.18436487804865</v>
      </c>
      <c r="O907" s="132">
        <f t="shared" si="70"/>
        <v>11831.586761930348</v>
      </c>
      <c r="P907" s="134">
        <f t="shared" si="71"/>
        <v>2183.7404905021212</v>
      </c>
      <c r="Q907" s="261">
        <v>0.23672215536946176</v>
      </c>
      <c r="R907" s="94"/>
    </row>
    <row r="908" spans="1:18" x14ac:dyDescent="0.25">
      <c r="A908" s="367">
        <v>42269</v>
      </c>
      <c r="B908" s="367" t="s">
        <v>279</v>
      </c>
      <c r="C908" s="279" t="s">
        <v>578</v>
      </c>
      <c r="D908" s="159" t="s">
        <v>1032</v>
      </c>
      <c r="E908" s="45">
        <f t="shared" si="67"/>
        <v>42269</v>
      </c>
      <c r="F908" s="148" t="str">
        <f t="shared" si="68"/>
        <v>2015-16</v>
      </c>
      <c r="G908" s="1"/>
      <c r="H908" s="163"/>
      <c r="I908" s="37"/>
      <c r="J908" s="138">
        <f t="shared" si="69"/>
        <v>0.77968490742404351</v>
      </c>
      <c r="K908" s="114"/>
      <c r="L908" s="37">
        <v>1.49929183283</v>
      </c>
      <c r="M908" s="37" t="s">
        <v>142</v>
      </c>
      <c r="N908" s="37">
        <v>470.74786858536584</v>
      </c>
      <c r="O908" s="132">
        <f t="shared" si="70"/>
        <v>705.78843469216918</v>
      </c>
      <c r="P908" s="134">
        <f t="shared" si="71"/>
        <v>130.26644807479252</v>
      </c>
      <c r="Q908" s="261">
        <v>0.23672215536946176</v>
      </c>
      <c r="R908" s="94"/>
    </row>
    <row r="909" spans="1:18" x14ac:dyDescent="0.25">
      <c r="A909" s="367">
        <v>42269</v>
      </c>
      <c r="B909" s="367" t="s">
        <v>279</v>
      </c>
      <c r="C909" s="279" t="s">
        <v>578</v>
      </c>
      <c r="D909" s="159" t="s">
        <v>1032</v>
      </c>
      <c r="E909" s="45">
        <f t="shared" si="67"/>
        <v>42269</v>
      </c>
      <c r="F909" s="148" t="str">
        <f t="shared" si="68"/>
        <v>2015-16</v>
      </c>
      <c r="G909" s="1"/>
      <c r="H909" s="163"/>
      <c r="I909" s="37"/>
      <c r="J909" s="138">
        <f t="shared" si="69"/>
        <v>0.77968490742404351</v>
      </c>
      <c r="K909" s="114"/>
      <c r="L909" s="37">
        <v>1.4999136641799999</v>
      </c>
      <c r="M909" s="37" t="s">
        <v>142</v>
      </c>
      <c r="N909" s="37">
        <v>470.74786858536584</v>
      </c>
      <c r="O909" s="132">
        <f t="shared" si="70"/>
        <v>706.08116047480121</v>
      </c>
      <c r="P909" s="134">
        <f t="shared" si="71"/>
        <v>130.32047608954741</v>
      </c>
      <c r="Q909" s="261">
        <v>0.23672215536946176</v>
      </c>
      <c r="R909" s="94"/>
    </row>
    <row r="910" spans="1:18" x14ac:dyDescent="0.25">
      <c r="A910" s="367">
        <v>42269</v>
      </c>
      <c r="B910" s="367" t="s">
        <v>279</v>
      </c>
      <c r="C910" s="279" t="s">
        <v>578</v>
      </c>
      <c r="D910" s="159" t="s">
        <v>1032</v>
      </c>
      <c r="E910" s="45">
        <f t="shared" si="67"/>
        <v>42269</v>
      </c>
      <c r="F910" s="148" t="str">
        <f t="shared" si="68"/>
        <v>2015-16</v>
      </c>
      <c r="G910" s="1"/>
      <c r="H910" s="163"/>
      <c r="I910" s="37"/>
      <c r="J910" s="138">
        <f t="shared" si="69"/>
        <v>0.77968490742404351</v>
      </c>
      <c r="K910" s="114"/>
      <c r="L910" s="37">
        <v>1.4989943295399999</v>
      </c>
      <c r="M910" s="37" t="s">
        <v>142</v>
      </c>
      <c r="N910" s="37">
        <v>470.74786858536584</v>
      </c>
      <c r="O910" s="132">
        <f t="shared" si="70"/>
        <v>705.64838565250443</v>
      </c>
      <c r="P910" s="134">
        <f t="shared" si="71"/>
        <v>130.24059940675451</v>
      </c>
      <c r="Q910" s="261">
        <v>0.23672215536946176</v>
      </c>
      <c r="R910" s="94"/>
    </row>
    <row r="911" spans="1:18" x14ac:dyDescent="0.25">
      <c r="A911" s="367">
        <v>42269</v>
      </c>
      <c r="B911" s="367" t="s">
        <v>279</v>
      </c>
      <c r="C911" s="279" t="s">
        <v>578</v>
      </c>
      <c r="D911" s="159" t="s">
        <v>1032</v>
      </c>
      <c r="E911" s="45">
        <f t="shared" si="67"/>
        <v>42269</v>
      </c>
      <c r="F911" s="148" t="str">
        <f t="shared" si="68"/>
        <v>2015-16</v>
      </c>
      <c r="G911" s="1"/>
      <c r="H911" s="163"/>
      <c r="I911" s="37"/>
      <c r="J911" s="138">
        <f t="shared" si="69"/>
        <v>0.77968490742404351</v>
      </c>
      <c r="K911" s="114"/>
      <c r="L911" s="37">
        <v>28.008061571700001</v>
      </c>
      <c r="M911" s="37" t="s">
        <v>142</v>
      </c>
      <c r="N911" s="37">
        <v>514.18436487804865</v>
      </c>
      <c r="O911" s="132">
        <f t="shared" si="70"/>
        <v>14401.307350709845</v>
      </c>
      <c r="P911" s="134">
        <f t="shared" si="71"/>
        <v>2658.0304578504397</v>
      </c>
      <c r="Q911" s="261">
        <v>0.23672215536946176</v>
      </c>
      <c r="R911" s="94"/>
    </row>
    <row r="912" spans="1:18" x14ac:dyDescent="0.25">
      <c r="A912" s="367">
        <v>42269</v>
      </c>
      <c r="B912" s="367" t="s">
        <v>279</v>
      </c>
      <c r="C912" s="279" t="s">
        <v>578</v>
      </c>
      <c r="D912" s="159" t="s">
        <v>1033</v>
      </c>
      <c r="E912" s="45">
        <f t="shared" si="67"/>
        <v>42269</v>
      </c>
      <c r="F912" s="148" t="str">
        <f t="shared" si="68"/>
        <v>2015-16</v>
      </c>
      <c r="G912" s="1"/>
      <c r="H912" s="163"/>
      <c r="I912" s="37"/>
      <c r="J912" s="138">
        <f t="shared" si="69"/>
        <v>0.77968490742404351</v>
      </c>
      <c r="K912" s="114"/>
      <c r="L912" s="37">
        <v>41.743929769499999</v>
      </c>
      <c r="M912" s="37" t="s">
        <v>142</v>
      </c>
      <c r="N912" s="37">
        <v>514.18436487804865</v>
      </c>
      <c r="O912" s="132">
        <f t="shared" si="70"/>
        <v>21464.076016044226</v>
      </c>
      <c r="P912" s="134">
        <f t="shared" si="71"/>
        <v>3961.5964308581028</v>
      </c>
      <c r="Q912" s="261">
        <v>0.23672215536946176</v>
      </c>
      <c r="R912" s="94"/>
    </row>
    <row r="913" spans="1:18" x14ac:dyDescent="0.25">
      <c r="A913" s="367">
        <v>42269</v>
      </c>
      <c r="B913" s="367" t="s">
        <v>279</v>
      </c>
      <c r="C913" s="279" t="s">
        <v>578</v>
      </c>
      <c r="D913" s="159" t="s">
        <v>1033</v>
      </c>
      <c r="E913" s="45">
        <f t="shared" si="67"/>
        <v>42269</v>
      </c>
      <c r="F913" s="148" t="str">
        <f t="shared" si="68"/>
        <v>2015-16</v>
      </c>
      <c r="G913" s="1"/>
      <c r="H913" s="163"/>
      <c r="I913" s="37"/>
      <c r="J913" s="138">
        <f t="shared" si="69"/>
        <v>0.77968490742404351</v>
      </c>
      <c r="K913" s="114"/>
      <c r="L913" s="37">
        <v>12.9973673323</v>
      </c>
      <c r="M913" s="37" t="s">
        <v>142</v>
      </c>
      <c r="N913" s="37">
        <v>514.18436487804865</v>
      </c>
      <c r="O913" s="132">
        <f t="shared" si="70"/>
        <v>6683.0430668453728</v>
      </c>
      <c r="P913" s="134">
        <f t="shared" si="71"/>
        <v>1233.4805160536785</v>
      </c>
      <c r="Q913" s="261">
        <v>0.23672215536946176</v>
      </c>
      <c r="R913" s="94"/>
    </row>
    <row r="914" spans="1:18" x14ac:dyDescent="0.25">
      <c r="A914" s="367">
        <v>42269</v>
      </c>
      <c r="B914" s="367" t="s">
        <v>279</v>
      </c>
      <c r="C914" s="279" t="s">
        <v>578</v>
      </c>
      <c r="D914" s="159" t="s">
        <v>1032</v>
      </c>
      <c r="E914" s="45">
        <f t="shared" si="67"/>
        <v>42269</v>
      </c>
      <c r="F914" s="148" t="str">
        <f t="shared" si="68"/>
        <v>2015-16</v>
      </c>
      <c r="G914" s="1"/>
      <c r="H914" s="163"/>
      <c r="I914" s="37"/>
      <c r="J914" s="138">
        <f t="shared" si="69"/>
        <v>0.77968490742404351</v>
      </c>
      <c r="K914" s="114"/>
      <c r="L914" s="37">
        <v>13.897350937600001</v>
      </c>
      <c r="M914" s="37" t="s">
        <v>142</v>
      </c>
      <c r="N914" s="37">
        <v>470.74786858536584</v>
      </c>
      <c r="O914" s="132">
        <f t="shared" si="70"/>
        <v>6542.1483328580362</v>
      </c>
      <c r="P914" s="134">
        <f t="shared" si="71"/>
        <v>1207.4757593209076</v>
      </c>
      <c r="Q914" s="261">
        <v>0.23672215536946176</v>
      </c>
      <c r="R914" s="94"/>
    </row>
    <row r="915" spans="1:18" x14ac:dyDescent="0.25">
      <c r="A915" s="367">
        <v>42269</v>
      </c>
      <c r="B915" s="367" t="s">
        <v>279</v>
      </c>
      <c r="C915" s="279" t="s">
        <v>578</v>
      </c>
      <c r="D915" s="159" t="s">
        <v>1032</v>
      </c>
      <c r="E915" s="45">
        <f t="shared" si="67"/>
        <v>42269</v>
      </c>
      <c r="F915" s="148" t="str">
        <f t="shared" si="68"/>
        <v>2015-16</v>
      </c>
      <c r="G915" s="1"/>
      <c r="H915" s="163"/>
      <c r="I915" s="37"/>
      <c r="J915" s="138">
        <f t="shared" si="69"/>
        <v>0.77968490742404351</v>
      </c>
      <c r="K915" s="114"/>
      <c r="L915" s="37">
        <v>12.3976406923</v>
      </c>
      <c r="M915" s="37" t="s">
        <v>142</v>
      </c>
      <c r="N915" s="37">
        <v>514.18436487804865</v>
      </c>
      <c r="O915" s="132">
        <f t="shared" si="70"/>
        <v>6374.673005356527</v>
      </c>
      <c r="P915" s="134">
        <f t="shared" si="71"/>
        <v>1176.5650572161053</v>
      </c>
      <c r="Q915" s="261">
        <v>0.23672215536946176</v>
      </c>
      <c r="R915" s="94"/>
    </row>
    <row r="916" spans="1:18" x14ac:dyDescent="0.25">
      <c r="A916" s="367">
        <v>42269</v>
      </c>
      <c r="B916" s="367" t="s">
        <v>279</v>
      </c>
      <c r="C916" s="279" t="s">
        <v>578</v>
      </c>
      <c r="D916" s="159" t="s">
        <v>1032</v>
      </c>
      <c r="E916" s="45">
        <f t="shared" si="67"/>
        <v>42269</v>
      </c>
      <c r="F916" s="148" t="str">
        <f t="shared" si="68"/>
        <v>2015-16</v>
      </c>
      <c r="G916" s="1"/>
      <c r="H916" s="163"/>
      <c r="I916" s="37"/>
      <c r="J916" s="138">
        <f t="shared" si="69"/>
        <v>0.77968490742404351</v>
      </c>
      <c r="K916" s="114"/>
      <c r="L916" s="37">
        <v>46.182674243299999</v>
      </c>
      <c r="M916" s="37" t="s">
        <v>142</v>
      </c>
      <c r="N916" s="37">
        <v>514.18436487804865</v>
      </c>
      <c r="O916" s="132">
        <f t="shared" si="70"/>
        <v>23746.409024161025</v>
      </c>
      <c r="P916" s="134">
        <f t="shared" si="71"/>
        <v>4382.8436484055319</v>
      </c>
      <c r="Q916" s="261">
        <v>0.23672215536946176</v>
      </c>
      <c r="R916" s="94"/>
    </row>
    <row r="917" spans="1:18" x14ac:dyDescent="0.25">
      <c r="A917" s="367">
        <v>42269</v>
      </c>
      <c r="B917" s="367" t="s">
        <v>279</v>
      </c>
      <c r="C917" s="279" t="s">
        <v>578</v>
      </c>
      <c r="D917" s="159" t="s">
        <v>1032</v>
      </c>
      <c r="E917" s="45">
        <f t="shared" si="67"/>
        <v>42269</v>
      </c>
      <c r="F917" s="148" t="str">
        <f t="shared" si="68"/>
        <v>2015-16</v>
      </c>
      <c r="G917" s="1"/>
      <c r="H917" s="163"/>
      <c r="I917" s="37"/>
      <c r="J917" s="138">
        <f t="shared" si="69"/>
        <v>0.77968490742404351</v>
      </c>
      <c r="K917" s="114"/>
      <c r="L917" s="37">
        <v>13.5869786034</v>
      </c>
      <c r="M917" s="37" t="s">
        <v>142</v>
      </c>
      <c r="N917" s="37">
        <v>514.18436487804865</v>
      </c>
      <c r="O917" s="132">
        <f t="shared" si="70"/>
        <v>6986.2119638008653</v>
      </c>
      <c r="P917" s="134">
        <f t="shared" si="71"/>
        <v>1289.4360027575228</v>
      </c>
      <c r="Q917" s="261">
        <v>0.23672215536946176</v>
      </c>
      <c r="R917" s="94"/>
    </row>
    <row r="918" spans="1:18" x14ac:dyDescent="0.25">
      <c r="A918" s="367">
        <v>42269</v>
      </c>
      <c r="B918" s="367" t="s">
        <v>279</v>
      </c>
      <c r="C918" s="279" t="s">
        <v>578</v>
      </c>
      <c r="D918" s="159" t="s">
        <v>1032</v>
      </c>
      <c r="E918" s="45">
        <f t="shared" si="67"/>
        <v>42269</v>
      </c>
      <c r="F918" s="148" t="str">
        <f t="shared" si="68"/>
        <v>2015-16</v>
      </c>
      <c r="G918" s="1"/>
      <c r="H918" s="163"/>
      <c r="I918" s="37"/>
      <c r="J918" s="138">
        <f t="shared" si="69"/>
        <v>0.77968490742404351</v>
      </c>
      <c r="K918" s="114"/>
      <c r="L918" s="37">
        <v>2.7990972187700001</v>
      </c>
      <c r="M918" s="37" t="s">
        <v>142</v>
      </c>
      <c r="N918" s="37">
        <v>514.18436487804865</v>
      </c>
      <c r="O918" s="132">
        <f t="shared" si="70"/>
        <v>1439.2520256651649</v>
      </c>
      <c r="P918" s="134">
        <f t="shared" si="71"/>
        <v>265.6408635395444</v>
      </c>
      <c r="Q918" s="261">
        <v>0.23672215536946176</v>
      </c>
      <c r="R918" s="94"/>
    </row>
    <row r="919" spans="1:18" x14ac:dyDescent="0.25">
      <c r="A919" s="367">
        <v>42818</v>
      </c>
      <c r="B919" s="367" t="s">
        <v>279</v>
      </c>
      <c r="C919" s="279" t="s">
        <v>579</v>
      </c>
      <c r="D919" s="159" t="s">
        <v>960</v>
      </c>
      <c r="E919" s="45">
        <f t="shared" ref="E919:E982" si="72">IF(A919&lt;2022,DATEVALUE("30 Jun "&amp;A919),A919)</f>
        <v>42818</v>
      </c>
      <c r="F919" s="148" t="str">
        <f t="shared" si="68"/>
        <v>2016-17</v>
      </c>
      <c r="G919" s="1"/>
      <c r="H919" s="163"/>
      <c r="I919" s="37"/>
      <c r="J919" s="138">
        <f t="shared" si="69"/>
        <v>0.77968490742404351</v>
      </c>
      <c r="K919" s="114"/>
      <c r="L919" s="37">
        <v>144.94490015100001</v>
      </c>
      <c r="M919" s="37" t="s">
        <v>142</v>
      </c>
      <c r="N919" s="37">
        <v>514.18436487804865</v>
      </c>
      <c r="O919" s="132">
        <f t="shared" si="70"/>
        <v>74528.401426454118</v>
      </c>
      <c r="P919" s="134">
        <f t="shared" si="71"/>
        <v>1878.4604019708554</v>
      </c>
      <c r="Q919" s="261">
        <v>3.2326680502485924E-2</v>
      </c>
      <c r="R919" s="94"/>
    </row>
    <row r="920" spans="1:18" x14ac:dyDescent="0.25">
      <c r="A920" s="367">
        <v>42818</v>
      </c>
      <c r="B920" s="367" t="s">
        <v>279</v>
      </c>
      <c r="C920" s="279" t="s">
        <v>579</v>
      </c>
      <c r="D920" s="159" t="s">
        <v>960</v>
      </c>
      <c r="E920" s="45">
        <f t="shared" si="72"/>
        <v>42818</v>
      </c>
      <c r="F920" s="148" t="str">
        <f t="shared" ref="F920:F983" si="73">IF(E920="","-",IF(OR(E920&lt;$E$15,E920&gt;$E$16),"ERROR - date outside of range",IF(MONTH(E920)&gt;=7,YEAR(E920)&amp;"-"&amp;IF(YEAR(E920)=1999,"00",IF(AND(YEAR(E920)&gt;=2000,YEAR(E920)&lt;2009),"0","")&amp;RIGHT(YEAR(E920),2)+1),RIGHT(YEAR(E920),4)-1&amp;"-"&amp;RIGHT(YEAR(E920),2))))</f>
        <v>2016-17</v>
      </c>
      <c r="G920" s="1"/>
      <c r="H920" s="163"/>
      <c r="I920" s="37"/>
      <c r="J920" s="138">
        <f t="shared" ref="J920:J983" si="74">J919</f>
        <v>0.77968490742404351</v>
      </c>
      <c r="K920" s="114"/>
      <c r="L920" s="37">
        <v>90.730118019000003</v>
      </c>
      <c r="M920" s="37" t="s">
        <v>142</v>
      </c>
      <c r="N920" s="37">
        <v>514.18436487804865</v>
      </c>
      <c r="O920" s="132">
        <f t="shared" si="70"/>
        <v>46652.008108909911</v>
      </c>
      <c r="P920" s="134">
        <f t="shared" si="71"/>
        <v>1175.8463649792513</v>
      </c>
      <c r="Q920" s="261">
        <v>3.2326680502485924E-2</v>
      </c>
      <c r="R920" s="94"/>
    </row>
    <row r="921" spans="1:18" x14ac:dyDescent="0.25">
      <c r="A921" s="367">
        <v>42818</v>
      </c>
      <c r="B921" s="367" t="s">
        <v>279</v>
      </c>
      <c r="C921" s="279" t="s">
        <v>579</v>
      </c>
      <c r="D921" s="159" t="s">
        <v>960</v>
      </c>
      <c r="E921" s="45">
        <f t="shared" si="72"/>
        <v>42818</v>
      </c>
      <c r="F921" s="148" t="str">
        <f t="shared" si="73"/>
        <v>2016-17</v>
      </c>
      <c r="G921" s="1"/>
      <c r="H921" s="163"/>
      <c r="I921" s="37"/>
      <c r="J921" s="138">
        <f t="shared" si="74"/>
        <v>0.77968490742404351</v>
      </c>
      <c r="K921" s="114"/>
      <c r="L921" s="37">
        <v>23.137394594900002</v>
      </c>
      <c r="M921" s="37" t="s">
        <v>142</v>
      </c>
      <c r="N921" s="37">
        <v>514.18436487804865</v>
      </c>
      <c r="O921" s="132">
        <f t="shared" si="70"/>
        <v>11896.886544711453</v>
      </c>
      <c r="P921" s="134">
        <f t="shared" si="71"/>
        <v>299.8565627767228</v>
      </c>
      <c r="Q921" s="261">
        <v>3.2326680502485924E-2</v>
      </c>
      <c r="R921" s="94"/>
    </row>
    <row r="922" spans="1:18" x14ac:dyDescent="0.25">
      <c r="A922" s="367">
        <v>42818</v>
      </c>
      <c r="B922" s="367" t="s">
        <v>279</v>
      </c>
      <c r="C922" s="279" t="s">
        <v>579</v>
      </c>
      <c r="D922" s="159" t="s">
        <v>960</v>
      </c>
      <c r="E922" s="45">
        <f t="shared" si="72"/>
        <v>42818</v>
      </c>
      <c r="F922" s="148" t="str">
        <f t="shared" si="73"/>
        <v>2016-17</v>
      </c>
      <c r="G922" s="1"/>
      <c r="H922" s="163"/>
      <c r="I922" s="37"/>
      <c r="J922" s="138">
        <f t="shared" si="74"/>
        <v>0.77968490742404351</v>
      </c>
      <c r="K922" s="114"/>
      <c r="L922" s="37">
        <v>53.046087158100001</v>
      </c>
      <c r="M922" s="37" t="s">
        <v>142</v>
      </c>
      <c r="N922" s="37">
        <v>470.74786858536584</v>
      </c>
      <c r="O922" s="132">
        <f t="shared" si="70"/>
        <v>24971.332466469121</v>
      </c>
      <c r="P922" s="134">
        <f t="shared" si="71"/>
        <v>629.39306794337631</v>
      </c>
      <c r="Q922" s="261">
        <v>3.2326680502485924E-2</v>
      </c>
      <c r="R922" s="94"/>
    </row>
    <row r="923" spans="1:18" x14ac:dyDescent="0.25">
      <c r="A923" s="367">
        <v>42818</v>
      </c>
      <c r="B923" s="367" t="s">
        <v>279</v>
      </c>
      <c r="C923" s="279" t="s">
        <v>579</v>
      </c>
      <c r="D923" s="159" t="s">
        <v>960</v>
      </c>
      <c r="E923" s="45">
        <f t="shared" si="72"/>
        <v>42818</v>
      </c>
      <c r="F923" s="148" t="str">
        <f t="shared" si="73"/>
        <v>2016-17</v>
      </c>
      <c r="G923" s="1"/>
      <c r="H923" s="163"/>
      <c r="I923" s="37"/>
      <c r="J923" s="138">
        <f t="shared" si="74"/>
        <v>0.77968490742404351</v>
      </c>
      <c r="K923" s="114"/>
      <c r="L923" s="37">
        <v>1.49952659196</v>
      </c>
      <c r="M923" s="37" t="s">
        <v>142</v>
      </c>
      <c r="N923" s="37">
        <v>514.18436487804865</v>
      </c>
      <c r="O923" s="132">
        <f t="shared" si="70"/>
        <v>771.03312830469747</v>
      </c>
      <c r="P923" s="134">
        <f t="shared" si="71"/>
        <v>19.433600780466886</v>
      </c>
      <c r="Q923" s="261">
        <v>3.2326680502485924E-2</v>
      </c>
      <c r="R923" s="94"/>
    </row>
    <row r="924" spans="1:18" x14ac:dyDescent="0.25">
      <c r="A924" s="367">
        <v>42818</v>
      </c>
      <c r="B924" s="367" t="s">
        <v>279</v>
      </c>
      <c r="C924" s="279" t="s">
        <v>579</v>
      </c>
      <c r="D924" s="159" t="s">
        <v>1034</v>
      </c>
      <c r="E924" s="45">
        <f t="shared" si="72"/>
        <v>42818</v>
      </c>
      <c r="F924" s="148" t="str">
        <f t="shared" si="73"/>
        <v>2016-17</v>
      </c>
      <c r="G924" s="1"/>
      <c r="H924" s="163"/>
      <c r="I924" s="37"/>
      <c r="J924" s="138">
        <f t="shared" si="74"/>
        <v>0.77968490742404351</v>
      </c>
      <c r="K924" s="114"/>
      <c r="L924" s="37">
        <v>24.734144901299999</v>
      </c>
      <c r="M924" s="37" t="s">
        <v>142</v>
      </c>
      <c r="N924" s="37">
        <v>470.74786858536584</v>
      </c>
      <c r="O924" s="132">
        <f t="shared" si="70"/>
        <v>11643.545993568569</v>
      </c>
      <c r="P924" s="134">
        <f t="shared" si="71"/>
        <v>293.47120921449732</v>
      </c>
      <c r="Q924" s="261">
        <v>3.2326680502485924E-2</v>
      </c>
      <c r="R924" s="94"/>
    </row>
    <row r="925" spans="1:18" x14ac:dyDescent="0.25">
      <c r="A925" s="367">
        <v>42725</v>
      </c>
      <c r="B925" s="367" t="s">
        <v>279</v>
      </c>
      <c r="C925" s="279" t="s">
        <v>580</v>
      </c>
      <c r="D925" s="159" t="s">
        <v>960</v>
      </c>
      <c r="E925" s="45">
        <f t="shared" si="72"/>
        <v>42725</v>
      </c>
      <c r="F925" s="148" t="str">
        <f t="shared" si="73"/>
        <v>2016-17</v>
      </c>
      <c r="G925" s="1"/>
      <c r="H925" s="163"/>
      <c r="I925" s="37"/>
      <c r="J925" s="138">
        <f t="shared" si="74"/>
        <v>0.77968490742404351</v>
      </c>
      <c r="K925" s="114"/>
      <c r="L925" s="37">
        <v>132.568215431</v>
      </c>
      <c r="M925" s="37" t="s">
        <v>142</v>
      </c>
      <c r="N925" s="37">
        <v>514.18436487804865</v>
      </c>
      <c r="O925" s="132">
        <f t="shared" si="70"/>
        <v>68164.503654405067</v>
      </c>
      <c r="P925" s="134">
        <f t="shared" si="71"/>
        <v>3796.9112368635488</v>
      </c>
      <c r="Q925" s="261">
        <v>7.1441907251258319E-2</v>
      </c>
      <c r="R925" s="94"/>
    </row>
    <row r="926" spans="1:18" x14ac:dyDescent="0.25">
      <c r="A926" s="367">
        <v>42725</v>
      </c>
      <c r="B926" s="367" t="s">
        <v>279</v>
      </c>
      <c r="C926" s="279" t="s">
        <v>580</v>
      </c>
      <c r="D926" s="159" t="s">
        <v>960</v>
      </c>
      <c r="E926" s="45">
        <f t="shared" si="72"/>
        <v>42725</v>
      </c>
      <c r="F926" s="148" t="str">
        <f t="shared" si="73"/>
        <v>2016-17</v>
      </c>
      <c r="G926" s="1"/>
      <c r="H926" s="163"/>
      <c r="I926" s="37"/>
      <c r="J926" s="138">
        <f t="shared" si="74"/>
        <v>0.77968490742404351</v>
      </c>
      <c r="K926" s="114"/>
      <c r="L926" s="37">
        <v>68.466366891299998</v>
      </c>
      <c r="M926" s="37" t="s">
        <v>142</v>
      </c>
      <c r="N926" s="37">
        <v>514.18436487804865</v>
      </c>
      <c r="O926" s="132">
        <f t="shared" ref="O926:O989" si="75">IF(N926="","-",L926*N926)</f>
        <v>35204.335375510549</v>
      </c>
      <c r="P926" s="134">
        <f t="shared" ref="P926:P989" si="76">IF(O926="-","-",IF(OR(E926&lt;$E$15,E926&gt;$E$16),0,O926*J926))*Q926</f>
        <v>1960.9581146704468</v>
      </c>
      <c r="Q926" s="261">
        <v>7.1441907251258319E-2</v>
      </c>
      <c r="R926" s="94"/>
    </row>
    <row r="927" spans="1:18" x14ac:dyDescent="0.25">
      <c r="A927" s="367">
        <v>42725</v>
      </c>
      <c r="B927" s="367" t="s">
        <v>279</v>
      </c>
      <c r="C927" s="279" t="s">
        <v>580</v>
      </c>
      <c r="D927" s="159" t="s">
        <v>960</v>
      </c>
      <c r="E927" s="45">
        <f t="shared" si="72"/>
        <v>42725</v>
      </c>
      <c r="F927" s="148" t="str">
        <f t="shared" si="73"/>
        <v>2016-17</v>
      </c>
      <c r="G927" s="1"/>
      <c r="H927" s="163"/>
      <c r="I927" s="37"/>
      <c r="J927" s="138">
        <f t="shared" si="74"/>
        <v>0.77968490742404351</v>
      </c>
      <c r="K927" s="114"/>
      <c r="L927" s="37">
        <v>20.567534287299999</v>
      </c>
      <c r="M927" s="37" t="s">
        <v>142</v>
      </c>
      <c r="N927" s="37">
        <v>470.74786858536584</v>
      </c>
      <c r="O927" s="132">
        <f t="shared" si="75"/>
        <v>9682.1229278029059</v>
      </c>
      <c r="P927" s="134">
        <f t="shared" si="76"/>
        <v>539.31532352459726</v>
      </c>
      <c r="Q927" s="261">
        <v>7.1441907251258319E-2</v>
      </c>
      <c r="R927" s="94"/>
    </row>
    <row r="928" spans="1:18" x14ac:dyDescent="0.25">
      <c r="A928" s="367">
        <v>42725</v>
      </c>
      <c r="B928" s="367" t="s">
        <v>279</v>
      </c>
      <c r="C928" s="279" t="s">
        <v>580</v>
      </c>
      <c r="D928" s="159" t="s">
        <v>960</v>
      </c>
      <c r="E928" s="45">
        <f t="shared" si="72"/>
        <v>42725</v>
      </c>
      <c r="F928" s="148" t="str">
        <f t="shared" si="73"/>
        <v>2016-17</v>
      </c>
      <c r="G928" s="1"/>
      <c r="H928" s="163"/>
      <c r="I928" s="37"/>
      <c r="J928" s="138">
        <f t="shared" si="74"/>
        <v>0.77968490742404351</v>
      </c>
      <c r="K928" s="114"/>
      <c r="L928" s="37">
        <v>16.632470913100001</v>
      </c>
      <c r="M928" s="37" t="s">
        <v>142</v>
      </c>
      <c r="N928" s="37">
        <v>470.74786858536584</v>
      </c>
      <c r="O928" s="132">
        <f t="shared" si="75"/>
        <v>7829.7002316499184</v>
      </c>
      <c r="P928" s="134">
        <f t="shared" si="76"/>
        <v>436.1313469184708</v>
      </c>
      <c r="Q928" s="261">
        <v>7.1441907251258319E-2</v>
      </c>
      <c r="R928" s="94"/>
    </row>
    <row r="929" spans="1:18" x14ac:dyDescent="0.25">
      <c r="A929" s="367">
        <v>41499</v>
      </c>
      <c r="B929" s="367" t="s">
        <v>279</v>
      </c>
      <c r="C929" s="279" t="s">
        <v>581</v>
      </c>
      <c r="D929" s="159" t="s">
        <v>1035</v>
      </c>
      <c r="E929" s="45">
        <f t="shared" si="72"/>
        <v>41499</v>
      </c>
      <c r="F929" s="148" t="str">
        <f t="shared" si="73"/>
        <v>2013-14</v>
      </c>
      <c r="G929" s="1"/>
      <c r="H929" s="163"/>
      <c r="I929" s="37"/>
      <c r="J929" s="138">
        <f t="shared" si="74"/>
        <v>0.77968490742404351</v>
      </c>
      <c r="K929" s="114"/>
      <c r="L929" s="37">
        <v>6.0649499794499997</v>
      </c>
      <c r="M929" s="37" t="s">
        <v>142</v>
      </c>
      <c r="N929" s="37">
        <v>470.74786858536584</v>
      </c>
      <c r="O929" s="132">
        <f t="shared" si="75"/>
        <v>2855.0622759029457</v>
      </c>
      <c r="P929" s="134">
        <f t="shared" si="76"/>
        <v>2226.048966277267</v>
      </c>
      <c r="Q929" s="261">
        <v>1</v>
      </c>
      <c r="R929" s="94"/>
    </row>
    <row r="930" spans="1:18" x14ac:dyDescent="0.25">
      <c r="A930" s="367">
        <v>42592</v>
      </c>
      <c r="B930" s="367" t="s">
        <v>279</v>
      </c>
      <c r="C930" s="279" t="s">
        <v>582</v>
      </c>
      <c r="D930" s="159" t="s">
        <v>1006</v>
      </c>
      <c r="E930" s="45">
        <f t="shared" si="72"/>
        <v>42592</v>
      </c>
      <c r="F930" s="148" t="str">
        <f t="shared" si="73"/>
        <v>2016-17</v>
      </c>
      <c r="G930" s="1"/>
      <c r="H930" s="163"/>
      <c r="I930" s="37"/>
      <c r="J930" s="138">
        <f t="shared" si="74"/>
        <v>0.77968490742404351</v>
      </c>
      <c r="K930" s="114"/>
      <c r="L930" s="37">
        <v>88.897671630900007</v>
      </c>
      <c r="M930" s="37" t="s">
        <v>142</v>
      </c>
      <c r="N930" s="37">
        <v>621.96155034146341</v>
      </c>
      <c r="O930" s="132">
        <f t="shared" si="75"/>
        <v>55290.933669300895</v>
      </c>
      <c r="P930" s="134">
        <f t="shared" si="76"/>
        <v>24446.436772896424</v>
      </c>
      <c r="Q930" s="261">
        <v>0.56707762992536104</v>
      </c>
      <c r="R930" s="94"/>
    </row>
    <row r="931" spans="1:18" x14ac:dyDescent="0.25">
      <c r="A931" s="367">
        <v>42592</v>
      </c>
      <c r="B931" s="367" t="s">
        <v>279</v>
      </c>
      <c r="C931" s="279" t="s">
        <v>582</v>
      </c>
      <c r="D931" s="159" t="s">
        <v>1006</v>
      </c>
      <c r="E931" s="45">
        <f t="shared" si="72"/>
        <v>42592</v>
      </c>
      <c r="F931" s="148" t="str">
        <f t="shared" si="73"/>
        <v>2016-17</v>
      </c>
      <c r="G931" s="1"/>
      <c r="H931" s="163"/>
      <c r="I931" s="37"/>
      <c r="J931" s="138">
        <f t="shared" si="74"/>
        <v>0.77968490742404351</v>
      </c>
      <c r="K931" s="114"/>
      <c r="L931" s="37">
        <v>169.781409755</v>
      </c>
      <c r="M931" s="37" t="s">
        <v>142</v>
      </c>
      <c r="N931" s="37">
        <v>621.96155034146341</v>
      </c>
      <c r="O931" s="132">
        <f t="shared" si="75"/>
        <v>105597.50883037905</v>
      </c>
      <c r="P931" s="134">
        <f t="shared" si="76"/>
        <v>46689.079957254304</v>
      </c>
      <c r="Q931" s="261">
        <v>0.56707762992536104</v>
      </c>
      <c r="R931" s="94"/>
    </row>
    <row r="932" spans="1:18" x14ac:dyDescent="0.25">
      <c r="A932" s="367">
        <v>42592</v>
      </c>
      <c r="B932" s="367" t="s">
        <v>279</v>
      </c>
      <c r="C932" s="279" t="s">
        <v>582</v>
      </c>
      <c r="D932" s="159" t="s">
        <v>1006</v>
      </c>
      <c r="E932" s="45">
        <f t="shared" si="72"/>
        <v>42592</v>
      </c>
      <c r="F932" s="148" t="str">
        <f t="shared" si="73"/>
        <v>2016-17</v>
      </c>
      <c r="G932" s="1"/>
      <c r="H932" s="163"/>
      <c r="I932" s="37"/>
      <c r="J932" s="138">
        <f t="shared" si="74"/>
        <v>0.77968490742404351</v>
      </c>
      <c r="K932" s="114"/>
      <c r="L932" s="37">
        <v>11.466808417799999</v>
      </c>
      <c r="M932" s="37" t="s">
        <v>142</v>
      </c>
      <c r="N932" s="37">
        <v>916.52160117073151</v>
      </c>
      <c r="O932" s="132">
        <f t="shared" si="75"/>
        <v>10509.577611400078</v>
      </c>
      <c r="P932" s="134">
        <f t="shared" si="76"/>
        <v>4646.7242916100395</v>
      </c>
      <c r="Q932" s="261">
        <v>0.56707762992536104</v>
      </c>
      <c r="R932" s="94"/>
    </row>
    <row r="933" spans="1:18" x14ac:dyDescent="0.25">
      <c r="A933" s="367">
        <v>42592</v>
      </c>
      <c r="B933" s="367" t="s">
        <v>279</v>
      </c>
      <c r="C933" s="279" t="s">
        <v>582</v>
      </c>
      <c r="D933" s="159" t="s">
        <v>1006</v>
      </c>
      <c r="E933" s="45">
        <f t="shared" si="72"/>
        <v>42592</v>
      </c>
      <c r="F933" s="148" t="str">
        <f t="shared" si="73"/>
        <v>2016-17</v>
      </c>
      <c r="G933" s="1"/>
      <c r="H933" s="163"/>
      <c r="I933" s="37"/>
      <c r="J933" s="138">
        <f t="shared" si="74"/>
        <v>0.77968490742404351</v>
      </c>
      <c r="K933" s="114"/>
      <c r="L933" s="37">
        <v>2.8650511395599998</v>
      </c>
      <c r="M933" s="37" t="s">
        <v>142</v>
      </c>
      <c r="N933" s="37">
        <v>916.52160117073151</v>
      </c>
      <c r="O933" s="132">
        <f t="shared" si="75"/>
        <v>2625.8812578655597</v>
      </c>
      <c r="P933" s="134">
        <f t="shared" si="76"/>
        <v>1161.0120481504216</v>
      </c>
      <c r="Q933" s="261">
        <v>0.56707762992536104</v>
      </c>
      <c r="R933" s="94"/>
    </row>
    <row r="934" spans="1:18" x14ac:dyDescent="0.25">
      <c r="A934" s="367">
        <v>42592</v>
      </c>
      <c r="B934" s="367" t="s">
        <v>279</v>
      </c>
      <c r="C934" s="279" t="s">
        <v>582</v>
      </c>
      <c r="D934" s="159" t="s">
        <v>1006</v>
      </c>
      <c r="E934" s="45">
        <f t="shared" si="72"/>
        <v>42592</v>
      </c>
      <c r="F934" s="148" t="str">
        <f t="shared" si="73"/>
        <v>2016-17</v>
      </c>
      <c r="G934" s="1"/>
      <c r="H934" s="163"/>
      <c r="I934" s="37"/>
      <c r="J934" s="138">
        <f t="shared" si="74"/>
        <v>0.77968490742404351</v>
      </c>
      <c r="K934" s="114"/>
      <c r="L934" s="37">
        <v>1.12749722838</v>
      </c>
      <c r="M934" s="37" t="s">
        <v>142</v>
      </c>
      <c r="N934" s="37">
        <v>916.52160117073151</v>
      </c>
      <c r="O934" s="132">
        <f t="shared" si="75"/>
        <v>1033.3755650703995</v>
      </c>
      <c r="P934" s="134">
        <f t="shared" si="76"/>
        <v>456.89860412279523</v>
      </c>
      <c r="Q934" s="261">
        <v>0.56707762992536104</v>
      </c>
      <c r="R934" s="94"/>
    </row>
    <row r="935" spans="1:18" x14ac:dyDescent="0.25">
      <c r="A935" s="367">
        <v>42592</v>
      </c>
      <c r="B935" s="367" t="s">
        <v>279</v>
      </c>
      <c r="C935" s="279" t="s">
        <v>582</v>
      </c>
      <c r="D935" s="159" t="s">
        <v>1006</v>
      </c>
      <c r="E935" s="45">
        <f t="shared" si="72"/>
        <v>42592</v>
      </c>
      <c r="F935" s="148" t="str">
        <f t="shared" si="73"/>
        <v>2016-17</v>
      </c>
      <c r="G935" s="1"/>
      <c r="H935" s="163"/>
      <c r="I935" s="37"/>
      <c r="J935" s="138">
        <f t="shared" si="74"/>
        <v>0.77968490742404351</v>
      </c>
      <c r="K935" s="114"/>
      <c r="L935" s="37">
        <v>3.70031417585</v>
      </c>
      <c r="M935" s="37" t="s">
        <v>142</v>
      </c>
      <c r="N935" s="37">
        <v>916.52160117073151</v>
      </c>
      <c r="O935" s="132">
        <f t="shared" si="75"/>
        <v>3391.4178732847977</v>
      </c>
      <c r="P935" s="134">
        <f t="shared" si="76"/>
        <v>1499.4878383788373</v>
      </c>
      <c r="Q935" s="261">
        <v>0.56707762992536104</v>
      </c>
      <c r="R935" s="94"/>
    </row>
    <row r="936" spans="1:18" x14ac:dyDescent="0.25">
      <c r="A936" s="367">
        <v>42384</v>
      </c>
      <c r="B936" s="367" t="s">
        <v>279</v>
      </c>
      <c r="C936" s="279" t="s">
        <v>583</v>
      </c>
      <c r="D936" s="159" t="s">
        <v>958</v>
      </c>
      <c r="E936" s="45">
        <f t="shared" si="72"/>
        <v>42384</v>
      </c>
      <c r="F936" s="148" t="str">
        <f t="shared" si="73"/>
        <v>2015-16</v>
      </c>
      <c r="G936" s="1"/>
      <c r="H936" s="163"/>
      <c r="I936" s="37"/>
      <c r="J936" s="138">
        <f t="shared" si="74"/>
        <v>0.77968490742404351</v>
      </c>
      <c r="K936" s="114"/>
      <c r="L936" s="37">
        <v>2.2913995699899998</v>
      </c>
      <c r="M936" s="37" t="s">
        <v>142</v>
      </c>
      <c r="N936" s="37">
        <v>470.74786858536584</v>
      </c>
      <c r="O936" s="132">
        <f t="shared" si="75"/>
        <v>1078.6714636502163</v>
      </c>
      <c r="P936" s="134">
        <f t="shared" si="76"/>
        <v>841.02386027707644</v>
      </c>
      <c r="Q936" s="261">
        <v>1</v>
      </c>
      <c r="R936" s="94"/>
    </row>
    <row r="937" spans="1:18" x14ac:dyDescent="0.25">
      <c r="A937" s="367">
        <v>42384</v>
      </c>
      <c r="B937" s="367" t="s">
        <v>279</v>
      </c>
      <c r="C937" s="279" t="s">
        <v>583</v>
      </c>
      <c r="D937" s="159" t="s">
        <v>958</v>
      </c>
      <c r="E937" s="45">
        <f t="shared" si="72"/>
        <v>42384</v>
      </c>
      <c r="F937" s="148" t="str">
        <f t="shared" si="73"/>
        <v>2015-16</v>
      </c>
      <c r="G937" s="1"/>
      <c r="H937" s="163"/>
      <c r="I937" s="37"/>
      <c r="J937" s="138">
        <f t="shared" si="74"/>
        <v>0.77968490742404351</v>
      </c>
      <c r="K937" s="114"/>
      <c r="L937" s="37">
        <v>2.7851443311100001</v>
      </c>
      <c r="M937" s="37" t="s">
        <v>142</v>
      </c>
      <c r="N937" s="37">
        <v>470.74786858536584</v>
      </c>
      <c r="O937" s="132">
        <f t="shared" si="75"/>
        <v>1311.1007575726469</v>
      </c>
      <c r="P937" s="134">
        <f t="shared" si="76"/>
        <v>1022.2454727916225</v>
      </c>
      <c r="Q937" s="261">
        <v>1</v>
      </c>
      <c r="R937" s="94"/>
    </row>
    <row r="938" spans="1:18" x14ac:dyDescent="0.25">
      <c r="A938" s="367">
        <v>42384</v>
      </c>
      <c r="B938" s="367" t="s">
        <v>279</v>
      </c>
      <c r="C938" s="279" t="s">
        <v>583</v>
      </c>
      <c r="D938" s="159" t="s">
        <v>958</v>
      </c>
      <c r="E938" s="45">
        <f t="shared" si="72"/>
        <v>42384</v>
      </c>
      <c r="F938" s="148" t="str">
        <f t="shared" si="73"/>
        <v>2015-16</v>
      </c>
      <c r="G938" s="1"/>
      <c r="H938" s="163"/>
      <c r="I938" s="37"/>
      <c r="J938" s="138">
        <f t="shared" si="74"/>
        <v>0.77968490742404351</v>
      </c>
      <c r="K938" s="114"/>
      <c r="L938" s="37">
        <v>4.0689400683599999</v>
      </c>
      <c r="M938" s="37" t="s">
        <v>142</v>
      </c>
      <c r="N938" s="37">
        <v>470.74786858536584</v>
      </c>
      <c r="O938" s="132">
        <f t="shared" si="75"/>
        <v>1915.4448645820628</v>
      </c>
      <c r="P938" s="134">
        <f t="shared" si="76"/>
        <v>1493.4434519175252</v>
      </c>
      <c r="Q938" s="261">
        <v>1</v>
      </c>
      <c r="R938" s="94"/>
    </row>
    <row r="939" spans="1:18" x14ac:dyDescent="0.25">
      <c r="A939" s="367">
        <v>42384</v>
      </c>
      <c r="B939" s="367" t="s">
        <v>279</v>
      </c>
      <c r="C939" s="279" t="s">
        <v>583</v>
      </c>
      <c r="D939" s="159" t="s">
        <v>958</v>
      </c>
      <c r="E939" s="45">
        <f t="shared" si="72"/>
        <v>42384</v>
      </c>
      <c r="F939" s="148" t="str">
        <f t="shared" si="73"/>
        <v>2015-16</v>
      </c>
      <c r="G939" s="1"/>
      <c r="H939" s="163"/>
      <c r="I939" s="37"/>
      <c r="J939" s="138">
        <f t="shared" si="74"/>
        <v>0.77968490742404351</v>
      </c>
      <c r="K939" s="114"/>
      <c r="L939" s="37">
        <v>26.2111198976</v>
      </c>
      <c r="M939" s="37" t="s">
        <v>142</v>
      </c>
      <c r="N939" s="37">
        <v>470.74786858536584</v>
      </c>
      <c r="O939" s="132">
        <f t="shared" si="75"/>
        <v>12338.828825030672</v>
      </c>
      <c r="P939" s="134">
        <f t="shared" si="76"/>
        <v>9620.398610165159</v>
      </c>
      <c r="Q939" s="261">
        <v>1</v>
      </c>
      <c r="R939" s="94"/>
    </row>
    <row r="940" spans="1:18" x14ac:dyDescent="0.25">
      <c r="A940" s="367">
        <v>42655</v>
      </c>
      <c r="B940" s="367" t="s">
        <v>279</v>
      </c>
      <c r="C940" s="279" t="s">
        <v>584</v>
      </c>
      <c r="D940" s="159" t="s">
        <v>1036</v>
      </c>
      <c r="E940" s="45">
        <f t="shared" si="72"/>
        <v>42655</v>
      </c>
      <c r="F940" s="148" t="str">
        <f t="shared" si="73"/>
        <v>2016-17</v>
      </c>
      <c r="G940" s="1"/>
      <c r="H940" s="163"/>
      <c r="I940" s="37"/>
      <c r="J940" s="138">
        <f t="shared" si="74"/>
        <v>0.77968490742404351</v>
      </c>
      <c r="K940" s="114"/>
      <c r="L940" s="37">
        <v>255.14747835899999</v>
      </c>
      <c r="M940" s="37" t="s">
        <v>142</v>
      </c>
      <c r="N940" s="37">
        <v>470.74786858536584</v>
      </c>
      <c r="O940" s="132">
        <f t="shared" si="75"/>
        <v>120110.13161243001</v>
      </c>
      <c r="P940" s="134">
        <f t="shared" si="76"/>
        <v>93648.056846927167</v>
      </c>
      <c r="Q940" s="261">
        <v>1</v>
      </c>
      <c r="R940" s="94"/>
    </row>
    <row r="941" spans="1:18" x14ac:dyDescent="0.25">
      <c r="A941" s="367">
        <v>42655</v>
      </c>
      <c r="B941" s="367" t="s">
        <v>279</v>
      </c>
      <c r="C941" s="279" t="s">
        <v>584</v>
      </c>
      <c r="D941" s="159" t="s">
        <v>1036</v>
      </c>
      <c r="E941" s="45">
        <f t="shared" si="72"/>
        <v>42655</v>
      </c>
      <c r="F941" s="148" t="str">
        <f t="shared" si="73"/>
        <v>2016-17</v>
      </c>
      <c r="G941" s="1"/>
      <c r="H941" s="163"/>
      <c r="I941" s="37"/>
      <c r="J941" s="138">
        <f t="shared" si="74"/>
        <v>0.77968490742404351</v>
      </c>
      <c r="K941" s="114"/>
      <c r="L941" s="37">
        <v>5.5208037002000001</v>
      </c>
      <c r="M941" s="37" t="s">
        <v>142</v>
      </c>
      <c r="N941" s="37">
        <v>470.74786858536584</v>
      </c>
      <c r="O941" s="132">
        <f t="shared" si="75"/>
        <v>2598.906574747351</v>
      </c>
      <c r="P941" s="134">
        <f t="shared" si="76"/>
        <v>2026.3282321356264</v>
      </c>
      <c r="Q941" s="261">
        <v>1</v>
      </c>
      <c r="R941" s="94"/>
    </row>
    <row r="942" spans="1:18" x14ac:dyDescent="0.25">
      <c r="A942" s="367">
        <v>42655</v>
      </c>
      <c r="B942" s="367" t="s">
        <v>279</v>
      </c>
      <c r="C942" s="279" t="s">
        <v>584</v>
      </c>
      <c r="D942" s="159" t="s">
        <v>1036</v>
      </c>
      <c r="E942" s="45">
        <f t="shared" si="72"/>
        <v>42655</v>
      </c>
      <c r="F942" s="148" t="str">
        <f t="shared" si="73"/>
        <v>2016-17</v>
      </c>
      <c r="G942" s="1"/>
      <c r="H942" s="163"/>
      <c r="I942" s="37"/>
      <c r="J942" s="138">
        <f t="shared" si="74"/>
        <v>0.77968490742404351</v>
      </c>
      <c r="K942" s="114"/>
      <c r="L942" s="37">
        <v>1.3701766309500001</v>
      </c>
      <c r="M942" s="37" t="s">
        <v>142</v>
      </c>
      <c r="N942" s="37">
        <v>470.74786858536584</v>
      </c>
      <c r="O942" s="132">
        <f t="shared" si="75"/>
        <v>645.00772860518998</v>
      </c>
      <c r="P942" s="134">
        <f t="shared" si="76"/>
        <v>502.90279116533014</v>
      </c>
      <c r="Q942" s="261">
        <v>1</v>
      </c>
      <c r="R942" s="94"/>
    </row>
    <row r="943" spans="1:18" x14ac:dyDescent="0.25">
      <c r="A943" s="367">
        <v>42909</v>
      </c>
      <c r="B943" s="367" t="s">
        <v>279</v>
      </c>
      <c r="C943" s="279" t="s">
        <v>585</v>
      </c>
      <c r="D943" s="159" t="s">
        <v>1037</v>
      </c>
      <c r="E943" s="45">
        <f t="shared" si="72"/>
        <v>42909</v>
      </c>
      <c r="F943" s="148" t="str">
        <f t="shared" si="73"/>
        <v>2016-17</v>
      </c>
      <c r="G943" s="1"/>
      <c r="H943" s="163"/>
      <c r="I943" s="37"/>
      <c r="J943" s="138">
        <f t="shared" si="74"/>
        <v>0.77968490742404351</v>
      </c>
      <c r="K943" s="114"/>
      <c r="L943" s="37">
        <v>60.1501441809</v>
      </c>
      <c r="M943" s="37" t="s">
        <v>142</v>
      </c>
      <c r="N943" s="37">
        <v>749.70391609756098</v>
      </c>
      <c r="O943" s="132">
        <f t="shared" si="75"/>
        <v>45094.79864625365</v>
      </c>
      <c r="P943" s="134">
        <f t="shared" si="76"/>
        <v>35159.733907810158</v>
      </c>
      <c r="Q943" s="261">
        <v>1</v>
      </c>
      <c r="R943" s="94"/>
    </row>
    <row r="944" spans="1:18" x14ac:dyDescent="0.25">
      <c r="A944" s="367">
        <v>42909</v>
      </c>
      <c r="B944" s="367" t="s">
        <v>279</v>
      </c>
      <c r="C944" s="279" t="s">
        <v>585</v>
      </c>
      <c r="D944" s="159" t="s">
        <v>1037</v>
      </c>
      <c r="E944" s="45">
        <f t="shared" si="72"/>
        <v>42909</v>
      </c>
      <c r="F944" s="148" t="str">
        <f t="shared" si="73"/>
        <v>2016-17</v>
      </c>
      <c r="G944" s="1"/>
      <c r="H944" s="163"/>
      <c r="I944" s="37"/>
      <c r="J944" s="138">
        <f t="shared" si="74"/>
        <v>0.77968490742404351</v>
      </c>
      <c r="K944" s="114"/>
      <c r="L944" s="37">
        <v>12.5398399127</v>
      </c>
      <c r="M944" s="37" t="s">
        <v>142</v>
      </c>
      <c r="N944" s="37">
        <v>749.70391609756098</v>
      </c>
      <c r="O944" s="132">
        <f t="shared" si="75"/>
        <v>9401.1670897876866</v>
      </c>
      <c r="P944" s="134">
        <f t="shared" si="76"/>
        <v>7329.9480920790766</v>
      </c>
      <c r="Q944" s="261">
        <v>1</v>
      </c>
      <c r="R944" s="94"/>
    </row>
    <row r="945" spans="1:18" x14ac:dyDescent="0.25">
      <c r="A945" s="367">
        <v>42794</v>
      </c>
      <c r="B945" s="367" t="s">
        <v>279</v>
      </c>
      <c r="C945" s="279" t="s">
        <v>586</v>
      </c>
      <c r="D945" s="159" t="s">
        <v>1038</v>
      </c>
      <c r="E945" s="45">
        <f t="shared" si="72"/>
        <v>42794</v>
      </c>
      <c r="F945" s="148" t="str">
        <f t="shared" si="73"/>
        <v>2016-17</v>
      </c>
      <c r="G945" s="1"/>
      <c r="H945" s="163"/>
      <c r="I945" s="37"/>
      <c r="J945" s="138">
        <f t="shared" si="74"/>
        <v>0.77968490742404351</v>
      </c>
      <c r="K945" s="114"/>
      <c r="L945" s="37">
        <v>8.1289132159899999</v>
      </c>
      <c r="M945" s="37" t="s">
        <v>142</v>
      </c>
      <c r="N945" s="37">
        <v>470.74786858536584</v>
      </c>
      <c r="O945" s="132">
        <f t="shared" si="75"/>
        <v>3826.6685703427042</v>
      </c>
      <c r="P945" s="134">
        <f t="shared" si="76"/>
        <v>2983.5957300101481</v>
      </c>
      <c r="Q945" s="261">
        <v>1</v>
      </c>
      <c r="R945" s="94"/>
    </row>
    <row r="946" spans="1:18" x14ac:dyDescent="0.25">
      <c r="A946" s="367">
        <v>42794</v>
      </c>
      <c r="B946" s="367" t="s">
        <v>279</v>
      </c>
      <c r="C946" s="279" t="s">
        <v>586</v>
      </c>
      <c r="D946" s="159" t="s">
        <v>1039</v>
      </c>
      <c r="E946" s="45">
        <f t="shared" si="72"/>
        <v>42794</v>
      </c>
      <c r="F946" s="148" t="str">
        <f t="shared" si="73"/>
        <v>2016-17</v>
      </c>
      <c r="G946" s="1"/>
      <c r="H946" s="163"/>
      <c r="I946" s="37"/>
      <c r="J946" s="138">
        <f t="shared" si="74"/>
        <v>0.77968490742404351</v>
      </c>
      <c r="K946" s="114"/>
      <c r="L946" s="37">
        <v>234.81591387200001</v>
      </c>
      <c r="M946" s="37" t="s">
        <v>142</v>
      </c>
      <c r="N946" s="37">
        <v>749.70391609756098</v>
      </c>
      <c r="O946" s="132">
        <f t="shared" si="75"/>
        <v>176042.41019186599</v>
      </c>
      <c r="P946" s="134">
        <f t="shared" si="76"/>
        <v>137257.61029315053</v>
      </c>
      <c r="Q946" s="261">
        <v>1</v>
      </c>
      <c r="R946" s="94"/>
    </row>
    <row r="947" spans="1:18" x14ac:dyDescent="0.25">
      <c r="A947" s="367">
        <v>42794</v>
      </c>
      <c r="B947" s="367" t="s">
        <v>279</v>
      </c>
      <c r="C947" s="279" t="s">
        <v>586</v>
      </c>
      <c r="D947" s="159" t="s">
        <v>1038</v>
      </c>
      <c r="E947" s="45">
        <f t="shared" si="72"/>
        <v>42794</v>
      </c>
      <c r="F947" s="148" t="str">
        <f t="shared" si="73"/>
        <v>2016-17</v>
      </c>
      <c r="G947" s="1"/>
      <c r="H947" s="163"/>
      <c r="I947" s="37"/>
      <c r="J947" s="138">
        <f t="shared" si="74"/>
        <v>0.77968490742404351</v>
      </c>
      <c r="K947" s="114"/>
      <c r="L947" s="37">
        <v>150.755968443</v>
      </c>
      <c r="M947" s="37" t="s">
        <v>142</v>
      </c>
      <c r="N947" s="37">
        <v>749.70391609756098</v>
      </c>
      <c r="O947" s="132">
        <f t="shared" si="75"/>
        <v>113022.33991679743</v>
      </c>
      <c r="P947" s="134">
        <f t="shared" si="76"/>
        <v>88121.812634876973</v>
      </c>
      <c r="Q947" s="261">
        <v>1</v>
      </c>
      <c r="R947" s="94"/>
    </row>
    <row r="948" spans="1:18" x14ac:dyDescent="0.25">
      <c r="A948" s="367">
        <v>42794</v>
      </c>
      <c r="B948" s="367" t="s">
        <v>279</v>
      </c>
      <c r="C948" s="279" t="s">
        <v>586</v>
      </c>
      <c r="D948" s="159" t="s">
        <v>1038</v>
      </c>
      <c r="E948" s="45">
        <f t="shared" si="72"/>
        <v>42794</v>
      </c>
      <c r="F948" s="148" t="str">
        <f t="shared" si="73"/>
        <v>2016-17</v>
      </c>
      <c r="G948" s="1"/>
      <c r="H948" s="163"/>
      <c r="I948" s="37"/>
      <c r="J948" s="138">
        <f t="shared" si="74"/>
        <v>0.77968490742404351</v>
      </c>
      <c r="K948" s="114"/>
      <c r="L948" s="37">
        <v>3.25052395776</v>
      </c>
      <c r="M948" s="37" t="s">
        <v>142</v>
      </c>
      <c r="N948" s="37">
        <v>470.74786858536584</v>
      </c>
      <c r="O948" s="132">
        <f t="shared" si="75"/>
        <v>1530.1772249011879</v>
      </c>
      <c r="P948" s="134">
        <f t="shared" si="76"/>
        <v>1193.0560879394625</v>
      </c>
      <c r="Q948" s="261">
        <v>1</v>
      </c>
      <c r="R948" s="94"/>
    </row>
    <row r="949" spans="1:18" x14ac:dyDescent="0.25">
      <c r="A949" s="367">
        <v>42794</v>
      </c>
      <c r="B949" s="367" t="s">
        <v>279</v>
      </c>
      <c r="C949" s="279" t="s">
        <v>586</v>
      </c>
      <c r="D949" s="159" t="s">
        <v>1038</v>
      </c>
      <c r="E949" s="45">
        <f t="shared" si="72"/>
        <v>42794</v>
      </c>
      <c r="F949" s="148" t="str">
        <f t="shared" si="73"/>
        <v>2016-17</v>
      </c>
      <c r="G949" s="1"/>
      <c r="H949" s="163"/>
      <c r="I949" s="37"/>
      <c r="J949" s="138">
        <f t="shared" si="74"/>
        <v>0.77968490742404351</v>
      </c>
      <c r="K949" s="114"/>
      <c r="L949" s="37">
        <v>4.2236621907799998</v>
      </c>
      <c r="M949" s="37" t="s">
        <v>142</v>
      </c>
      <c r="N949" s="37">
        <v>749.70391609756098</v>
      </c>
      <c r="O949" s="132">
        <f t="shared" si="75"/>
        <v>3166.4960847009697</v>
      </c>
      <c r="P949" s="134">
        <f t="shared" si="76"/>
        <v>2468.8692066586718</v>
      </c>
      <c r="Q949" s="261">
        <v>1</v>
      </c>
      <c r="R949" s="94"/>
    </row>
    <row r="950" spans="1:18" x14ac:dyDescent="0.25">
      <c r="A950" s="367">
        <v>42794</v>
      </c>
      <c r="B950" s="367" t="s">
        <v>279</v>
      </c>
      <c r="C950" s="279" t="s">
        <v>586</v>
      </c>
      <c r="D950" s="159" t="s">
        <v>1039</v>
      </c>
      <c r="E950" s="45">
        <f t="shared" si="72"/>
        <v>42794</v>
      </c>
      <c r="F950" s="148" t="str">
        <f t="shared" si="73"/>
        <v>2016-17</v>
      </c>
      <c r="G950" s="1"/>
      <c r="H950" s="163"/>
      <c r="I950" s="37"/>
      <c r="J950" s="138">
        <f t="shared" si="74"/>
        <v>0.77968490742404351</v>
      </c>
      <c r="K950" s="114"/>
      <c r="L950" s="37">
        <v>10.3619476963</v>
      </c>
      <c r="M950" s="37" t="s">
        <v>142</v>
      </c>
      <c r="N950" s="37">
        <v>749.70391609756098</v>
      </c>
      <c r="O950" s="132">
        <f t="shared" si="75"/>
        <v>7768.3927663142103</v>
      </c>
      <c r="P950" s="134">
        <f t="shared" si="76"/>
        <v>6056.8985948373047</v>
      </c>
      <c r="Q950" s="261">
        <v>1</v>
      </c>
      <c r="R950" s="94"/>
    </row>
    <row r="951" spans="1:18" x14ac:dyDescent="0.25">
      <c r="A951" s="367">
        <v>42845</v>
      </c>
      <c r="B951" s="367" t="s">
        <v>279</v>
      </c>
      <c r="C951" s="279" t="s">
        <v>587</v>
      </c>
      <c r="D951" s="159" t="s">
        <v>1040</v>
      </c>
      <c r="E951" s="45">
        <f t="shared" si="72"/>
        <v>42845</v>
      </c>
      <c r="F951" s="148" t="str">
        <f t="shared" si="73"/>
        <v>2016-17</v>
      </c>
      <c r="G951" s="1"/>
      <c r="H951" s="163"/>
      <c r="I951" s="37"/>
      <c r="J951" s="138">
        <f t="shared" si="74"/>
        <v>0.77968490742404351</v>
      </c>
      <c r="K951" s="114"/>
      <c r="L951" s="37">
        <v>5.1382432200099997</v>
      </c>
      <c r="M951" s="37" t="s">
        <v>142</v>
      </c>
      <c r="N951" s="37">
        <v>470.74786858536584</v>
      </c>
      <c r="O951" s="132">
        <f t="shared" si="75"/>
        <v>2418.8170440929143</v>
      </c>
      <c r="P951" s="134">
        <f t="shared" si="76"/>
        <v>1885.9151430992824</v>
      </c>
      <c r="Q951" s="261">
        <v>1</v>
      </c>
      <c r="R951" s="94"/>
    </row>
    <row r="952" spans="1:18" x14ac:dyDescent="0.25">
      <c r="A952" s="367">
        <v>42845</v>
      </c>
      <c r="B952" s="367" t="s">
        <v>279</v>
      </c>
      <c r="C952" s="279" t="s">
        <v>587</v>
      </c>
      <c r="D952" s="159" t="s">
        <v>1040</v>
      </c>
      <c r="E952" s="45">
        <f t="shared" si="72"/>
        <v>42845</v>
      </c>
      <c r="F952" s="148" t="str">
        <f t="shared" si="73"/>
        <v>2016-17</v>
      </c>
      <c r="G952" s="1"/>
      <c r="H952" s="163"/>
      <c r="I952" s="37"/>
      <c r="J952" s="138">
        <f t="shared" si="74"/>
        <v>0.77968490742404351</v>
      </c>
      <c r="K952" s="114"/>
      <c r="L952" s="37">
        <v>60.098267572899999</v>
      </c>
      <c r="M952" s="37" t="s">
        <v>142</v>
      </c>
      <c r="N952" s="37">
        <v>470.74786858536584</v>
      </c>
      <c r="O952" s="132">
        <f t="shared" si="75"/>
        <v>28291.131365615682</v>
      </c>
      <c r="P952" s="134">
        <f t="shared" si="76"/>
        <v>22058.168139721518</v>
      </c>
      <c r="Q952" s="261">
        <v>1</v>
      </c>
      <c r="R952" s="94"/>
    </row>
    <row r="953" spans="1:18" x14ac:dyDescent="0.25">
      <c r="A953" s="367">
        <v>42845</v>
      </c>
      <c r="B953" s="367" t="s">
        <v>279</v>
      </c>
      <c r="C953" s="279" t="s">
        <v>587</v>
      </c>
      <c r="D953" s="159" t="s">
        <v>1040</v>
      </c>
      <c r="E953" s="45">
        <f t="shared" si="72"/>
        <v>42845</v>
      </c>
      <c r="F953" s="148" t="str">
        <f t="shared" si="73"/>
        <v>2016-17</v>
      </c>
      <c r="G953" s="1"/>
      <c r="H953" s="163"/>
      <c r="I953" s="37"/>
      <c r="J953" s="138">
        <f t="shared" si="74"/>
        <v>0.77968490742404351</v>
      </c>
      <c r="K953" s="114"/>
      <c r="L953" s="37">
        <v>118.122191882</v>
      </c>
      <c r="M953" s="37" t="s">
        <v>142</v>
      </c>
      <c r="N953" s="37">
        <v>470.74786858536584</v>
      </c>
      <c r="O953" s="132">
        <f t="shared" si="75"/>
        <v>55605.770061083102</v>
      </c>
      <c r="P953" s="134">
        <f t="shared" si="76"/>
        <v>43354.979682318226</v>
      </c>
      <c r="Q953" s="261">
        <v>1</v>
      </c>
      <c r="R953" s="94"/>
    </row>
    <row r="954" spans="1:18" x14ac:dyDescent="0.25">
      <c r="A954" s="367">
        <v>42845</v>
      </c>
      <c r="B954" s="367" t="s">
        <v>279</v>
      </c>
      <c r="C954" s="279" t="s">
        <v>587</v>
      </c>
      <c r="D954" s="159" t="s">
        <v>1040</v>
      </c>
      <c r="E954" s="45">
        <f t="shared" si="72"/>
        <v>42845</v>
      </c>
      <c r="F954" s="148" t="str">
        <f t="shared" si="73"/>
        <v>2016-17</v>
      </c>
      <c r="G954" s="1"/>
      <c r="H954" s="163"/>
      <c r="I954" s="37"/>
      <c r="J954" s="138">
        <f t="shared" si="74"/>
        <v>0.77968490742404351</v>
      </c>
      <c r="K954" s="114"/>
      <c r="L954" s="37">
        <v>152.052687607</v>
      </c>
      <c r="M954" s="37" t="s">
        <v>142</v>
      </c>
      <c r="N954" s="37">
        <v>749.70391609756098</v>
      </c>
      <c r="O954" s="132">
        <f t="shared" si="75"/>
        <v>113994.49535212698</v>
      </c>
      <c r="P954" s="134">
        <f t="shared" si="76"/>
        <v>88879.787555473682</v>
      </c>
      <c r="Q954" s="261">
        <v>1</v>
      </c>
      <c r="R954" s="94"/>
    </row>
    <row r="955" spans="1:18" x14ac:dyDescent="0.25">
      <c r="A955" s="367">
        <v>42845</v>
      </c>
      <c r="B955" s="367" t="s">
        <v>279</v>
      </c>
      <c r="C955" s="279" t="s">
        <v>587</v>
      </c>
      <c r="D955" s="159" t="s">
        <v>1040</v>
      </c>
      <c r="E955" s="45">
        <f t="shared" si="72"/>
        <v>42845</v>
      </c>
      <c r="F955" s="148" t="str">
        <f t="shared" si="73"/>
        <v>2016-17</v>
      </c>
      <c r="G955" s="1"/>
      <c r="H955" s="163"/>
      <c r="I955" s="37"/>
      <c r="J955" s="138">
        <f t="shared" si="74"/>
        <v>0.77968490742404351</v>
      </c>
      <c r="K955" s="114"/>
      <c r="L955" s="37">
        <v>4.8974869065700002</v>
      </c>
      <c r="M955" s="37" t="s">
        <v>142</v>
      </c>
      <c r="N955" s="37">
        <v>749.70391609756098</v>
      </c>
      <c r="O955" s="132">
        <f t="shared" si="75"/>
        <v>3671.6651128920589</v>
      </c>
      <c r="P955" s="134">
        <f t="shared" si="76"/>
        <v>2862.7418736373352</v>
      </c>
      <c r="Q955" s="261">
        <v>1</v>
      </c>
      <c r="R955" s="94"/>
    </row>
    <row r="956" spans="1:18" x14ac:dyDescent="0.25">
      <c r="A956" s="367">
        <v>43308</v>
      </c>
      <c r="B956" s="367" t="s">
        <v>279</v>
      </c>
      <c r="C956" s="279" t="s">
        <v>588</v>
      </c>
      <c r="D956" s="159" t="s">
        <v>1041</v>
      </c>
      <c r="E956" s="45">
        <f t="shared" si="72"/>
        <v>43308</v>
      </c>
      <c r="F956" s="148" t="str">
        <f t="shared" si="73"/>
        <v>2018-19</v>
      </c>
      <c r="G956" s="1"/>
      <c r="H956" s="163"/>
      <c r="I956" s="37"/>
      <c r="J956" s="138">
        <f t="shared" si="74"/>
        <v>0.77968490742404351</v>
      </c>
      <c r="K956" s="114"/>
      <c r="L956" s="37">
        <v>8.7602517249100007</v>
      </c>
      <c r="M956" s="37" t="s">
        <v>142</v>
      </c>
      <c r="N956" s="37">
        <v>470.74786858536584</v>
      </c>
      <c r="O956" s="132">
        <f t="shared" si="75"/>
        <v>4123.8698277726571</v>
      </c>
      <c r="P956" s="134">
        <f t="shared" si="76"/>
        <v>3215.3190648957302</v>
      </c>
      <c r="Q956" s="261">
        <v>1</v>
      </c>
      <c r="R956" s="94"/>
    </row>
    <row r="957" spans="1:18" x14ac:dyDescent="0.25">
      <c r="A957" s="367">
        <v>43308</v>
      </c>
      <c r="B957" s="367" t="s">
        <v>279</v>
      </c>
      <c r="C957" s="279" t="s">
        <v>588</v>
      </c>
      <c r="D957" s="159" t="s">
        <v>1041</v>
      </c>
      <c r="E957" s="45">
        <f t="shared" si="72"/>
        <v>43308</v>
      </c>
      <c r="F957" s="148" t="str">
        <f t="shared" si="73"/>
        <v>2018-19</v>
      </c>
      <c r="G957" s="1"/>
      <c r="H957" s="163"/>
      <c r="I957" s="37"/>
      <c r="J957" s="138">
        <f t="shared" si="74"/>
        <v>0.77968490742404351</v>
      </c>
      <c r="K957" s="114"/>
      <c r="L957" s="37">
        <v>8.5704617690399996</v>
      </c>
      <c r="M957" s="37" t="s">
        <v>142</v>
      </c>
      <c r="N957" s="37">
        <v>470.74786858536584</v>
      </c>
      <c r="O957" s="132">
        <f t="shared" si="75"/>
        <v>4034.5266105679439</v>
      </c>
      <c r="P957" s="134">
        <f t="shared" si="76"/>
        <v>3145.6595068605075</v>
      </c>
      <c r="Q957" s="261">
        <v>1</v>
      </c>
      <c r="R957" s="94"/>
    </row>
    <row r="958" spans="1:18" x14ac:dyDescent="0.25">
      <c r="A958" s="367">
        <v>43392</v>
      </c>
      <c r="B958" s="367" t="s">
        <v>279</v>
      </c>
      <c r="C958" s="279" t="s">
        <v>589</v>
      </c>
      <c r="D958" s="159" t="s">
        <v>1042</v>
      </c>
      <c r="E958" s="45">
        <f t="shared" si="72"/>
        <v>43392</v>
      </c>
      <c r="F958" s="148" t="str">
        <f t="shared" si="73"/>
        <v>2018-19</v>
      </c>
      <c r="G958" s="1"/>
      <c r="H958" s="163"/>
      <c r="I958" s="37"/>
      <c r="J958" s="138">
        <f t="shared" si="74"/>
        <v>0.77968490742404351</v>
      </c>
      <c r="K958" s="114"/>
      <c r="L958" s="37">
        <v>12.7688969416</v>
      </c>
      <c r="M958" s="37" t="s">
        <v>142</v>
      </c>
      <c r="N958" s="37">
        <v>470.74786858536584</v>
      </c>
      <c r="O958" s="132">
        <f t="shared" si="75"/>
        <v>6010.931019444396</v>
      </c>
      <c r="P958" s="134">
        <f t="shared" si="76"/>
        <v>4686.6321954278155</v>
      </c>
      <c r="Q958" s="261">
        <v>1</v>
      </c>
      <c r="R958" s="94"/>
    </row>
    <row r="959" spans="1:18" x14ac:dyDescent="0.25">
      <c r="A959" s="367">
        <v>43392</v>
      </c>
      <c r="B959" s="367" t="s">
        <v>279</v>
      </c>
      <c r="C959" s="279" t="s">
        <v>589</v>
      </c>
      <c r="D959" s="159" t="s">
        <v>1042</v>
      </c>
      <c r="E959" s="45">
        <f t="shared" si="72"/>
        <v>43392</v>
      </c>
      <c r="F959" s="148" t="str">
        <f t="shared" si="73"/>
        <v>2018-19</v>
      </c>
      <c r="G959" s="1"/>
      <c r="H959" s="163"/>
      <c r="I959" s="37"/>
      <c r="J959" s="138">
        <f t="shared" si="74"/>
        <v>0.77968490742404351</v>
      </c>
      <c r="K959" s="114"/>
      <c r="L959" s="37">
        <v>58.465768358799998</v>
      </c>
      <c r="M959" s="37" t="s">
        <v>142</v>
      </c>
      <c r="N959" s="37">
        <v>621.96155034146341</v>
      </c>
      <c r="O959" s="132">
        <f t="shared" si="75"/>
        <v>36363.459930344121</v>
      </c>
      <c r="P959" s="134">
        <f t="shared" si="76"/>
        <v>28352.040889408272</v>
      </c>
      <c r="Q959" s="261">
        <v>1</v>
      </c>
      <c r="R959" s="94"/>
    </row>
    <row r="960" spans="1:18" x14ac:dyDescent="0.25">
      <c r="A960" s="367">
        <v>43392</v>
      </c>
      <c r="B960" s="367" t="s">
        <v>279</v>
      </c>
      <c r="C960" s="279" t="s">
        <v>589</v>
      </c>
      <c r="D960" s="159" t="s">
        <v>1042</v>
      </c>
      <c r="E960" s="45">
        <f t="shared" si="72"/>
        <v>43392</v>
      </c>
      <c r="F960" s="148" t="str">
        <f t="shared" si="73"/>
        <v>2018-19</v>
      </c>
      <c r="G960" s="1"/>
      <c r="H960" s="163"/>
      <c r="I960" s="37"/>
      <c r="J960" s="138">
        <f t="shared" si="74"/>
        <v>0.77968490742404351</v>
      </c>
      <c r="K960" s="114"/>
      <c r="L960" s="37">
        <v>176.21842316499999</v>
      </c>
      <c r="M960" s="37" t="s">
        <v>142</v>
      </c>
      <c r="N960" s="37">
        <v>470.74786858536584</v>
      </c>
      <c r="O960" s="132">
        <f t="shared" si="75"/>
        <v>82954.447110397799</v>
      </c>
      <c r="P960" s="134">
        <f t="shared" si="76"/>
        <v>64678.330415683224</v>
      </c>
      <c r="Q960" s="261">
        <v>1</v>
      </c>
      <c r="R960" s="94"/>
    </row>
    <row r="961" spans="1:18" x14ac:dyDescent="0.25">
      <c r="A961" s="367">
        <v>43392</v>
      </c>
      <c r="B961" s="367" t="s">
        <v>279</v>
      </c>
      <c r="C961" s="279" t="s">
        <v>589</v>
      </c>
      <c r="D961" s="159" t="s">
        <v>1042</v>
      </c>
      <c r="E961" s="45">
        <f t="shared" si="72"/>
        <v>43392</v>
      </c>
      <c r="F961" s="148" t="str">
        <f t="shared" si="73"/>
        <v>2018-19</v>
      </c>
      <c r="G961" s="1"/>
      <c r="H961" s="163"/>
      <c r="I961" s="37"/>
      <c r="J961" s="138">
        <f t="shared" si="74"/>
        <v>0.77968490742404351</v>
      </c>
      <c r="K961" s="114"/>
      <c r="L961" s="37">
        <v>18.645279317100002</v>
      </c>
      <c r="M961" s="37" t="s">
        <v>142</v>
      </c>
      <c r="N961" s="37">
        <v>621.96155034146341</v>
      </c>
      <c r="O961" s="132">
        <f t="shared" si="75"/>
        <v>11596.646830613139</v>
      </c>
      <c r="P961" s="134">
        <f t="shared" si="76"/>
        <v>9041.7305105559335</v>
      </c>
      <c r="Q961" s="261">
        <v>1</v>
      </c>
      <c r="R961" s="94"/>
    </row>
    <row r="962" spans="1:18" x14ac:dyDescent="0.25">
      <c r="A962" s="367">
        <v>43392</v>
      </c>
      <c r="B962" s="367" t="s">
        <v>279</v>
      </c>
      <c r="C962" s="279" t="s">
        <v>589</v>
      </c>
      <c r="D962" s="159" t="s">
        <v>1042</v>
      </c>
      <c r="E962" s="45">
        <f t="shared" si="72"/>
        <v>43392</v>
      </c>
      <c r="F962" s="148" t="str">
        <f t="shared" si="73"/>
        <v>2018-19</v>
      </c>
      <c r="G962" s="1"/>
      <c r="H962" s="163"/>
      <c r="I962" s="37"/>
      <c r="J962" s="138">
        <f t="shared" si="74"/>
        <v>0.77968490742404351</v>
      </c>
      <c r="K962" s="114"/>
      <c r="L962" s="37">
        <v>9.0990393299299992</v>
      </c>
      <c r="M962" s="37" t="s">
        <v>142</v>
      </c>
      <c r="N962" s="37">
        <v>514.18436487804865</v>
      </c>
      <c r="O962" s="132">
        <f t="shared" si="75"/>
        <v>4678.5837588604418</v>
      </c>
      <c r="P962" s="134">
        <f t="shared" si="76"/>
        <v>3647.8211449027372</v>
      </c>
      <c r="Q962" s="261">
        <v>1</v>
      </c>
      <c r="R962" s="94"/>
    </row>
    <row r="963" spans="1:18" x14ac:dyDescent="0.25">
      <c r="A963" s="367">
        <v>43402</v>
      </c>
      <c r="B963" s="367" t="s">
        <v>279</v>
      </c>
      <c r="C963" s="279" t="s">
        <v>590</v>
      </c>
      <c r="D963" s="159" t="s">
        <v>1043</v>
      </c>
      <c r="E963" s="45">
        <f t="shared" si="72"/>
        <v>43402</v>
      </c>
      <c r="F963" s="148" t="str">
        <f t="shared" si="73"/>
        <v>2018-19</v>
      </c>
      <c r="G963" s="1"/>
      <c r="H963" s="163"/>
      <c r="I963" s="37"/>
      <c r="J963" s="138">
        <f t="shared" si="74"/>
        <v>0.77968490742404351</v>
      </c>
      <c r="K963" s="114"/>
      <c r="L963" s="37">
        <v>5.62096664285</v>
      </c>
      <c r="M963" s="37" t="s">
        <v>142</v>
      </c>
      <c r="N963" s="37">
        <v>514.18436487804865</v>
      </c>
      <c r="O963" s="132">
        <f t="shared" si="75"/>
        <v>2890.2131632545247</v>
      </c>
      <c r="P963" s="134">
        <f t="shared" si="76"/>
        <v>2253.4555826278561</v>
      </c>
      <c r="Q963" s="261">
        <v>1</v>
      </c>
      <c r="R963" s="94"/>
    </row>
    <row r="964" spans="1:18" x14ac:dyDescent="0.25">
      <c r="A964" s="367">
        <v>43546</v>
      </c>
      <c r="B964" s="367" t="s">
        <v>279</v>
      </c>
      <c r="C964" s="279" t="s">
        <v>591</v>
      </c>
      <c r="D964" s="159" t="s">
        <v>1044</v>
      </c>
      <c r="E964" s="45">
        <f t="shared" si="72"/>
        <v>43546</v>
      </c>
      <c r="F964" s="148" t="str">
        <f t="shared" si="73"/>
        <v>2018-19</v>
      </c>
      <c r="G964" s="1"/>
      <c r="H964" s="163"/>
      <c r="I964" s="37"/>
      <c r="J964" s="138">
        <f t="shared" si="74"/>
        <v>0.77968490742404351</v>
      </c>
      <c r="K964" s="114"/>
      <c r="L964" s="37">
        <v>249.572560377</v>
      </c>
      <c r="M964" s="37" t="s">
        <v>142</v>
      </c>
      <c r="N964" s="37">
        <v>749.70391609756098</v>
      </c>
      <c r="O964" s="132">
        <f t="shared" si="75"/>
        <v>187105.52586513187</v>
      </c>
      <c r="P964" s="134">
        <f t="shared" si="76"/>
        <v>145883.35461268233</v>
      </c>
      <c r="Q964" s="261">
        <v>1</v>
      </c>
      <c r="R964" s="94"/>
    </row>
    <row r="965" spans="1:18" x14ac:dyDescent="0.25">
      <c r="A965" s="367">
        <v>43546</v>
      </c>
      <c r="B965" s="367" t="s">
        <v>279</v>
      </c>
      <c r="C965" s="279" t="s">
        <v>591</v>
      </c>
      <c r="D965" s="159" t="s">
        <v>1044</v>
      </c>
      <c r="E965" s="45">
        <f t="shared" si="72"/>
        <v>43546</v>
      </c>
      <c r="F965" s="148" t="str">
        <f t="shared" si="73"/>
        <v>2018-19</v>
      </c>
      <c r="G965" s="1"/>
      <c r="H965" s="163"/>
      <c r="I965" s="37"/>
      <c r="J965" s="138">
        <f t="shared" si="74"/>
        <v>0.77968490742404351</v>
      </c>
      <c r="K965" s="114"/>
      <c r="L965" s="37">
        <v>5.4427658603399998</v>
      </c>
      <c r="M965" s="37" t="s">
        <v>142</v>
      </c>
      <c r="N965" s="37">
        <v>749.70391609756098</v>
      </c>
      <c r="O965" s="132">
        <f t="shared" si="75"/>
        <v>4080.4628798990084</v>
      </c>
      <c r="P965" s="134">
        <f t="shared" si="76"/>
        <v>3181.4753227613041</v>
      </c>
      <c r="Q965" s="261">
        <v>1</v>
      </c>
      <c r="R965" s="94"/>
    </row>
    <row r="966" spans="1:18" x14ac:dyDescent="0.25">
      <c r="A966" s="367">
        <v>43546</v>
      </c>
      <c r="B966" s="367" t="s">
        <v>279</v>
      </c>
      <c r="C966" s="279" t="s">
        <v>591</v>
      </c>
      <c r="D966" s="159" t="s">
        <v>1044</v>
      </c>
      <c r="E966" s="45">
        <f t="shared" si="72"/>
        <v>43546</v>
      </c>
      <c r="F966" s="148" t="str">
        <f t="shared" si="73"/>
        <v>2018-19</v>
      </c>
      <c r="G966" s="1"/>
      <c r="H966" s="163"/>
      <c r="I966" s="37"/>
      <c r="J966" s="138">
        <f t="shared" si="74"/>
        <v>0.77968490742404351</v>
      </c>
      <c r="K966" s="114"/>
      <c r="L966" s="37">
        <v>0.91457640468099999</v>
      </c>
      <c r="M966" s="37" t="s">
        <v>142</v>
      </c>
      <c r="N966" s="37">
        <v>749.70391609756098</v>
      </c>
      <c r="O966" s="132">
        <f t="shared" si="75"/>
        <v>685.66151215977334</v>
      </c>
      <c r="P966" s="134">
        <f t="shared" si="76"/>
        <v>534.59993263252261</v>
      </c>
      <c r="Q966" s="261">
        <v>1</v>
      </c>
      <c r="R966" s="94"/>
    </row>
    <row r="967" spans="1:18" x14ac:dyDescent="0.25">
      <c r="A967" s="367">
        <v>43546</v>
      </c>
      <c r="B967" s="367" t="s">
        <v>279</v>
      </c>
      <c r="C967" s="279" t="s">
        <v>591</v>
      </c>
      <c r="D967" s="159" t="s">
        <v>1044</v>
      </c>
      <c r="E967" s="45">
        <f t="shared" si="72"/>
        <v>43546</v>
      </c>
      <c r="F967" s="148" t="str">
        <f t="shared" si="73"/>
        <v>2018-19</v>
      </c>
      <c r="G967" s="1"/>
      <c r="H967" s="163"/>
      <c r="I967" s="37"/>
      <c r="J967" s="138">
        <f t="shared" si="74"/>
        <v>0.77968490742404351</v>
      </c>
      <c r="K967" s="114"/>
      <c r="L967" s="37">
        <v>0.28541373477799997</v>
      </c>
      <c r="M967" s="37" t="s">
        <v>142</v>
      </c>
      <c r="N967" s="37">
        <v>749.70391609756098</v>
      </c>
      <c r="O967" s="132">
        <f t="shared" si="75"/>
        <v>213.97579467109722</v>
      </c>
      <c r="P967" s="134">
        <f t="shared" si="76"/>
        <v>166.83369765912059</v>
      </c>
      <c r="Q967" s="261">
        <v>1</v>
      </c>
      <c r="R967" s="94"/>
    </row>
    <row r="968" spans="1:18" x14ac:dyDescent="0.25">
      <c r="A968" s="367">
        <v>43546</v>
      </c>
      <c r="B968" s="367" t="s">
        <v>279</v>
      </c>
      <c r="C968" s="279" t="s">
        <v>591</v>
      </c>
      <c r="D968" s="159" t="s">
        <v>1044</v>
      </c>
      <c r="E968" s="45">
        <f t="shared" si="72"/>
        <v>43546</v>
      </c>
      <c r="F968" s="148" t="str">
        <f t="shared" si="73"/>
        <v>2018-19</v>
      </c>
      <c r="G968" s="1"/>
      <c r="H968" s="163"/>
      <c r="I968" s="37"/>
      <c r="J968" s="138">
        <f t="shared" si="74"/>
        <v>0.77968490742404351</v>
      </c>
      <c r="K968" s="114"/>
      <c r="L968" s="37">
        <v>1.9998822465299999</v>
      </c>
      <c r="M968" s="37" t="s">
        <v>142</v>
      </c>
      <c r="N968" s="37">
        <v>749.70391609756098</v>
      </c>
      <c r="O968" s="132">
        <f t="shared" si="75"/>
        <v>1499.3195519575288</v>
      </c>
      <c r="P968" s="134">
        <f t="shared" si="76"/>
        <v>1168.9968260670641</v>
      </c>
      <c r="Q968" s="261">
        <v>1</v>
      </c>
      <c r="R968" s="94"/>
    </row>
    <row r="969" spans="1:18" x14ac:dyDescent="0.25">
      <c r="A969" s="367">
        <v>41499</v>
      </c>
      <c r="B969" s="367" t="s">
        <v>279</v>
      </c>
      <c r="C969" s="279" t="s">
        <v>592</v>
      </c>
      <c r="D969" s="159" t="s">
        <v>1086</v>
      </c>
      <c r="E969" s="45">
        <f t="shared" si="72"/>
        <v>41499</v>
      </c>
      <c r="F969" s="148" t="str">
        <f t="shared" si="73"/>
        <v>2013-14</v>
      </c>
      <c r="G969" s="1"/>
      <c r="H969" s="163"/>
      <c r="I969" s="37"/>
      <c r="J969" s="138">
        <f t="shared" si="74"/>
        <v>0.77968490742404351</v>
      </c>
      <c r="K969" s="114"/>
      <c r="L969" s="37">
        <v>7.4066006045600004</v>
      </c>
      <c r="M969" s="37" t="s">
        <v>142</v>
      </c>
      <c r="N969" s="37">
        <v>696.6467060487804</v>
      </c>
      <c r="O969" s="132">
        <f t="shared" si="75"/>
        <v>5159.7839141856293</v>
      </c>
      <c r="P969" s="134">
        <f t="shared" si="76"/>
        <v>4023.0056434598914</v>
      </c>
      <c r="Q969" s="261">
        <v>1</v>
      </c>
      <c r="R969" s="94"/>
    </row>
    <row r="970" spans="1:18" x14ac:dyDescent="0.25">
      <c r="A970" s="367">
        <v>41499</v>
      </c>
      <c r="B970" s="367" t="s">
        <v>279</v>
      </c>
      <c r="C970" s="279" t="s">
        <v>592</v>
      </c>
      <c r="D970" s="159" t="s">
        <v>1086</v>
      </c>
      <c r="E970" s="45">
        <f t="shared" si="72"/>
        <v>41499</v>
      </c>
      <c r="F970" s="148" t="str">
        <f t="shared" si="73"/>
        <v>2013-14</v>
      </c>
      <c r="G970" s="1"/>
      <c r="H970" s="163"/>
      <c r="I970" s="37"/>
      <c r="J970" s="138">
        <f t="shared" si="74"/>
        <v>0.77968490742404351</v>
      </c>
      <c r="K970" s="114"/>
      <c r="L970" s="37">
        <v>20.7115641571</v>
      </c>
      <c r="M970" s="37" t="s">
        <v>142</v>
      </c>
      <c r="N970" s="37">
        <v>696.6467060487804</v>
      </c>
      <c r="O970" s="132">
        <f t="shared" si="75"/>
        <v>14428.642947161699</v>
      </c>
      <c r="P970" s="134">
        <f t="shared" si="76"/>
        <v>11249.795140512348</v>
      </c>
      <c r="Q970" s="261">
        <v>1</v>
      </c>
      <c r="R970" s="94"/>
    </row>
    <row r="971" spans="1:18" x14ac:dyDescent="0.25">
      <c r="A971" s="367">
        <v>39690</v>
      </c>
      <c r="B971" s="367" t="s">
        <v>279</v>
      </c>
      <c r="C971" s="279" t="s">
        <v>593</v>
      </c>
      <c r="D971" s="159" t="s">
        <v>1087</v>
      </c>
      <c r="E971" s="45">
        <f t="shared" si="72"/>
        <v>39690</v>
      </c>
      <c r="F971" s="148" t="str">
        <f t="shared" si="73"/>
        <v>2008-09</v>
      </c>
      <c r="G971" s="1"/>
      <c r="H971" s="163"/>
      <c r="I971" s="37"/>
      <c r="J971" s="138">
        <f t="shared" si="74"/>
        <v>0.77968490742404351</v>
      </c>
      <c r="K971" s="114"/>
      <c r="L971" s="37">
        <v>220.16927183999999</v>
      </c>
      <c r="M971" s="37" t="s">
        <v>142</v>
      </c>
      <c r="N971" s="37">
        <v>696.6467060487804</v>
      </c>
      <c r="O971" s="132">
        <f t="shared" si="75"/>
        <v>153380.19800049451</v>
      </c>
      <c r="P971" s="134">
        <f t="shared" si="76"/>
        <v>119588.22547869703</v>
      </c>
      <c r="Q971" s="261">
        <v>1</v>
      </c>
      <c r="R971" s="94"/>
    </row>
    <row r="972" spans="1:18" x14ac:dyDescent="0.25">
      <c r="A972" s="367">
        <v>41173</v>
      </c>
      <c r="B972" s="367" t="s">
        <v>279</v>
      </c>
      <c r="C972" s="279" t="s">
        <v>594</v>
      </c>
      <c r="D972" s="159" t="s">
        <v>1087</v>
      </c>
      <c r="E972" s="45">
        <f t="shared" si="72"/>
        <v>41173</v>
      </c>
      <c r="F972" s="148" t="str">
        <f t="shared" si="73"/>
        <v>2012-13</v>
      </c>
      <c r="G972" s="1"/>
      <c r="H972" s="163"/>
      <c r="I972" s="37"/>
      <c r="J972" s="138">
        <f t="shared" si="74"/>
        <v>0.77968490742404351</v>
      </c>
      <c r="K972" s="114"/>
      <c r="L972" s="37">
        <v>7.0687676436600002</v>
      </c>
      <c r="M972" s="37" t="s">
        <v>142</v>
      </c>
      <c r="N972" s="37">
        <v>771.6404230243902</v>
      </c>
      <c r="O972" s="132">
        <f t="shared" si="75"/>
        <v>5454.5468548149247</v>
      </c>
      <c r="P972" s="134">
        <f t="shared" si="76"/>
        <v>4252.8278595364818</v>
      </c>
      <c r="Q972" s="261">
        <v>1</v>
      </c>
      <c r="R972" s="94"/>
    </row>
    <row r="973" spans="1:18" x14ac:dyDescent="0.25">
      <c r="A973" s="367">
        <v>41173</v>
      </c>
      <c r="B973" s="367" t="s">
        <v>279</v>
      </c>
      <c r="C973" s="279" t="s">
        <v>594</v>
      </c>
      <c r="D973" s="159" t="s">
        <v>1087</v>
      </c>
      <c r="E973" s="45">
        <f t="shared" si="72"/>
        <v>41173</v>
      </c>
      <c r="F973" s="148" t="str">
        <f t="shared" si="73"/>
        <v>2012-13</v>
      </c>
      <c r="G973" s="1"/>
      <c r="H973" s="163"/>
      <c r="I973" s="37"/>
      <c r="J973" s="138">
        <f t="shared" si="74"/>
        <v>0.77968490742404351</v>
      </c>
      <c r="K973" s="114"/>
      <c r="L973" s="37">
        <v>5.0006119625499998</v>
      </c>
      <c r="M973" s="37" t="s">
        <v>142</v>
      </c>
      <c r="N973" s="37">
        <v>771.6404230243902</v>
      </c>
      <c r="O973" s="132">
        <f t="shared" si="75"/>
        <v>3858.6743301629081</v>
      </c>
      <c r="P973" s="134">
        <f t="shared" si="76"/>
        <v>3008.5501378926001</v>
      </c>
      <c r="Q973" s="261">
        <v>1</v>
      </c>
      <c r="R973" s="94"/>
    </row>
    <row r="974" spans="1:18" x14ac:dyDescent="0.25">
      <c r="A974" s="367">
        <v>41173</v>
      </c>
      <c r="B974" s="367" t="s">
        <v>279</v>
      </c>
      <c r="C974" s="279" t="s">
        <v>594</v>
      </c>
      <c r="D974" s="159" t="s">
        <v>1087</v>
      </c>
      <c r="E974" s="45">
        <f t="shared" si="72"/>
        <v>41173</v>
      </c>
      <c r="F974" s="148" t="str">
        <f t="shared" si="73"/>
        <v>2012-13</v>
      </c>
      <c r="G974" s="1"/>
      <c r="H974" s="163"/>
      <c r="I974" s="37"/>
      <c r="J974" s="138">
        <f t="shared" si="74"/>
        <v>0.77968490742404351</v>
      </c>
      <c r="K974" s="114"/>
      <c r="L974" s="37">
        <v>52.443519829099998</v>
      </c>
      <c r="M974" s="37" t="s">
        <v>142</v>
      </c>
      <c r="N974" s="37">
        <v>1272.2340968780488</v>
      </c>
      <c r="O974" s="132">
        <f t="shared" si="75"/>
        <v>66720.434086881083</v>
      </c>
      <c r="P974" s="134">
        <f t="shared" si="76"/>
        <v>52020.915474321875</v>
      </c>
      <c r="Q974" s="261">
        <v>1</v>
      </c>
      <c r="R974" s="94"/>
    </row>
    <row r="975" spans="1:18" x14ac:dyDescent="0.25">
      <c r="A975" s="367">
        <v>41173</v>
      </c>
      <c r="B975" s="367" t="s">
        <v>279</v>
      </c>
      <c r="C975" s="279" t="s">
        <v>594</v>
      </c>
      <c r="D975" s="159" t="s">
        <v>1087</v>
      </c>
      <c r="E975" s="45">
        <f t="shared" si="72"/>
        <v>41173</v>
      </c>
      <c r="F975" s="148" t="str">
        <f t="shared" si="73"/>
        <v>2012-13</v>
      </c>
      <c r="G975" s="1"/>
      <c r="H975" s="163"/>
      <c r="I975" s="37"/>
      <c r="J975" s="138">
        <f t="shared" si="74"/>
        <v>0.77968490742404351</v>
      </c>
      <c r="K975" s="114"/>
      <c r="L975" s="37">
        <v>57.626082311399998</v>
      </c>
      <c r="M975" s="37" t="s">
        <v>142</v>
      </c>
      <c r="N975" s="37">
        <v>1272.2340968780488</v>
      </c>
      <c r="O975" s="132">
        <f t="shared" si="75"/>
        <v>73313.866786064085</v>
      </c>
      <c r="P975" s="134">
        <f t="shared" si="76"/>
        <v>57161.715437991035</v>
      </c>
      <c r="Q975" s="261">
        <v>1</v>
      </c>
      <c r="R975" s="94"/>
    </row>
    <row r="976" spans="1:18" x14ac:dyDescent="0.25">
      <c r="A976" s="367">
        <v>41173</v>
      </c>
      <c r="B976" s="367" t="s">
        <v>279</v>
      </c>
      <c r="C976" s="279" t="s">
        <v>594</v>
      </c>
      <c r="D976" s="159" t="s">
        <v>1087</v>
      </c>
      <c r="E976" s="45">
        <f t="shared" si="72"/>
        <v>41173</v>
      </c>
      <c r="F976" s="148" t="str">
        <f t="shared" si="73"/>
        <v>2012-13</v>
      </c>
      <c r="G976" s="1"/>
      <c r="H976" s="163"/>
      <c r="I976" s="37"/>
      <c r="J976" s="138">
        <f t="shared" si="74"/>
        <v>0.77968490742404351</v>
      </c>
      <c r="K976" s="114"/>
      <c r="L976" s="37">
        <v>6.8177932646899997</v>
      </c>
      <c r="M976" s="37" t="s">
        <v>142</v>
      </c>
      <c r="N976" s="37">
        <v>771.6404230243902</v>
      </c>
      <c r="O976" s="132">
        <f t="shared" si="75"/>
        <v>5260.88487885823</v>
      </c>
      <c r="P976" s="134">
        <f t="shared" si="76"/>
        <v>4101.832539741129</v>
      </c>
      <c r="Q976" s="261">
        <v>1</v>
      </c>
      <c r="R976" s="94"/>
    </row>
    <row r="977" spans="1:18" x14ac:dyDescent="0.25">
      <c r="A977" s="367">
        <v>41173</v>
      </c>
      <c r="B977" s="367" t="s">
        <v>279</v>
      </c>
      <c r="C977" s="279" t="s">
        <v>594</v>
      </c>
      <c r="D977" s="159" t="s">
        <v>1087</v>
      </c>
      <c r="E977" s="45">
        <f t="shared" si="72"/>
        <v>41173</v>
      </c>
      <c r="F977" s="148" t="str">
        <f t="shared" si="73"/>
        <v>2012-13</v>
      </c>
      <c r="G977" s="1"/>
      <c r="H977" s="163"/>
      <c r="I977" s="37"/>
      <c r="J977" s="138">
        <f t="shared" si="74"/>
        <v>0.77968490742404351</v>
      </c>
      <c r="K977" s="114"/>
      <c r="L977" s="37">
        <v>25.208929925700001</v>
      </c>
      <c r="M977" s="37" t="s">
        <v>142</v>
      </c>
      <c r="N977" s="37">
        <v>1272.2340968780488</v>
      </c>
      <c r="O977" s="132">
        <f t="shared" si="75"/>
        <v>32071.66019728496</v>
      </c>
      <c r="P977" s="134">
        <f t="shared" si="76"/>
        <v>25005.789411855505</v>
      </c>
      <c r="Q977" s="261">
        <v>1</v>
      </c>
      <c r="R977" s="94"/>
    </row>
    <row r="978" spans="1:18" x14ac:dyDescent="0.25">
      <c r="A978" s="367">
        <v>41173</v>
      </c>
      <c r="B978" s="367" t="s">
        <v>279</v>
      </c>
      <c r="C978" s="279" t="s">
        <v>594</v>
      </c>
      <c r="D978" s="159" t="s">
        <v>1087</v>
      </c>
      <c r="E978" s="45">
        <f t="shared" si="72"/>
        <v>41173</v>
      </c>
      <c r="F978" s="148" t="str">
        <f t="shared" si="73"/>
        <v>2012-13</v>
      </c>
      <c r="G978" s="1"/>
      <c r="H978" s="163"/>
      <c r="I978" s="37"/>
      <c r="J978" s="138">
        <f t="shared" si="74"/>
        <v>0.77968490742404351</v>
      </c>
      <c r="K978" s="114"/>
      <c r="L978" s="37">
        <v>3.0049266215300001</v>
      </c>
      <c r="M978" s="37" t="s">
        <v>142</v>
      </c>
      <c r="N978" s="37">
        <v>771.6404230243902</v>
      </c>
      <c r="O978" s="132">
        <f t="shared" si="75"/>
        <v>2318.7228493946609</v>
      </c>
      <c r="P978" s="134">
        <f t="shared" si="76"/>
        <v>1807.8732101722906</v>
      </c>
      <c r="Q978" s="261">
        <v>1</v>
      </c>
      <c r="R978" s="94"/>
    </row>
    <row r="979" spans="1:18" x14ac:dyDescent="0.25">
      <c r="A979" s="367">
        <v>41173</v>
      </c>
      <c r="B979" s="367" t="s">
        <v>279</v>
      </c>
      <c r="C979" s="279" t="s">
        <v>594</v>
      </c>
      <c r="D979" s="159" t="s">
        <v>1087</v>
      </c>
      <c r="E979" s="45">
        <f t="shared" si="72"/>
        <v>41173</v>
      </c>
      <c r="F979" s="148" t="str">
        <f t="shared" si="73"/>
        <v>2012-13</v>
      </c>
      <c r="G979" s="1"/>
      <c r="H979" s="163"/>
      <c r="I979" s="37"/>
      <c r="J979" s="138">
        <f t="shared" si="74"/>
        <v>0.77968490742404351</v>
      </c>
      <c r="K979" s="114"/>
      <c r="L979" s="37">
        <v>5.4980551106700002</v>
      </c>
      <c r="M979" s="37" t="s">
        <v>142</v>
      </c>
      <c r="N979" s="37">
        <v>771.6404230243902</v>
      </c>
      <c r="O979" s="132">
        <f t="shared" si="75"/>
        <v>4242.521571408809</v>
      </c>
      <c r="P979" s="134">
        <f t="shared" si="76"/>
        <v>3307.8300386483847</v>
      </c>
      <c r="Q979" s="261">
        <v>1</v>
      </c>
      <c r="R979" s="94"/>
    </row>
    <row r="980" spans="1:18" x14ac:dyDescent="0.25">
      <c r="A980" s="367">
        <v>41173</v>
      </c>
      <c r="B980" s="367" t="s">
        <v>279</v>
      </c>
      <c r="C980" s="279" t="s">
        <v>594</v>
      </c>
      <c r="D980" s="159" t="s">
        <v>1087</v>
      </c>
      <c r="E980" s="45">
        <f t="shared" si="72"/>
        <v>41173</v>
      </c>
      <c r="F980" s="148" t="str">
        <f t="shared" si="73"/>
        <v>2012-13</v>
      </c>
      <c r="G980" s="1"/>
      <c r="H980" s="163"/>
      <c r="I980" s="37"/>
      <c r="J980" s="138">
        <f t="shared" si="74"/>
        <v>0.77968490742404351</v>
      </c>
      <c r="K980" s="114"/>
      <c r="L980" s="37">
        <v>5.9976799681199999</v>
      </c>
      <c r="M980" s="37" t="s">
        <v>142</v>
      </c>
      <c r="N980" s="37">
        <v>771.6404230243902</v>
      </c>
      <c r="O980" s="132">
        <f t="shared" si="75"/>
        <v>4628.0523077650278</v>
      </c>
      <c r="P980" s="134">
        <f t="shared" si="76"/>
        <v>3608.4225351334067</v>
      </c>
      <c r="Q980" s="261">
        <v>1</v>
      </c>
      <c r="R980" s="94"/>
    </row>
    <row r="981" spans="1:18" x14ac:dyDescent="0.25">
      <c r="A981" s="367">
        <v>41173</v>
      </c>
      <c r="B981" s="367" t="s">
        <v>279</v>
      </c>
      <c r="C981" s="279" t="s">
        <v>594</v>
      </c>
      <c r="D981" s="159" t="s">
        <v>1087</v>
      </c>
      <c r="E981" s="45">
        <f t="shared" si="72"/>
        <v>41173</v>
      </c>
      <c r="F981" s="148" t="str">
        <f t="shared" si="73"/>
        <v>2012-13</v>
      </c>
      <c r="G981" s="1"/>
      <c r="H981" s="163"/>
      <c r="I981" s="37"/>
      <c r="J981" s="138">
        <f t="shared" si="74"/>
        <v>0.77968490742404351</v>
      </c>
      <c r="K981" s="114"/>
      <c r="L981" s="37">
        <v>4.9982882069799999</v>
      </c>
      <c r="M981" s="37" t="s">
        <v>142</v>
      </c>
      <c r="N981" s="37">
        <v>771.6404230243902</v>
      </c>
      <c r="O981" s="132">
        <f t="shared" si="75"/>
        <v>3856.8812264318681</v>
      </c>
      <c r="P981" s="134">
        <f t="shared" si="76"/>
        <v>3007.1520819760626</v>
      </c>
      <c r="Q981" s="261">
        <v>1</v>
      </c>
      <c r="R981" s="94"/>
    </row>
    <row r="982" spans="1:18" x14ac:dyDescent="0.25">
      <c r="A982" s="367">
        <v>41173</v>
      </c>
      <c r="B982" s="367" t="s">
        <v>279</v>
      </c>
      <c r="C982" s="279" t="s">
        <v>594</v>
      </c>
      <c r="D982" s="159" t="s">
        <v>1087</v>
      </c>
      <c r="E982" s="45">
        <f t="shared" si="72"/>
        <v>41173</v>
      </c>
      <c r="F982" s="148" t="str">
        <f t="shared" si="73"/>
        <v>2012-13</v>
      </c>
      <c r="G982" s="1"/>
      <c r="H982" s="163"/>
      <c r="I982" s="37"/>
      <c r="J982" s="138">
        <f t="shared" si="74"/>
        <v>0.77968490742404351</v>
      </c>
      <c r="K982" s="114"/>
      <c r="L982" s="37">
        <v>42.498328987100003</v>
      </c>
      <c r="M982" s="37" t="s">
        <v>142</v>
      </c>
      <c r="N982" s="37">
        <v>1272.2340968780488</v>
      </c>
      <c r="O982" s="132">
        <f t="shared" si="75"/>
        <v>54067.823197729376</v>
      </c>
      <c r="P982" s="134">
        <f t="shared" si="76"/>
        <v>42155.865724541181</v>
      </c>
      <c r="Q982" s="261">
        <v>1</v>
      </c>
      <c r="R982" s="94"/>
    </row>
    <row r="983" spans="1:18" x14ac:dyDescent="0.25">
      <c r="A983" s="367">
        <v>41173</v>
      </c>
      <c r="B983" s="367" t="s">
        <v>279</v>
      </c>
      <c r="C983" s="279" t="s">
        <v>594</v>
      </c>
      <c r="D983" s="159" t="s">
        <v>1087</v>
      </c>
      <c r="E983" s="45">
        <f t="shared" ref="E983:E1046" si="77">IF(A983&lt;2022,DATEVALUE("30 Jun "&amp;A983),A983)</f>
        <v>41173</v>
      </c>
      <c r="F983" s="148" t="str">
        <f t="shared" si="73"/>
        <v>2012-13</v>
      </c>
      <c r="G983" s="1"/>
      <c r="H983" s="163"/>
      <c r="I983" s="37"/>
      <c r="J983" s="138">
        <f t="shared" si="74"/>
        <v>0.77968490742404351</v>
      </c>
      <c r="K983" s="114"/>
      <c r="L983" s="37">
        <v>60.7428847977</v>
      </c>
      <c r="M983" s="37" t="s">
        <v>142</v>
      </c>
      <c r="N983" s="37">
        <v>771.6404230243902</v>
      </c>
      <c r="O983" s="132">
        <f t="shared" si="75"/>
        <v>46871.665321019027</v>
      </c>
      <c r="P983" s="134">
        <f t="shared" si="76"/>
        <v>36545.130036629467</v>
      </c>
      <c r="Q983" s="261">
        <v>1</v>
      </c>
      <c r="R983" s="94"/>
    </row>
    <row r="984" spans="1:18" x14ac:dyDescent="0.25">
      <c r="A984" s="367">
        <v>41173</v>
      </c>
      <c r="B984" s="367" t="s">
        <v>279</v>
      </c>
      <c r="C984" s="279" t="s">
        <v>594</v>
      </c>
      <c r="D984" s="159" t="s">
        <v>1087</v>
      </c>
      <c r="E984" s="45">
        <f t="shared" si="77"/>
        <v>41173</v>
      </c>
      <c r="F984" s="148" t="str">
        <f t="shared" ref="F984:F1047" si="78">IF(E984="","-",IF(OR(E984&lt;$E$15,E984&gt;$E$16),"ERROR - date outside of range",IF(MONTH(E984)&gt;=7,YEAR(E984)&amp;"-"&amp;IF(YEAR(E984)=1999,"00",IF(AND(YEAR(E984)&gt;=2000,YEAR(E984)&lt;2009),"0","")&amp;RIGHT(YEAR(E984),2)+1),RIGHT(YEAR(E984),4)-1&amp;"-"&amp;RIGHT(YEAR(E984),2))))</f>
        <v>2012-13</v>
      </c>
      <c r="G984" s="1"/>
      <c r="H984" s="163"/>
      <c r="I984" s="37"/>
      <c r="J984" s="138">
        <f t="shared" ref="J984:J1047" si="79">J983</f>
        <v>0.77968490742404351</v>
      </c>
      <c r="K984" s="114"/>
      <c r="L984" s="37">
        <v>12.156357787999999</v>
      </c>
      <c r="M984" s="37" t="s">
        <v>142</v>
      </c>
      <c r="N984" s="37">
        <v>771.6404230243902</v>
      </c>
      <c r="O984" s="132">
        <f t="shared" si="75"/>
        <v>9380.3370659681605</v>
      </c>
      <c r="P984" s="134">
        <f t="shared" si="76"/>
        <v>7313.7072368857089</v>
      </c>
      <c r="Q984" s="261">
        <v>1</v>
      </c>
      <c r="R984" s="94"/>
    </row>
    <row r="985" spans="1:18" x14ac:dyDescent="0.25">
      <c r="A985" s="367">
        <v>41173</v>
      </c>
      <c r="B985" s="367" t="s">
        <v>279</v>
      </c>
      <c r="C985" s="279" t="s">
        <v>594</v>
      </c>
      <c r="D985" s="159" t="s">
        <v>1087</v>
      </c>
      <c r="E985" s="45">
        <f t="shared" si="77"/>
        <v>41173</v>
      </c>
      <c r="F985" s="148" t="str">
        <f t="shared" si="78"/>
        <v>2012-13</v>
      </c>
      <c r="G985" s="1"/>
      <c r="H985" s="163"/>
      <c r="I985" s="37"/>
      <c r="J985" s="138">
        <f t="shared" si="79"/>
        <v>0.77968490742404351</v>
      </c>
      <c r="K985" s="114"/>
      <c r="L985" s="37">
        <v>5.5132135933399997</v>
      </c>
      <c r="M985" s="37" t="s">
        <v>142</v>
      </c>
      <c r="N985" s="37">
        <v>771.6404230243902</v>
      </c>
      <c r="O985" s="132">
        <f t="shared" si="75"/>
        <v>4254.2184693886957</v>
      </c>
      <c r="P985" s="134">
        <f t="shared" si="76"/>
        <v>3316.9499334669813</v>
      </c>
      <c r="Q985" s="261">
        <v>1</v>
      </c>
      <c r="R985" s="94"/>
    </row>
    <row r="986" spans="1:18" x14ac:dyDescent="0.25">
      <c r="A986" s="367">
        <v>41173</v>
      </c>
      <c r="B986" s="367" t="s">
        <v>279</v>
      </c>
      <c r="C986" s="279" t="s">
        <v>594</v>
      </c>
      <c r="D986" s="159" t="s">
        <v>1087</v>
      </c>
      <c r="E986" s="45">
        <f t="shared" si="77"/>
        <v>41173</v>
      </c>
      <c r="F986" s="148" t="str">
        <f t="shared" si="78"/>
        <v>2012-13</v>
      </c>
      <c r="G986" s="1"/>
      <c r="H986" s="163"/>
      <c r="I986" s="37"/>
      <c r="J986" s="138">
        <f t="shared" si="79"/>
        <v>0.77968490742404351</v>
      </c>
      <c r="K986" s="114"/>
      <c r="L986" s="37">
        <v>42.258938383999997</v>
      </c>
      <c r="M986" s="37" t="s">
        <v>142</v>
      </c>
      <c r="N986" s="37">
        <v>771.6404230243902</v>
      </c>
      <c r="O986" s="132">
        <f t="shared" si="75"/>
        <v>32608.705091191398</v>
      </c>
      <c r="P986" s="134">
        <f t="shared" si="76"/>
        <v>25424.515210243502</v>
      </c>
      <c r="Q986" s="261">
        <v>1</v>
      </c>
      <c r="R986" s="94"/>
    </row>
    <row r="987" spans="1:18" x14ac:dyDescent="0.25">
      <c r="A987" s="367">
        <v>41173</v>
      </c>
      <c r="B987" s="367" t="s">
        <v>279</v>
      </c>
      <c r="C987" s="279" t="s">
        <v>594</v>
      </c>
      <c r="D987" s="159" t="s">
        <v>1087</v>
      </c>
      <c r="E987" s="45">
        <f t="shared" si="77"/>
        <v>41173</v>
      </c>
      <c r="F987" s="148" t="str">
        <f t="shared" si="78"/>
        <v>2012-13</v>
      </c>
      <c r="G987" s="1"/>
      <c r="H987" s="163"/>
      <c r="I987" s="37"/>
      <c r="J987" s="138">
        <f t="shared" si="79"/>
        <v>0.77968490742404351</v>
      </c>
      <c r="K987" s="114"/>
      <c r="L987" s="37">
        <v>5.9998616650700001</v>
      </c>
      <c r="M987" s="37" t="s">
        <v>142</v>
      </c>
      <c r="N987" s="37">
        <v>771.6404230243902</v>
      </c>
      <c r="O987" s="132">
        <f t="shared" si="75"/>
        <v>4629.7357933224366</v>
      </c>
      <c r="P987" s="134">
        <f t="shared" si="76"/>
        <v>3609.7351234143848</v>
      </c>
      <c r="Q987" s="261">
        <v>1</v>
      </c>
      <c r="R987" s="94"/>
    </row>
    <row r="988" spans="1:18" x14ac:dyDescent="0.25">
      <c r="A988" s="367">
        <v>41173</v>
      </c>
      <c r="B988" s="367" t="s">
        <v>279</v>
      </c>
      <c r="C988" s="279" t="s">
        <v>594</v>
      </c>
      <c r="D988" s="159" t="s">
        <v>1087</v>
      </c>
      <c r="E988" s="45">
        <f t="shared" si="77"/>
        <v>41173</v>
      </c>
      <c r="F988" s="148" t="str">
        <f t="shared" si="78"/>
        <v>2012-13</v>
      </c>
      <c r="G988" s="1"/>
      <c r="H988" s="163"/>
      <c r="I988" s="37"/>
      <c r="J988" s="138">
        <f t="shared" si="79"/>
        <v>0.77968490742404351</v>
      </c>
      <c r="K988" s="114"/>
      <c r="L988" s="37">
        <v>146.183170021</v>
      </c>
      <c r="M988" s="37" t="s">
        <v>142</v>
      </c>
      <c r="N988" s="37">
        <v>1272.2340968780488</v>
      </c>
      <c r="O988" s="132">
        <f t="shared" si="75"/>
        <v>185979.21329043718</v>
      </c>
      <c r="P988" s="134">
        <f t="shared" si="76"/>
        <v>145005.18569715097</v>
      </c>
      <c r="Q988" s="261">
        <v>1</v>
      </c>
      <c r="R988" s="94"/>
    </row>
    <row r="989" spans="1:18" x14ac:dyDescent="0.25">
      <c r="A989" s="367">
        <v>41173</v>
      </c>
      <c r="B989" s="367" t="s">
        <v>279</v>
      </c>
      <c r="C989" s="279" t="s">
        <v>594</v>
      </c>
      <c r="D989" s="159" t="s">
        <v>1087</v>
      </c>
      <c r="E989" s="45">
        <f t="shared" si="77"/>
        <v>41173</v>
      </c>
      <c r="F989" s="148" t="str">
        <f t="shared" si="78"/>
        <v>2012-13</v>
      </c>
      <c r="G989" s="1"/>
      <c r="H989" s="163"/>
      <c r="I989" s="37"/>
      <c r="J989" s="138">
        <f t="shared" si="79"/>
        <v>0.77968490742404351</v>
      </c>
      <c r="K989" s="114"/>
      <c r="L989" s="37">
        <v>2.0978126351099999</v>
      </c>
      <c r="M989" s="37" t="s">
        <v>142</v>
      </c>
      <c r="N989" s="37">
        <v>771.6404230243902</v>
      </c>
      <c r="O989" s="132">
        <f t="shared" si="75"/>
        <v>1618.757029182191</v>
      </c>
      <c r="P989" s="134">
        <f t="shared" si="76"/>
        <v>1262.1204244399362</v>
      </c>
      <c r="Q989" s="261">
        <v>1</v>
      </c>
      <c r="R989" s="94"/>
    </row>
    <row r="990" spans="1:18" x14ac:dyDescent="0.25">
      <c r="A990" s="367">
        <v>41173</v>
      </c>
      <c r="B990" s="367" t="s">
        <v>279</v>
      </c>
      <c r="C990" s="279" t="s">
        <v>594</v>
      </c>
      <c r="D990" s="159" t="s">
        <v>1087</v>
      </c>
      <c r="E990" s="45">
        <f t="shared" si="77"/>
        <v>41173</v>
      </c>
      <c r="F990" s="148" t="str">
        <f t="shared" si="78"/>
        <v>2012-13</v>
      </c>
      <c r="G990" s="1"/>
      <c r="H990" s="163"/>
      <c r="I990" s="37"/>
      <c r="J990" s="138">
        <f t="shared" si="79"/>
        <v>0.77968490742404351</v>
      </c>
      <c r="K990" s="114"/>
      <c r="L990" s="37">
        <v>52.876842854300001</v>
      </c>
      <c r="M990" s="37" t="s">
        <v>142</v>
      </c>
      <c r="N990" s="37">
        <v>1272.2340968780488</v>
      </c>
      <c r="O990" s="132">
        <f t="shared" ref="O990:O1053" si="80">IF(N990="","-",L990*N990)</f>
        <v>67271.722414502874</v>
      </c>
      <c r="P990" s="134">
        <f t="shared" ref="P990:P1053" si="81">IF(O990="-","-",IF(OR(E990&lt;$E$15,E990&gt;$E$16),0,O990*J990))*Q990</f>
        <v>52450.746663007623</v>
      </c>
      <c r="Q990" s="261">
        <v>1</v>
      </c>
      <c r="R990" s="94"/>
    </row>
    <row r="991" spans="1:18" x14ac:dyDescent="0.25">
      <c r="A991" s="367">
        <v>41173</v>
      </c>
      <c r="B991" s="367" t="s">
        <v>279</v>
      </c>
      <c r="C991" s="279" t="s">
        <v>594</v>
      </c>
      <c r="D991" s="159" t="s">
        <v>1087</v>
      </c>
      <c r="E991" s="45">
        <f t="shared" si="77"/>
        <v>41173</v>
      </c>
      <c r="F991" s="148" t="str">
        <f t="shared" si="78"/>
        <v>2012-13</v>
      </c>
      <c r="G991" s="1"/>
      <c r="H991" s="163"/>
      <c r="I991" s="37"/>
      <c r="J991" s="138">
        <f t="shared" si="79"/>
        <v>0.77968490742404351</v>
      </c>
      <c r="K991" s="114"/>
      <c r="L991" s="37">
        <v>23.930408641500001</v>
      </c>
      <c r="M991" s="37" t="s">
        <v>142</v>
      </c>
      <c r="N991" s="37">
        <v>1272.2340968780488</v>
      </c>
      <c r="O991" s="132">
        <f t="shared" si="80"/>
        <v>30445.081825941408</v>
      </c>
      <c r="P991" s="134">
        <f t="shared" si="81"/>
        <v>23737.570804976556</v>
      </c>
      <c r="Q991" s="261">
        <v>1</v>
      </c>
      <c r="R991" s="94"/>
    </row>
    <row r="992" spans="1:18" x14ac:dyDescent="0.25">
      <c r="A992" s="367">
        <v>41173</v>
      </c>
      <c r="B992" s="367" t="s">
        <v>279</v>
      </c>
      <c r="C992" s="279" t="s">
        <v>594</v>
      </c>
      <c r="D992" s="159" t="s">
        <v>1087</v>
      </c>
      <c r="E992" s="45">
        <f t="shared" si="77"/>
        <v>41173</v>
      </c>
      <c r="F992" s="148" t="str">
        <f t="shared" si="78"/>
        <v>2012-13</v>
      </c>
      <c r="G992" s="1"/>
      <c r="H992" s="163"/>
      <c r="I992" s="37"/>
      <c r="J992" s="138">
        <f t="shared" si="79"/>
        <v>0.77968490742404351</v>
      </c>
      <c r="K992" s="114"/>
      <c r="L992" s="37">
        <v>5.3364966972700003</v>
      </c>
      <c r="M992" s="37" t="s">
        <v>142</v>
      </c>
      <c r="N992" s="37">
        <v>771.6404230243902</v>
      </c>
      <c r="O992" s="132">
        <f t="shared" si="80"/>
        <v>4117.8565689496845</v>
      </c>
      <c r="P992" s="134">
        <f t="shared" si="81"/>
        <v>3210.6306177470242</v>
      </c>
      <c r="Q992" s="261">
        <v>1</v>
      </c>
      <c r="R992" s="94"/>
    </row>
    <row r="993" spans="1:18" x14ac:dyDescent="0.25">
      <c r="A993" s="367">
        <v>41173</v>
      </c>
      <c r="B993" s="367" t="s">
        <v>279</v>
      </c>
      <c r="C993" s="279" t="s">
        <v>594</v>
      </c>
      <c r="D993" s="159" t="s">
        <v>1087</v>
      </c>
      <c r="E993" s="45">
        <f t="shared" si="77"/>
        <v>41173</v>
      </c>
      <c r="F993" s="148" t="str">
        <f t="shared" si="78"/>
        <v>2012-13</v>
      </c>
      <c r="G993" s="1"/>
      <c r="H993" s="163"/>
      <c r="I993" s="37"/>
      <c r="J993" s="138">
        <f t="shared" si="79"/>
        <v>0.77968490742404351</v>
      </c>
      <c r="K993" s="114"/>
      <c r="L993" s="37">
        <v>3.0003149864599998</v>
      </c>
      <c r="M993" s="37" t="s">
        <v>142</v>
      </c>
      <c r="N993" s="37">
        <v>771.6404230243902</v>
      </c>
      <c r="O993" s="132">
        <f t="shared" si="80"/>
        <v>2315.164325358412</v>
      </c>
      <c r="P993" s="134">
        <f t="shared" si="81"/>
        <v>1805.0986826885216</v>
      </c>
      <c r="Q993" s="261">
        <v>1</v>
      </c>
      <c r="R993" s="94"/>
    </row>
    <row r="994" spans="1:18" x14ac:dyDescent="0.25">
      <c r="A994" s="367">
        <v>41173</v>
      </c>
      <c r="B994" s="367" t="s">
        <v>279</v>
      </c>
      <c r="C994" s="279" t="s">
        <v>594</v>
      </c>
      <c r="D994" s="159" t="s">
        <v>1087</v>
      </c>
      <c r="E994" s="45">
        <f t="shared" si="77"/>
        <v>41173</v>
      </c>
      <c r="F994" s="148" t="str">
        <f t="shared" si="78"/>
        <v>2012-13</v>
      </c>
      <c r="G994" s="1"/>
      <c r="H994" s="163"/>
      <c r="I994" s="37"/>
      <c r="J994" s="138">
        <f t="shared" si="79"/>
        <v>0.77968490742404351</v>
      </c>
      <c r="K994" s="114"/>
      <c r="L994" s="37">
        <v>2.9959577947699998</v>
      </c>
      <c r="M994" s="37" t="s">
        <v>142</v>
      </c>
      <c r="N994" s="37">
        <v>771.6404230243902</v>
      </c>
      <c r="O994" s="132">
        <f t="shared" si="80"/>
        <v>2311.8021401195419</v>
      </c>
      <c r="P994" s="134">
        <f t="shared" si="81"/>
        <v>1802.4772376018107</v>
      </c>
      <c r="Q994" s="261">
        <v>1</v>
      </c>
      <c r="R994" s="94"/>
    </row>
    <row r="995" spans="1:18" x14ac:dyDescent="0.25">
      <c r="A995" s="367">
        <v>41173</v>
      </c>
      <c r="B995" s="367" t="s">
        <v>279</v>
      </c>
      <c r="C995" s="279" t="s">
        <v>594</v>
      </c>
      <c r="D995" s="159" t="s">
        <v>1087</v>
      </c>
      <c r="E995" s="45">
        <f t="shared" si="77"/>
        <v>41173</v>
      </c>
      <c r="F995" s="148" t="str">
        <f t="shared" si="78"/>
        <v>2012-13</v>
      </c>
      <c r="G995" s="1"/>
      <c r="H995" s="163"/>
      <c r="I995" s="37"/>
      <c r="J995" s="138">
        <f t="shared" si="79"/>
        <v>0.77968490742404351</v>
      </c>
      <c r="K995" s="114"/>
      <c r="L995" s="37">
        <v>60.338803577900002</v>
      </c>
      <c r="M995" s="37" t="s">
        <v>142</v>
      </c>
      <c r="N995" s="37">
        <v>1272.2340968780488</v>
      </c>
      <c r="O995" s="132">
        <f t="shared" si="80"/>
        <v>76765.083276631587</v>
      </c>
      <c r="P995" s="134">
        <f t="shared" si="81"/>
        <v>59852.57684793949</v>
      </c>
      <c r="Q995" s="261">
        <v>1</v>
      </c>
      <c r="R995" s="94"/>
    </row>
    <row r="996" spans="1:18" x14ac:dyDescent="0.25">
      <c r="A996" s="367">
        <v>41173</v>
      </c>
      <c r="B996" s="367" t="s">
        <v>279</v>
      </c>
      <c r="C996" s="279" t="s">
        <v>594</v>
      </c>
      <c r="D996" s="159" t="s">
        <v>1087</v>
      </c>
      <c r="E996" s="45">
        <f t="shared" si="77"/>
        <v>41173</v>
      </c>
      <c r="F996" s="148" t="str">
        <f t="shared" si="78"/>
        <v>2012-13</v>
      </c>
      <c r="G996" s="1"/>
      <c r="H996" s="163"/>
      <c r="I996" s="37"/>
      <c r="J996" s="138">
        <f t="shared" si="79"/>
        <v>0.77968490742404351</v>
      </c>
      <c r="K996" s="114"/>
      <c r="L996" s="37">
        <v>54.084521019199997</v>
      </c>
      <c r="M996" s="37" t="s">
        <v>142</v>
      </c>
      <c r="N996" s="37">
        <v>771.6404230243902</v>
      </c>
      <c r="O996" s="132">
        <f t="shared" si="80"/>
        <v>41733.802678327011</v>
      </c>
      <c r="P996" s="134">
        <f t="shared" si="81"/>
        <v>32539.216077704696</v>
      </c>
      <c r="Q996" s="261">
        <v>1</v>
      </c>
      <c r="R996" s="94"/>
    </row>
    <row r="997" spans="1:18" x14ac:dyDescent="0.25">
      <c r="A997" s="367">
        <v>41173</v>
      </c>
      <c r="B997" s="367" t="s">
        <v>279</v>
      </c>
      <c r="C997" s="279" t="s">
        <v>594</v>
      </c>
      <c r="D997" s="159" t="s">
        <v>1087</v>
      </c>
      <c r="E997" s="45">
        <f t="shared" si="77"/>
        <v>41173</v>
      </c>
      <c r="F997" s="148" t="str">
        <f t="shared" si="78"/>
        <v>2012-13</v>
      </c>
      <c r="G997" s="1"/>
      <c r="H997" s="163"/>
      <c r="I997" s="37"/>
      <c r="J997" s="138">
        <f t="shared" si="79"/>
        <v>0.77968490742404351</v>
      </c>
      <c r="K997" s="114"/>
      <c r="L997" s="37">
        <v>72.821757360000007</v>
      </c>
      <c r="M997" s="37" t="s">
        <v>142</v>
      </c>
      <c r="N997" s="37">
        <v>1272.2340968780488</v>
      </c>
      <c r="O997" s="132">
        <f t="shared" si="80"/>
        <v>92646.322707972009</v>
      </c>
      <c r="P997" s="134">
        <f t="shared" si="81"/>
        <v>72234.93954374321</v>
      </c>
      <c r="Q997" s="261">
        <v>1</v>
      </c>
      <c r="R997" s="94"/>
    </row>
    <row r="998" spans="1:18" x14ac:dyDescent="0.25">
      <c r="A998" s="367">
        <v>41173</v>
      </c>
      <c r="B998" s="367" t="s">
        <v>279</v>
      </c>
      <c r="C998" s="279" t="s">
        <v>594</v>
      </c>
      <c r="D998" s="159" t="s">
        <v>1087</v>
      </c>
      <c r="E998" s="45">
        <f t="shared" si="77"/>
        <v>41173</v>
      </c>
      <c r="F998" s="148" t="str">
        <f t="shared" si="78"/>
        <v>2012-13</v>
      </c>
      <c r="G998" s="1"/>
      <c r="H998" s="163"/>
      <c r="I998" s="37"/>
      <c r="J998" s="138">
        <f t="shared" si="79"/>
        <v>0.77968490742404351</v>
      </c>
      <c r="K998" s="114"/>
      <c r="L998" s="37">
        <v>5.6415887833099996</v>
      </c>
      <c r="M998" s="37" t="s">
        <v>142</v>
      </c>
      <c r="N998" s="37">
        <v>1128.7084557073169</v>
      </c>
      <c r="O998" s="132">
        <f t="shared" si="80"/>
        <v>6367.7089633455507</v>
      </c>
      <c r="P998" s="134">
        <f t="shared" si="81"/>
        <v>4964.8065735893279</v>
      </c>
      <c r="Q998" s="261">
        <v>1</v>
      </c>
      <c r="R998" s="94"/>
    </row>
    <row r="999" spans="1:18" x14ac:dyDescent="0.25">
      <c r="A999" s="367">
        <v>41173</v>
      </c>
      <c r="B999" s="367" t="s">
        <v>279</v>
      </c>
      <c r="C999" s="279" t="s">
        <v>594</v>
      </c>
      <c r="D999" s="159" t="s">
        <v>1087</v>
      </c>
      <c r="E999" s="45">
        <f t="shared" si="77"/>
        <v>41173</v>
      </c>
      <c r="F999" s="148" t="str">
        <f t="shared" si="78"/>
        <v>2012-13</v>
      </c>
      <c r="G999" s="1"/>
      <c r="H999" s="163"/>
      <c r="I999" s="37"/>
      <c r="J999" s="138">
        <f t="shared" si="79"/>
        <v>0.77968490742404351</v>
      </c>
      <c r="K999" s="114"/>
      <c r="L999" s="37">
        <v>5.9998616650700001</v>
      </c>
      <c r="M999" s="37" t="s">
        <v>142</v>
      </c>
      <c r="N999" s="37">
        <v>1128.7084557073169</v>
      </c>
      <c r="O999" s="132">
        <f t="shared" si="80"/>
        <v>6772.0945944386913</v>
      </c>
      <c r="P999" s="134">
        <f t="shared" si="81"/>
        <v>5280.0999469317967</v>
      </c>
      <c r="Q999" s="261">
        <v>1</v>
      </c>
      <c r="R999" s="94"/>
    </row>
    <row r="1000" spans="1:18" x14ac:dyDescent="0.25">
      <c r="A1000" s="367">
        <v>41173</v>
      </c>
      <c r="B1000" s="367" t="s">
        <v>279</v>
      </c>
      <c r="C1000" s="279" t="s">
        <v>594</v>
      </c>
      <c r="D1000" s="159" t="s">
        <v>1087</v>
      </c>
      <c r="E1000" s="45">
        <f t="shared" si="77"/>
        <v>41173</v>
      </c>
      <c r="F1000" s="148" t="str">
        <f t="shared" si="78"/>
        <v>2012-13</v>
      </c>
      <c r="G1000" s="1"/>
      <c r="H1000" s="163"/>
      <c r="I1000" s="37"/>
      <c r="J1000" s="138">
        <f t="shared" si="79"/>
        <v>0.77968490742404351</v>
      </c>
      <c r="K1000" s="114"/>
      <c r="L1000" s="37">
        <v>5.6409563905400004</v>
      </c>
      <c r="M1000" s="37" t="s">
        <v>142</v>
      </c>
      <c r="N1000" s="37">
        <v>1128.7084557073169</v>
      </c>
      <c r="O1000" s="132">
        <f t="shared" si="80"/>
        <v>6366.9951762787241</v>
      </c>
      <c r="P1000" s="134">
        <f t="shared" si="81"/>
        <v>4964.2500445862088</v>
      </c>
      <c r="Q1000" s="261">
        <v>1</v>
      </c>
      <c r="R1000" s="94"/>
    </row>
    <row r="1001" spans="1:18" x14ac:dyDescent="0.25">
      <c r="A1001" s="367">
        <v>39639</v>
      </c>
      <c r="B1001" s="367" t="s">
        <v>279</v>
      </c>
      <c r="C1001" s="279" t="s">
        <v>595</v>
      </c>
      <c r="D1001" s="159" t="s">
        <v>1087</v>
      </c>
      <c r="E1001" s="45">
        <f t="shared" si="77"/>
        <v>39639</v>
      </c>
      <c r="F1001" s="148" t="str">
        <f t="shared" si="78"/>
        <v>2008-09</v>
      </c>
      <c r="G1001" s="1"/>
      <c r="H1001" s="163"/>
      <c r="I1001" s="37"/>
      <c r="J1001" s="138">
        <f t="shared" si="79"/>
        <v>0.77968490742404351</v>
      </c>
      <c r="K1001" s="114"/>
      <c r="L1001" s="37">
        <v>6.2090922740999996</v>
      </c>
      <c r="M1001" s="37" t="s">
        <v>142</v>
      </c>
      <c r="N1001" s="37">
        <v>1003.0093919999996</v>
      </c>
      <c r="O1001" s="132">
        <f t="shared" si="80"/>
        <v>6227.777866716935</v>
      </c>
      <c r="P1001" s="134">
        <f t="shared" si="81"/>
        <v>4855.7044094687008</v>
      </c>
      <c r="Q1001" s="261">
        <v>1</v>
      </c>
      <c r="R1001" s="94"/>
    </row>
    <row r="1002" spans="1:18" x14ac:dyDescent="0.25">
      <c r="A1002" s="367">
        <v>39639</v>
      </c>
      <c r="B1002" s="367" t="s">
        <v>279</v>
      </c>
      <c r="C1002" s="279" t="s">
        <v>595</v>
      </c>
      <c r="D1002" s="159" t="s">
        <v>1087</v>
      </c>
      <c r="E1002" s="45">
        <f t="shared" si="77"/>
        <v>39639</v>
      </c>
      <c r="F1002" s="148" t="str">
        <f t="shared" si="78"/>
        <v>2008-09</v>
      </c>
      <c r="G1002" s="1"/>
      <c r="H1002" s="163"/>
      <c r="I1002" s="37"/>
      <c r="J1002" s="138">
        <f t="shared" si="79"/>
        <v>0.77968490742404351</v>
      </c>
      <c r="K1002" s="114"/>
      <c r="L1002" s="37">
        <v>71.639991961000007</v>
      </c>
      <c r="M1002" s="37" t="s">
        <v>142</v>
      </c>
      <c r="N1002" s="37">
        <v>1003.0093919999996</v>
      </c>
      <c r="O1002" s="132">
        <f t="shared" si="80"/>
        <v>71855.584779687473</v>
      </c>
      <c r="P1002" s="134">
        <f t="shared" si="81"/>
        <v>56024.714966851134</v>
      </c>
      <c r="Q1002" s="261">
        <v>1</v>
      </c>
      <c r="R1002" s="94"/>
    </row>
    <row r="1003" spans="1:18" x14ac:dyDescent="0.25">
      <c r="A1003" s="367">
        <v>39769</v>
      </c>
      <c r="B1003" s="367" t="s">
        <v>279</v>
      </c>
      <c r="C1003" s="279" t="s">
        <v>596</v>
      </c>
      <c r="D1003" s="159" t="s">
        <v>1088</v>
      </c>
      <c r="E1003" s="45">
        <f t="shared" si="77"/>
        <v>39769</v>
      </c>
      <c r="F1003" s="148" t="str">
        <f t="shared" si="78"/>
        <v>2008-09</v>
      </c>
      <c r="G1003" s="1"/>
      <c r="H1003" s="163"/>
      <c r="I1003" s="37"/>
      <c r="J1003" s="138">
        <f t="shared" si="79"/>
        <v>0.77968490742404351</v>
      </c>
      <c r="K1003" s="114"/>
      <c r="L1003" s="37">
        <v>5.7481415459000003</v>
      </c>
      <c r="M1003" s="37" t="s">
        <v>142</v>
      </c>
      <c r="N1003" s="37">
        <v>1385.4167692682922</v>
      </c>
      <c r="O1003" s="132">
        <f t="shared" si="80"/>
        <v>7963.5716898176252</v>
      </c>
      <c r="P1003" s="134">
        <f t="shared" si="81"/>
        <v>6209.0766557401885</v>
      </c>
      <c r="Q1003" s="261">
        <v>1</v>
      </c>
      <c r="R1003" s="94"/>
    </row>
    <row r="1004" spans="1:18" x14ac:dyDescent="0.25">
      <c r="A1004" s="367">
        <v>41173</v>
      </c>
      <c r="B1004" s="367" t="s">
        <v>279</v>
      </c>
      <c r="C1004" s="279" t="s">
        <v>594</v>
      </c>
      <c r="D1004" s="159" t="s">
        <v>1087</v>
      </c>
      <c r="E1004" s="45">
        <f t="shared" si="77"/>
        <v>41173</v>
      </c>
      <c r="F1004" s="148" t="str">
        <f t="shared" si="78"/>
        <v>2012-13</v>
      </c>
      <c r="G1004" s="1"/>
      <c r="H1004" s="163"/>
      <c r="I1004" s="37"/>
      <c r="J1004" s="138">
        <f t="shared" si="79"/>
        <v>0.77968490742404351</v>
      </c>
      <c r="K1004" s="114"/>
      <c r="L1004" s="37">
        <v>3.0001403333200001</v>
      </c>
      <c r="M1004" s="37" t="s">
        <v>142</v>
      </c>
      <c r="N1004" s="37">
        <v>771.6404230243902</v>
      </c>
      <c r="O1004" s="132">
        <f t="shared" si="80"/>
        <v>2315.02955593558</v>
      </c>
      <c r="P1004" s="134">
        <f t="shared" si="81"/>
        <v>1804.9936050035571</v>
      </c>
      <c r="Q1004" s="261">
        <v>1</v>
      </c>
      <c r="R1004" s="94"/>
    </row>
    <row r="1005" spans="1:18" x14ac:dyDescent="0.25">
      <c r="A1005" s="367">
        <v>41173</v>
      </c>
      <c r="B1005" s="367" t="s">
        <v>279</v>
      </c>
      <c r="C1005" s="279" t="s">
        <v>594</v>
      </c>
      <c r="D1005" s="159" t="s">
        <v>1087</v>
      </c>
      <c r="E1005" s="45">
        <f t="shared" si="77"/>
        <v>41173</v>
      </c>
      <c r="F1005" s="148" t="str">
        <f t="shared" si="78"/>
        <v>2012-13</v>
      </c>
      <c r="G1005" s="1"/>
      <c r="H1005" s="163"/>
      <c r="I1005" s="37"/>
      <c r="J1005" s="138">
        <f t="shared" si="79"/>
        <v>0.77968490742404351</v>
      </c>
      <c r="K1005" s="114"/>
      <c r="L1005" s="37">
        <v>6.9910343301399998</v>
      </c>
      <c r="M1005" s="37" t="s">
        <v>142</v>
      </c>
      <c r="N1005" s="37">
        <v>771.6404230243902</v>
      </c>
      <c r="O1005" s="132">
        <f t="shared" si="80"/>
        <v>5394.564687887264</v>
      </c>
      <c r="P1005" s="134">
        <f t="shared" si="81"/>
        <v>4206.0606692683959</v>
      </c>
      <c r="Q1005" s="261">
        <v>1</v>
      </c>
      <c r="R1005" s="94"/>
    </row>
    <row r="1006" spans="1:18" x14ac:dyDescent="0.25">
      <c r="A1006" s="367">
        <v>41173</v>
      </c>
      <c r="B1006" s="367" t="s">
        <v>279</v>
      </c>
      <c r="C1006" s="279" t="s">
        <v>594</v>
      </c>
      <c r="D1006" s="159" t="s">
        <v>1087</v>
      </c>
      <c r="E1006" s="45">
        <f t="shared" si="77"/>
        <v>41173</v>
      </c>
      <c r="F1006" s="148" t="str">
        <f t="shared" si="78"/>
        <v>2012-13</v>
      </c>
      <c r="G1006" s="1"/>
      <c r="H1006" s="163"/>
      <c r="I1006" s="37"/>
      <c r="J1006" s="138">
        <f t="shared" si="79"/>
        <v>0.77968490742404351</v>
      </c>
      <c r="K1006" s="114"/>
      <c r="L1006" s="37">
        <v>3.42760416552</v>
      </c>
      <c r="M1006" s="37" t="s">
        <v>142</v>
      </c>
      <c r="N1006" s="37">
        <v>771.6404230243902</v>
      </c>
      <c r="O1006" s="132">
        <f t="shared" si="80"/>
        <v>2644.8779282420146</v>
      </c>
      <c r="P1006" s="134">
        <f t="shared" si="81"/>
        <v>2062.1714026292711</v>
      </c>
      <c r="Q1006" s="261">
        <v>1</v>
      </c>
      <c r="R1006" s="94"/>
    </row>
    <row r="1007" spans="1:18" x14ac:dyDescent="0.25">
      <c r="A1007" s="367">
        <v>42472</v>
      </c>
      <c r="B1007" s="367" t="s">
        <v>279</v>
      </c>
      <c r="C1007" s="279" t="s">
        <v>583</v>
      </c>
      <c r="D1007" s="159" t="s">
        <v>1087</v>
      </c>
      <c r="E1007" s="45">
        <f t="shared" si="77"/>
        <v>42472</v>
      </c>
      <c r="F1007" s="148" t="str">
        <f t="shared" si="78"/>
        <v>2015-16</v>
      </c>
      <c r="G1007" s="1"/>
      <c r="H1007" s="163"/>
      <c r="I1007" s="37"/>
      <c r="J1007" s="138">
        <f t="shared" si="79"/>
        <v>0.77968490742404351</v>
      </c>
      <c r="K1007" s="114"/>
      <c r="L1007" s="37">
        <v>3.11720473475</v>
      </c>
      <c r="M1007" s="37" t="s">
        <v>142</v>
      </c>
      <c r="N1007" s="37">
        <v>696.6467060487804</v>
      </c>
      <c r="O1007" s="132">
        <f t="shared" si="80"/>
        <v>2171.5904105432496</v>
      </c>
      <c r="P1007" s="134">
        <f t="shared" si="81"/>
        <v>1693.1562682073543</v>
      </c>
      <c r="Q1007" s="261">
        <v>1</v>
      </c>
      <c r="R1007" s="94"/>
    </row>
    <row r="1008" spans="1:18" x14ac:dyDescent="0.25">
      <c r="A1008" s="367">
        <v>42472</v>
      </c>
      <c r="B1008" s="367" t="s">
        <v>279</v>
      </c>
      <c r="C1008" s="279" t="s">
        <v>583</v>
      </c>
      <c r="D1008" s="159" t="s">
        <v>1087</v>
      </c>
      <c r="E1008" s="45">
        <f t="shared" si="77"/>
        <v>42472</v>
      </c>
      <c r="F1008" s="148" t="str">
        <f t="shared" si="78"/>
        <v>2015-16</v>
      </c>
      <c r="G1008" s="1"/>
      <c r="H1008" s="163"/>
      <c r="I1008" s="37"/>
      <c r="J1008" s="138">
        <f t="shared" si="79"/>
        <v>0.77968490742404351</v>
      </c>
      <c r="K1008" s="114"/>
      <c r="L1008" s="37">
        <v>2.0311339197599998</v>
      </c>
      <c r="M1008" s="37" t="s">
        <v>142</v>
      </c>
      <c r="N1008" s="37">
        <v>936.5640883902438</v>
      </c>
      <c r="O1008" s="132">
        <f t="shared" si="80"/>
        <v>1902.2870879585269</v>
      </c>
      <c r="P1008" s="134">
        <f t="shared" si="81"/>
        <v>1483.1845320688974</v>
      </c>
      <c r="Q1008" s="261">
        <v>1</v>
      </c>
      <c r="R1008" s="94"/>
    </row>
    <row r="1009" spans="1:18" x14ac:dyDescent="0.25">
      <c r="A1009" s="367">
        <v>42136</v>
      </c>
      <c r="B1009" s="367" t="s">
        <v>279</v>
      </c>
      <c r="C1009" s="279" t="s">
        <v>597</v>
      </c>
      <c r="D1009" s="159" t="s">
        <v>1089</v>
      </c>
      <c r="E1009" s="45">
        <f t="shared" si="77"/>
        <v>42136</v>
      </c>
      <c r="F1009" s="148" t="str">
        <f t="shared" si="78"/>
        <v>2014-15</v>
      </c>
      <c r="G1009" s="1"/>
      <c r="H1009" s="163"/>
      <c r="I1009" s="37"/>
      <c r="J1009" s="138">
        <f t="shared" si="79"/>
        <v>0.77968490742404351</v>
      </c>
      <c r="K1009" s="114"/>
      <c r="L1009" s="37">
        <v>194.765296251</v>
      </c>
      <c r="M1009" s="37" t="s">
        <v>142</v>
      </c>
      <c r="N1009" s="37">
        <v>1003.0093919999996</v>
      </c>
      <c r="O1009" s="132">
        <f t="shared" si="80"/>
        <v>195351.42137541532</v>
      </c>
      <c r="P1009" s="134">
        <f t="shared" si="81"/>
        <v>152312.55489024601</v>
      </c>
      <c r="Q1009" s="261">
        <v>1</v>
      </c>
      <c r="R1009" s="94"/>
    </row>
    <row r="1010" spans="1:18" x14ac:dyDescent="0.25">
      <c r="A1010" s="367">
        <v>42136</v>
      </c>
      <c r="B1010" s="367" t="s">
        <v>279</v>
      </c>
      <c r="C1010" s="279" t="s">
        <v>597</v>
      </c>
      <c r="D1010" s="159" t="s">
        <v>1089</v>
      </c>
      <c r="E1010" s="45">
        <f t="shared" si="77"/>
        <v>42136</v>
      </c>
      <c r="F1010" s="148" t="str">
        <f t="shared" si="78"/>
        <v>2014-15</v>
      </c>
      <c r="G1010" s="1"/>
      <c r="H1010" s="163"/>
      <c r="I1010" s="37"/>
      <c r="J1010" s="138">
        <f t="shared" si="79"/>
        <v>0.77968490742404351</v>
      </c>
      <c r="K1010" s="114"/>
      <c r="L1010" s="37">
        <v>16.044332213800001</v>
      </c>
      <c r="M1010" s="37" t="s">
        <v>142</v>
      </c>
      <c r="N1010" s="37">
        <v>1003.0093919999996</v>
      </c>
      <c r="O1010" s="132">
        <f t="shared" si="80"/>
        <v>16092.615898809547</v>
      </c>
      <c r="P1010" s="134">
        <f t="shared" si="81"/>
        <v>12547.169737274013</v>
      </c>
      <c r="Q1010" s="261">
        <v>1</v>
      </c>
      <c r="R1010" s="94"/>
    </row>
    <row r="1011" spans="1:18" x14ac:dyDescent="0.25">
      <c r="A1011" s="367">
        <v>42136</v>
      </c>
      <c r="B1011" s="367" t="s">
        <v>279</v>
      </c>
      <c r="C1011" s="279" t="s">
        <v>597</v>
      </c>
      <c r="D1011" s="159" t="s">
        <v>1089</v>
      </c>
      <c r="E1011" s="45">
        <f t="shared" si="77"/>
        <v>42136</v>
      </c>
      <c r="F1011" s="148" t="str">
        <f t="shared" si="78"/>
        <v>2014-15</v>
      </c>
      <c r="G1011" s="1"/>
      <c r="H1011" s="163"/>
      <c r="I1011" s="37"/>
      <c r="J1011" s="138">
        <f t="shared" si="79"/>
        <v>0.77968490742404351</v>
      </c>
      <c r="K1011" s="114"/>
      <c r="L1011" s="37">
        <v>1.49930817379</v>
      </c>
      <c r="M1011" s="37" t="s">
        <v>142</v>
      </c>
      <c r="N1011" s="37">
        <v>1003.0093919999996</v>
      </c>
      <c r="O1011" s="132">
        <f t="shared" si="80"/>
        <v>1503.8201798137377</v>
      </c>
      <c r="P1011" s="134">
        <f t="shared" si="81"/>
        <v>1172.5058976804826</v>
      </c>
      <c r="Q1011" s="261">
        <v>1</v>
      </c>
      <c r="R1011" s="94"/>
    </row>
    <row r="1012" spans="1:18" x14ac:dyDescent="0.25">
      <c r="A1012" s="367">
        <v>42136</v>
      </c>
      <c r="B1012" s="367" t="s">
        <v>279</v>
      </c>
      <c r="C1012" s="279" t="s">
        <v>597</v>
      </c>
      <c r="D1012" s="159" t="s">
        <v>1089</v>
      </c>
      <c r="E1012" s="45">
        <f t="shared" si="77"/>
        <v>42136</v>
      </c>
      <c r="F1012" s="148" t="str">
        <f t="shared" si="78"/>
        <v>2014-15</v>
      </c>
      <c r="G1012" s="1"/>
      <c r="H1012" s="163"/>
      <c r="I1012" s="37"/>
      <c r="J1012" s="138">
        <f t="shared" si="79"/>
        <v>0.77968490742404351</v>
      </c>
      <c r="K1012" s="114"/>
      <c r="L1012" s="37">
        <v>2.99940594118</v>
      </c>
      <c r="M1012" s="37" t="s">
        <v>142</v>
      </c>
      <c r="N1012" s="37">
        <v>1003.0093919999996</v>
      </c>
      <c r="O1012" s="132">
        <f t="shared" si="80"/>
        <v>3008.4323294241385</v>
      </c>
      <c r="P1012" s="134">
        <f t="shared" si="81"/>
        <v>2345.6292822585592</v>
      </c>
      <c r="Q1012" s="261">
        <v>1</v>
      </c>
      <c r="R1012" s="94"/>
    </row>
    <row r="1013" spans="1:18" x14ac:dyDescent="0.25">
      <c r="A1013" s="367">
        <v>42136</v>
      </c>
      <c r="B1013" s="367" t="s">
        <v>279</v>
      </c>
      <c r="C1013" s="279" t="s">
        <v>597</v>
      </c>
      <c r="D1013" s="159" t="s">
        <v>1089</v>
      </c>
      <c r="E1013" s="45">
        <f t="shared" si="77"/>
        <v>42136</v>
      </c>
      <c r="F1013" s="148" t="str">
        <f t="shared" si="78"/>
        <v>2014-15</v>
      </c>
      <c r="G1013" s="1"/>
      <c r="H1013" s="163"/>
      <c r="I1013" s="37"/>
      <c r="J1013" s="138">
        <f t="shared" si="79"/>
        <v>0.77968490742404351</v>
      </c>
      <c r="K1013" s="114"/>
      <c r="L1013" s="37">
        <v>38.324034608700003</v>
      </c>
      <c r="M1013" s="37" t="s">
        <v>142</v>
      </c>
      <c r="N1013" s="37">
        <v>1003.0093919999996</v>
      </c>
      <c r="O1013" s="132">
        <f t="shared" si="80"/>
        <v>38439.366651859134</v>
      </c>
      <c r="P1013" s="134">
        <f t="shared" si="81"/>
        <v>29970.594029393655</v>
      </c>
      <c r="Q1013" s="261">
        <v>1</v>
      </c>
      <c r="R1013" s="94"/>
    </row>
    <row r="1014" spans="1:18" x14ac:dyDescent="0.25">
      <c r="A1014" s="367">
        <v>42136</v>
      </c>
      <c r="B1014" s="367" t="s">
        <v>279</v>
      </c>
      <c r="C1014" s="279" t="s">
        <v>597</v>
      </c>
      <c r="D1014" s="159" t="s">
        <v>1089</v>
      </c>
      <c r="E1014" s="45">
        <f t="shared" si="77"/>
        <v>42136</v>
      </c>
      <c r="F1014" s="148" t="str">
        <f t="shared" si="78"/>
        <v>2014-15</v>
      </c>
      <c r="G1014" s="1"/>
      <c r="H1014" s="163"/>
      <c r="I1014" s="37"/>
      <c r="J1014" s="138">
        <f t="shared" si="79"/>
        <v>0.77968490742404351</v>
      </c>
      <c r="K1014" s="114"/>
      <c r="L1014" s="37">
        <v>3.9947101516900001</v>
      </c>
      <c r="M1014" s="37" t="s">
        <v>142</v>
      </c>
      <c r="N1014" s="37">
        <v>1003.0093919999996</v>
      </c>
      <c r="O1014" s="132">
        <f t="shared" si="80"/>
        <v>4006.7318004628132</v>
      </c>
      <c r="P1014" s="134">
        <f t="shared" si="81"/>
        <v>3123.9883129168197</v>
      </c>
      <c r="Q1014" s="261">
        <v>1</v>
      </c>
      <c r="R1014" s="94"/>
    </row>
    <row r="1015" spans="1:18" x14ac:dyDescent="0.25">
      <c r="A1015" s="367">
        <v>42643</v>
      </c>
      <c r="B1015" s="367" t="s">
        <v>279</v>
      </c>
      <c r="C1015" s="279" t="s">
        <v>598</v>
      </c>
      <c r="D1015" s="159" t="s">
        <v>1090</v>
      </c>
      <c r="E1015" s="45">
        <f t="shared" si="77"/>
        <v>42643</v>
      </c>
      <c r="F1015" s="148" t="str">
        <f t="shared" si="78"/>
        <v>2016-17</v>
      </c>
      <c r="G1015" s="1"/>
      <c r="H1015" s="163"/>
      <c r="I1015" s="37"/>
      <c r="J1015" s="138">
        <f t="shared" si="79"/>
        <v>0.77968490742404351</v>
      </c>
      <c r="K1015" s="114"/>
      <c r="L1015" s="37">
        <v>1.4995365950899999</v>
      </c>
      <c r="M1015" s="37" t="s">
        <v>142</v>
      </c>
      <c r="N1015" s="37">
        <v>936.5640883902438</v>
      </c>
      <c r="O1015" s="132">
        <f t="shared" si="80"/>
        <v>1404.4121241882758</v>
      </c>
      <c r="P1015" s="134">
        <f t="shared" si="81"/>
        <v>1094.9989370329401</v>
      </c>
      <c r="Q1015" s="261">
        <v>1</v>
      </c>
      <c r="R1015" s="94"/>
    </row>
    <row r="1016" spans="1:18" x14ac:dyDescent="0.25">
      <c r="A1016" s="367">
        <v>42643</v>
      </c>
      <c r="B1016" s="367" t="s">
        <v>279</v>
      </c>
      <c r="C1016" s="279" t="s">
        <v>598</v>
      </c>
      <c r="D1016" s="159" t="s">
        <v>1090</v>
      </c>
      <c r="E1016" s="45">
        <f t="shared" si="77"/>
        <v>42643</v>
      </c>
      <c r="F1016" s="148" t="str">
        <f t="shared" si="78"/>
        <v>2016-17</v>
      </c>
      <c r="G1016" s="1"/>
      <c r="H1016" s="163"/>
      <c r="I1016" s="37"/>
      <c r="J1016" s="138">
        <f t="shared" si="79"/>
        <v>0.77968490742404351</v>
      </c>
      <c r="K1016" s="114"/>
      <c r="L1016" s="37">
        <v>2.4893906884999999</v>
      </c>
      <c r="M1016" s="37" t="s">
        <v>142</v>
      </c>
      <c r="N1016" s="37">
        <v>936.5640883902438</v>
      </c>
      <c r="O1016" s="132">
        <f t="shared" si="80"/>
        <v>2331.4739208221636</v>
      </c>
      <c r="P1016" s="134">
        <f t="shared" si="81"/>
        <v>1817.8150281178002</v>
      </c>
      <c r="Q1016" s="261">
        <v>1</v>
      </c>
      <c r="R1016" s="94"/>
    </row>
    <row r="1017" spans="1:18" x14ac:dyDescent="0.25">
      <c r="A1017" s="367">
        <v>42643</v>
      </c>
      <c r="B1017" s="367" t="s">
        <v>279</v>
      </c>
      <c r="C1017" s="279" t="s">
        <v>598</v>
      </c>
      <c r="D1017" s="159" t="s">
        <v>1090</v>
      </c>
      <c r="E1017" s="45">
        <f t="shared" si="77"/>
        <v>42643</v>
      </c>
      <c r="F1017" s="148" t="str">
        <f t="shared" si="78"/>
        <v>2016-17</v>
      </c>
      <c r="G1017" s="1"/>
      <c r="H1017" s="163"/>
      <c r="I1017" s="37"/>
      <c r="J1017" s="138">
        <f t="shared" si="79"/>
        <v>0.77968490742404351</v>
      </c>
      <c r="K1017" s="114"/>
      <c r="L1017" s="37">
        <v>12.156356197499999</v>
      </c>
      <c r="M1017" s="37" t="s">
        <v>142</v>
      </c>
      <c r="N1017" s="37">
        <v>1128.7084557073169</v>
      </c>
      <c r="O1017" s="132">
        <f t="shared" si="80"/>
        <v>13720.982030708295</v>
      </c>
      <c r="P1017" s="134">
        <f t="shared" si="81"/>
        <v>10698.042604379762</v>
      </c>
      <c r="Q1017" s="261">
        <v>1</v>
      </c>
      <c r="R1017" s="94"/>
    </row>
    <row r="1018" spans="1:18" x14ac:dyDescent="0.25">
      <c r="A1018" s="367">
        <v>43677</v>
      </c>
      <c r="B1018" s="367" t="s">
        <v>279</v>
      </c>
      <c r="C1018" s="279" t="s">
        <v>599</v>
      </c>
      <c r="D1018" s="159" t="s">
        <v>1091</v>
      </c>
      <c r="E1018" s="45">
        <f t="shared" si="77"/>
        <v>43677</v>
      </c>
      <c r="F1018" s="148" t="str">
        <f t="shared" si="78"/>
        <v>2019-20</v>
      </c>
      <c r="G1018" s="1"/>
      <c r="H1018" s="163"/>
      <c r="I1018" s="37"/>
      <c r="J1018" s="138">
        <f t="shared" si="79"/>
        <v>0.77968490742404351</v>
      </c>
      <c r="K1018" s="114"/>
      <c r="L1018" s="37">
        <v>443.00705876500001</v>
      </c>
      <c r="M1018" s="37" t="s">
        <v>142</v>
      </c>
      <c r="N1018" s="37">
        <v>936.5640883902438</v>
      </c>
      <c r="O1018" s="132">
        <f t="shared" si="80"/>
        <v>414904.50214268541</v>
      </c>
      <c r="P1018" s="134">
        <f t="shared" si="81"/>
        <v>225461.78942006029</v>
      </c>
      <c r="Q1018" s="261">
        <v>0.69695650289924327</v>
      </c>
      <c r="R1018" s="94"/>
    </row>
    <row r="1019" spans="1:18" x14ac:dyDescent="0.25">
      <c r="A1019" s="367">
        <v>43677</v>
      </c>
      <c r="B1019" s="367" t="s">
        <v>279</v>
      </c>
      <c r="C1019" s="279" t="s">
        <v>599</v>
      </c>
      <c r="D1019" s="159" t="s">
        <v>1091</v>
      </c>
      <c r="E1019" s="45">
        <f t="shared" si="77"/>
        <v>43677</v>
      </c>
      <c r="F1019" s="148" t="str">
        <f t="shared" si="78"/>
        <v>2019-20</v>
      </c>
      <c r="G1019" s="1"/>
      <c r="H1019" s="163"/>
      <c r="I1019" s="37"/>
      <c r="J1019" s="138">
        <f t="shared" si="79"/>
        <v>0.77968490742404351</v>
      </c>
      <c r="K1019" s="114"/>
      <c r="L1019" s="37">
        <v>519.231056491</v>
      </c>
      <c r="M1019" s="37" t="s">
        <v>142</v>
      </c>
      <c r="N1019" s="37">
        <v>771.6404230243902</v>
      </c>
      <c r="O1019" s="132">
        <f t="shared" si="80"/>
        <v>400659.67207811627</v>
      </c>
      <c r="P1019" s="134">
        <f t="shared" si="81"/>
        <v>217721.05664961197</v>
      </c>
      <c r="Q1019" s="261">
        <v>0.69695650289924327</v>
      </c>
      <c r="R1019" s="94"/>
    </row>
    <row r="1020" spans="1:18" x14ac:dyDescent="0.25">
      <c r="A1020" s="367">
        <v>43677</v>
      </c>
      <c r="B1020" s="367" t="s">
        <v>279</v>
      </c>
      <c r="C1020" s="279" t="s">
        <v>599</v>
      </c>
      <c r="D1020" s="159" t="s">
        <v>1091</v>
      </c>
      <c r="E1020" s="45">
        <f t="shared" si="77"/>
        <v>43677</v>
      </c>
      <c r="F1020" s="148" t="str">
        <f t="shared" si="78"/>
        <v>2019-20</v>
      </c>
      <c r="G1020" s="1"/>
      <c r="H1020" s="163"/>
      <c r="I1020" s="37"/>
      <c r="J1020" s="138">
        <f t="shared" si="79"/>
        <v>0.77968490742404351</v>
      </c>
      <c r="K1020" s="114"/>
      <c r="L1020" s="37">
        <v>266.73769042999999</v>
      </c>
      <c r="M1020" s="37" t="s">
        <v>142</v>
      </c>
      <c r="N1020" s="37">
        <v>771.6404230243902</v>
      </c>
      <c r="O1020" s="132">
        <f t="shared" si="80"/>
        <v>205825.58427995403</v>
      </c>
      <c r="P1020" s="134">
        <f t="shared" si="81"/>
        <v>111846.95345684375</v>
      </c>
      <c r="Q1020" s="261">
        <v>0.69695650289924327</v>
      </c>
      <c r="R1020" s="94"/>
    </row>
    <row r="1021" spans="1:18" x14ac:dyDescent="0.25">
      <c r="A1021" s="367">
        <v>43677</v>
      </c>
      <c r="B1021" s="367" t="s">
        <v>279</v>
      </c>
      <c r="C1021" s="279" t="s">
        <v>599</v>
      </c>
      <c r="D1021" s="159" t="s">
        <v>1091</v>
      </c>
      <c r="E1021" s="45">
        <f t="shared" si="77"/>
        <v>43677</v>
      </c>
      <c r="F1021" s="148" t="str">
        <f t="shared" si="78"/>
        <v>2019-20</v>
      </c>
      <c r="G1021" s="1"/>
      <c r="H1021" s="163"/>
      <c r="I1021" s="37"/>
      <c r="J1021" s="138">
        <f t="shared" si="79"/>
        <v>0.77968490742404351</v>
      </c>
      <c r="K1021" s="114"/>
      <c r="L1021" s="37">
        <v>167.60964051799999</v>
      </c>
      <c r="M1021" s="37" t="s">
        <v>142</v>
      </c>
      <c r="N1021" s="37">
        <v>771.6404230243902</v>
      </c>
      <c r="O1021" s="132">
        <f t="shared" si="80"/>
        <v>129334.37391227549</v>
      </c>
      <c r="P1021" s="134">
        <f t="shared" si="81"/>
        <v>70281.135117103899</v>
      </c>
      <c r="Q1021" s="261">
        <v>0.69695650289924327</v>
      </c>
      <c r="R1021" s="94"/>
    </row>
    <row r="1022" spans="1:18" x14ac:dyDescent="0.25">
      <c r="A1022" s="367">
        <v>43677</v>
      </c>
      <c r="B1022" s="367" t="s">
        <v>279</v>
      </c>
      <c r="C1022" s="279" t="s">
        <v>599</v>
      </c>
      <c r="D1022" s="159" t="s">
        <v>1091</v>
      </c>
      <c r="E1022" s="45">
        <f t="shared" si="77"/>
        <v>43677</v>
      </c>
      <c r="F1022" s="148" t="str">
        <f t="shared" si="78"/>
        <v>2019-20</v>
      </c>
      <c r="G1022" s="1"/>
      <c r="H1022" s="163"/>
      <c r="I1022" s="37"/>
      <c r="J1022" s="138">
        <f t="shared" si="79"/>
        <v>0.77968490742404351</v>
      </c>
      <c r="K1022" s="114"/>
      <c r="L1022" s="37">
        <v>14.222986536400001</v>
      </c>
      <c r="M1022" s="37" t="s">
        <v>142</v>
      </c>
      <c r="N1022" s="37">
        <v>771.6404230243902</v>
      </c>
      <c r="O1022" s="132">
        <f t="shared" si="80"/>
        <v>10975.031347617904</v>
      </c>
      <c r="P1022" s="134">
        <f t="shared" si="81"/>
        <v>5963.9030036946351</v>
      </c>
      <c r="Q1022" s="261">
        <v>0.69695650289924327</v>
      </c>
      <c r="R1022" s="94"/>
    </row>
    <row r="1023" spans="1:18" x14ac:dyDescent="0.25">
      <c r="A1023" s="367">
        <v>43677</v>
      </c>
      <c r="B1023" s="367" t="s">
        <v>279</v>
      </c>
      <c r="C1023" s="279" t="s">
        <v>599</v>
      </c>
      <c r="D1023" s="159" t="s">
        <v>1091</v>
      </c>
      <c r="E1023" s="45">
        <f t="shared" si="77"/>
        <v>43677</v>
      </c>
      <c r="F1023" s="148" t="str">
        <f t="shared" si="78"/>
        <v>2019-20</v>
      </c>
      <c r="G1023" s="1"/>
      <c r="H1023" s="163"/>
      <c r="I1023" s="37"/>
      <c r="J1023" s="138">
        <f t="shared" si="79"/>
        <v>0.77968490742404351</v>
      </c>
      <c r="K1023" s="114"/>
      <c r="L1023" s="37">
        <v>26.4535061387</v>
      </c>
      <c r="M1023" s="37" t="s">
        <v>142</v>
      </c>
      <c r="N1023" s="37">
        <v>771.6404230243902</v>
      </c>
      <c r="O1023" s="132">
        <f t="shared" si="80"/>
        <v>20412.594667344772</v>
      </c>
      <c r="P1023" s="134">
        <f t="shared" si="81"/>
        <v>11092.335939086095</v>
      </c>
      <c r="Q1023" s="261">
        <v>0.69695650289924327</v>
      </c>
      <c r="R1023" s="94"/>
    </row>
    <row r="1024" spans="1:18" x14ac:dyDescent="0.25">
      <c r="A1024" s="367">
        <v>43677</v>
      </c>
      <c r="B1024" s="367" t="s">
        <v>279</v>
      </c>
      <c r="C1024" s="279" t="s">
        <v>599</v>
      </c>
      <c r="D1024" s="159" t="s">
        <v>1091</v>
      </c>
      <c r="E1024" s="45">
        <f t="shared" si="77"/>
        <v>43677</v>
      </c>
      <c r="F1024" s="148" t="str">
        <f t="shared" si="78"/>
        <v>2019-20</v>
      </c>
      <c r="G1024" s="1"/>
      <c r="H1024" s="163"/>
      <c r="I1024" s="37"/>
      <c r="J1024" s="138">
        <f t="shared" si="79"/>
        <v>0.77968490742404351</v>
      </c>
      <c r="K1024" s="114"/>
      <c r="L1024" s="37">
        <v>48.871534833699997</v>
      </c>
      <c r="M1024" s="37" t="s">
        <v>142</v>
      </c>
      <c r="N1024" s="37">
        <v>1128.7084557073169</v>
      </c>
      <c r="O1024" s="132">
        <f t="shared" si="80"/>
        <v>55161.71461019187</v>
      </c>
      <c r="P1024" s="134">
        <f t="shared" si="81"/>
        <v>29975.232419183329</v>
      </c>
      <c r="Q1024" s="261">
        <v>0.69695650289924327</v>
      </c>
      <c r="R1024" s="94"/>
    </row>
    <row r="1025" spans="1:18" x14ac:dyDescent="0.25">
      <c r="A1025" s="367">
        <v>43677</v>
      </c>
      <c r="B1025" s="367" t="s">
        <v>279</v>
      </c>
      <c r="C1025" s="279" t="s">
        <v>599</v>
      </c>
      <c r="D1025" s="159" t="s">
        <v>1092</v>
      </c>
      <c r="E1025" s="45">
        <f t="shared" si="77"/>
        <v>43677</v>
      </c>
      <c r="F1025" s="148" t="str">
        <f t="shared" si="78"/>
        <v>2019-20</v>
      </c>
      <c r="G1025" s="1"/>
      <c r="H1025" s="163"/>
      <c r="I1025" s="37"/>
      <c r="J1025" s="138">
        <f t="shared" si="79"/>
        <v>0.77968490742404351</v>
      </c>
      <c r="K1025" s="114"/>
      <c r="L1025" s="37">
        <v>98.230464365800003</v>
      </c>
      <c r="M1025" s="37" t="s">
        <v>142</v>
      </c>
      <c r="N1025" s="37">
        <v>771.6404230243902</v>
      </c>
      <c r="O1025" s="132">
        <f t="shared" si="80"/>
        <v>75798.597077108207</v>
      </c>
      <c r="P1025" s="134">
        <f t="shared" si="81"/>
        <v>41189.447798900568</v>
      </c>
      <c r="Q1025" s="261">
        <v>0.69695650289924327</v>
      </c>
      <c r="R1025" s="94"/>
    </row>
    <row r="1026" spans="1:18" x14ac:dyDescent="0.25">
      <c r="A1026" s="367">
        <v>43677</v>
      </c>
      <c r="B1026" s="367" t="s">
        <v>279</v>
      </c>
      <c r="C1026" s="279" t="s">
        <v>599</v>
      </c>
      <c r="D1026" s="159" t="s">
        <v>1092</v>
      </c>
      <c r="E1026" s="45">
        <f t="shared" si="77"/>
        <v>43677</v>
      </c>
      <c r="F1026" s="148" t="str">
        <f t="shared" si="78"/>
        <v>2019-20</v>
      </c>
      <c r="G1026" s="1"/>
      <c r="H1026" s="163"/>
      <c r="I1026" s="37"/>
      <c r="J1026" s="138">
        <f t="shared" si="79"/>
        <v>0.77968490742404351</v>
      </c>
      <c r="K1026" s="114"/>
      <c r="L1026" s="37">
        <v>8.3083270551100004</v>
      </c>
      <c r="M1026" s="37" t="s">
        <v>142</v>
      </c>
      <c r="N1026" s="37">
        <v>771.6404230243902</v>
      </c>
      <c r="O1026" s="132">
        <f t="shared" si="80"/>
        <v>6411.0410034300667</v>
      </c>
      <c r="P1026" s="134">
        <f t="shared" si="81"/>
        <v>3483.8011378860238</v>
      </c>
      <c r="Q1026" s="261">
        <v>0.69695650289924327</v>
      </c>
      <c r="R1026" s="94"/>
    </row>
    <row r="1027" spans="1:18" x14ac:dyDescent="0.25">
      <c r="A1027" s="367">
        <v>39040</v>
      </c>
      <c r="B1027" s="367" t="s">
        <v>279</v>
      </c>
      <c r="C1027" s="279" t="s">
        <v>600</v>
      </c>
      <c r="D1027" s="159" t="s">
        <v>1093</v>
      </c>
      <c r="E1027" s="45">
        <f t="shared" si="77"/>
        <v>39040</v>
      </c>
      <c r="F1027" s="148" t="str">
        <f t="shared" si="78"/>
        <v>2006-07</v>
      </c>
      <c r="G1027" s="1"/>
      <c r="H1027" s="163"/>
      <c r="I1027" s="37"/>
      <c r="J1027" s="138">
        <f t="shared" si="79"/>
        <v>0.77968490742404351</v>
      </c>
      <c r="K1027" s="114"/>
      <c r="L1027" s="37">
        <v>1.99982138557</v>
      </c>
      <c r="M1027" s="37" t="s">
        <v>142</v>
      </c>
      <c r="N1027" s="37">
        <v>696.6467060487804</v>
      </c>
      <c r="O1027" s="132">
        <f t="shared" si="80"/>
        <v>1393.1689809432485</v>
      </c>
      <c r="P1027" s="134">
        <f t="shared" si="81"/>
        <v>1086.2328279327858</v>
      </c>
      <c r="Q1027" s="261">
        <v>1</v>
      </c>
      <c r="R1027" s="94"/>
    </row>
    <row r="1028" spans="1:18" x14ac:dyDescent="0.25">
      <c r="A1028" s="367">
        <v>40861</v>
      </c>
      <c r="B1028" s="367" t="s">
        <v>279</v>
      </c>
      <c r="C1028" s="279" t="s">
        <v>297</v>
      </c>
      <c r="D1028" s="159" t="s">
        <v>1094</v>
      </c>
      <c r="E1028" s="45">
        <f t="shared" si="77"/>
        <v>40861</v>
      </c>
      <c r="F1028" s="148" t="str">
        <f t="shared" si="78"/>
        <v>2011-12</v>
      </c>
      <c r="G1028" s="1"/>
      <c r="H1028" s="163"/>
      <c r="I1028" s="37"/>
      <c r="J1028" s="138">
        <f t="shared" si="79"/>
        <v>0.77968490742404351</v>
      </c>
      <c r="K1028" s="114"/>
      <c r="L1028" s="37">
        <v>2.4997733391299999</v>
      </c>
      <c r="M1028" s="37" t="s">
        <v>142</v>
      </c>
      <c r="N1028" s="37">
        <v>696.6467060487804</v>
      </c>
      <c r="O1028" s="132">
        <f t="shared" si="80"/>
        <v>1741.4588625734752</v>
      </c>
      <c r="P1028" s="134">
        <f t="shared" si="81"/>
        <v>1357.7891920483801</v>
      </c>
      <c r="Q1028" s="261">
        <v>1</v>
      </c>
      <c r="R1028" s="94"/>
    </row>
    <row r="1029" spans="1:18" x14ac:dyDescent="0.25">
      <c r="A1029" s="367">
        <v>40861</v>
      </c>
      <c r="B1029" s="367" t="s">
        <v>279</v>
      </c>
      <c r="C1029" s="279" t="s">
        <v>297</v>
      </c>
      <c r="D1029" s="159" t="s">
        <v>1094</v>
      </c>
      <c r="E1029" s="45">
        <f t="shared" si="77"/>
        <v>40861</v>
      </c>
      <c r="F1029" s="148" t="str">
        <f t="shared" si="78"/>
        <v>2011-12</v>
      </c>
      <c r="G1029" s="1"/>
      <c r="H1029" s="163"/>
      <c r="I1029" s="37"/>
      <c r="J1029" s="138">
        <f t="shared" si="79"/>
        <v>0.77968490742404351</v>
      </c>
      <c r="K1029" s="114"/>
      <c r="L1029" s="37">
        <v>2.3681427323199999</v>
      </c>
      <c r="M1029" s="37" t="s">
        <v>142</v>
      </c>
      <c r="N1029" s="37">
        <v>696.6467060487804</v>
      </c>
      <c r="O1029" s="132">
        <f t="shared" si="80"/>
        <v>1649.7588339240867</v>
      </c>
      <c r="P1029" s="134">
        <f t="shared" si="81"/>
        <v>1286.2920637000996</v>
      </c>
      <c r="Q1029" s="261">
        <v>1</v>
      </c>
      <c r="R1029" s="94"/>
    </row>
    <row r="1030" spans="1:18" x14ac:dyDescent="0.25">
      <c r="A1030" s="367">
        <v>39068</v>
      </c>
      <c r="B1030" s="367" t="s">
        <v>279</v>
      </c>
      <c r="C1030" s="279" t="s">
        <v>601</v>
      </c>
      <c r="D1030" s="159" t="s">
        <v>1095</v>
      </c>
      <c r="E1030" s="45">
        <f t="shared" si="77"/>
        <v>39068</v>
      </c>
      <c r="F1030" s="148" t="str">
        <f t="shared" si="78"/>
        <v>2006-07</v>
      </c>
      <c r="G1030" s="1"/>
      <c r="H1030" s="163"/>
      <c r="I1030" s="37"/>
      <c r="J1030" s="138">
        <f t="shared" si="79"/>
        <v>0.77968490742404351</v>
      </c>
      <c r="K1030" s="114"/>
      <c r="L1030" s="37">
        <v>2.0011159635600002</v>
      </c>
      <c r="M1030" s="37" t="s">
        <v>142</v>
      </c>
      <c r="N1030" s="37">
        <v>936.5640883902438</v>
      </c>
      <c r="O1030" s="132">
        <f t="shared" si="80"/>
        <v>1874.173348174736</v>
      </c>
      <c r="P1030" s="134">
        <f t="shared" si="81"/>
        <v>1461.2646734682287</v>
      </c>
      <c r="Q1030" s="261">
        <v>1</v>
      </c>
      <c r="R1030" s="94"/>
    </row>
    <row r="1031" spans="1:18" x14ac:dyDescent="0.25">
      <c r="A1031" s="367">
        <v>39050</v>
      </c>
      <c r="B1031" s="367" t="s">
        <v>279</v>
      </c>
      <c r="C1031" s="279" t="s">
        <v>602</v>
      </c>
      <c r="D1031" s="159" t="s">
        <v>1096</v>
      </c>
      <c r="E1031" s="45">
        <f t="shared" si="77"/>
        <v>39050</v>
      </c>
      <c r="F1031" s="148" t="str">
        <f t="shared" si="78"/>
        <v>2006-07</v>
      </c>
      <c r="G1031" s="1"/>
      <c r="H1031" s="163"/>
      <c r="I1031" s="37"/>
      <c r="J1031" s="138">
        <f t="shared" si="79"/>
        <v>0.77968490742404351</v>
      </c>
      <c r="K1031" s="114"/>
      <c r="L1031" s="37">
        <v>272.94983516399998</v>
      </c>
      <c r="M1031" s="37" t="s">
        <v>142</v>
      </c>
      <c r="N1031" s="37">
        <v>1003.0093919999996</v>
      </c>
      <c r="O1031" s="132">
        <f t="shared" si="80"/>
        <v>273771.24821434374</v>
      </c>
      <c r="P1031" s="134">
        <f t="shared" si="81"/>
        <v>213455.31031936544</v>
      </c>
      <c r="Q1031" s="261">
        <v>1</v>
      </c>
      <c r="R1031" s="94"/>
    </row>
    <row r="1032" spans="1:18" x14ac:dyDescent="0.25">
      <c r="A1032" s="367">
        <v>42423</v>
      </c>
      <c r="B1032" s="367" t="s">
        <v>279</v>
      </c>
      <c r="C1032" s="279" t="s">
        <v>603</v>
      </c>
      <c r="D1032" s="159" t="s">
        <v>1097</v>
      </c>
      <c r="E1032" s="45">
        <f t="shared" si="77"/>
        <v>42423</v>
      </c>
      <c r="F1032" s="148" t="str">
        <f t="shared" si="78"/>
        <v>2015-16</v>
      </c>
      <c r="G1032" s="1"/>
      <c r="H1032" s="163"/>
      <c r="I1032" s="37"/>
      <c r="J1032" s="138">
        <f t="shared" si="79"/>
        <v>0.77968490742404351</v>
      </c>
      <c r="K1032" s="114"/>
      <c r="L1032" s="37">
        <v>78.755380013700005</v>
      </c>
      <c r="M1032" s="37" t="s">
        <v>142</v>
      </c>
      <c r="N1032" s="37">
        <v>1128.7084557073169</v>
      </c>
      <c r="O1032" s="132">
        <f t="shared" si="80"/>
        <v>88891.863353906228</v>
      </c>
      <c r="P1032" s="134">
        <f t="shared" si="81"/>
        <v>69307.644249841105</v>
      </c>
      <c r="Q1032" s="261">
        <v>1</v>
      </c>
      <c r="R1032" s="94"/>
    </row>
    <row r="1033" spans="1:18" x14ac:dyDescent="0.25">
      <c r="A1033" s="367">
        <v>42423</v>
      </c>
      <c r="B1033" s="367" t="s">
        <v>279</v>
      </c>
      <c r="C1033" s="279" t="s">
        <v>603</v>
      </c>
      <c r="D1033" s="159" t="s">
        <v>1098</v>
      </c>
      <c r="E1033" s="45">
        <f t="shared" si="77"/>
        <v>42423</v>
      </c>
      <c r="F1033" s="148" t="str">
        <f t="shared" si="78"/>
        <v>2015-16</v>
      </c>
      <c r="G1033" s="1"/>
      <c r="H1033" s="163"/>
      <c r="I1033" s="37"/>
      <c r="J1033" s="138">
        <f t="shared" si="79"/>
        <v>0.77968490742404351</v>
      </c>
      <c r="K1033" s="114"/>
      <c r="L1033" s="37">
        <v>3.4605726108499999</v>
      </c>
      <c r="M1033" s="37" t="s">
        <v>142</v>
      </c>
      <c r="N1033" s="37">
        <v>771.6404230243902</v>
      </c>
      <c r="O1033" s="132">
        <f t="shared" si="80"/>
        <v>2670.3177133429122</v>
      </c>
      <c r="P1033" s="134">
        <f t="shared" si="81"/>
        <v>2082.006419120552</v>
      </c>
      <c r="Q1033" s="261">
        <v>1</v>
      </c>
      <c r="R1033" s="94"/>
    </row>
    <row r="1034" spans="1:18" x14ac:dyDescent="0.25">
      <c r="A1034" s="367">
        <v>42423</v>
      </c>
      <c r="B1034" s="367" t="s">
        <v>279</v>
      </c>
      <c r="C1034" s="279" t="s">
        <v>603</v>
      </c>
      <c r="D1034" s="159" t="s">
        <v>1097</v>
      </c>
      <c r="E1034" s="45">
        <f t="shared" si="77"/>
        <v>42423</v>
      </c>
      <c r="F1034" s="148" t="str">
        <f t="shared" si="78"/>
        <v>2015-16</v>
      </c>
      <c r="G1034" s="1"/>
      <c r="H1034" s="163"/>
      <c r="I1034" s="37"/>
      <c r="J1034" s="138">
        <f t="shared" si="79"/>
        <v>0.77968490742404351</v>
      </c>
      <c r="K1034" s="114"/>
      <c r="L1034" s="37">
        <v>2.4996724291599999</v>
      </c>
      <c r="M1034" s="37" t="s">
        <v>142</v>
      </c>
      <c r="N1034" s="37">
        <v>771.6404230243902</v>
      </c>
      <c r="O1034" s="132">
        <f t="shared" si="80"/>
        <v>1928.8482906594274</v>
      </c>
      <c r="P1034" s="134">
        <f t="shared" si="81"/>
        <v>1503.8939009378203</v>
      </c>
      <c r="Q1034" s="261">
        <v>1</v>
      </c>
      <c r="R1034" s="94"/>
    </row>
    <row r="1035" spans="1:18" x14ac:dyDescent="0.25">
      <c r="A1035" s="367">
        <v>42423</v>
      </c>
      <c r="B1035" s="367" t="s">
        <v>279</v>
      </c>
      <c r="C1035" s="279" t="s">
        <v>603</v>
      </c>
      <c r="D1035" s="159" t="s">
        <v>1097</v>
      </c>
      <c r="E1035" s="45">
        <f t="shared" si="77"/>
        <v>42423</v>
      </c>
      <c r="F1035" s="148" t="str">
        <f t="shared" si="78"/>
        <v>2015-16</v>
      </c>
      <c r="G1035" s="1"/>
      <c r="H1035" s="163"/>
      <c r="I1035" s="37"/>
      <c r="J1035" s="138">
        <f t="shared" si="79"/>
        <v>0.77968490742404351</v>
      </c>
      <c r="K1035" s="114"/>
      <c r="L1035" s="37">
        <v>13.078057959800001</v>
      </c>
      <c r="M1035" s="37" t="s">
        <v>142</v>
      </c>
      <c r="N1035" s="37">
        <v>771.6404230243902</v>
      </c>
      <c r="O1035" s="132">
        <f t="shared" si="80"/>
        <v>10091.558176437566</v>
      </c>
      <c r="P1035" s="134">
        <f t="shared" si="81"/>
        <v>7868.2356025600729</v>
      </c>
      <c r="Q1035" s="261">
        <v>1</v>
      </c>
      <c r="R1035" s="94"/>
    </row>
    <row r="1036" spans="1:18" x14ac:dyDescent="0.25">
      <c r="A1036" s="367">
        <v>42837</v>
      </c>
      <c r="B1036" s="367" t="s">
        <v>279</v>
      </c>
      <c r="C1036" s="279" t="s">
        <v>604</v>
      </c>
      <c r="D1036" s="159" t="s">
        <v>1099</v>
      </c>
      <c r="E1036" s="45">
        <f t="shared" si="77"/>
        <v>42837</v>
      </c>
      <c r="F1036" s="148" t="str">
        <f t="shared" si="78"/>
        <v>2016-17</v>
      </c>
      <c r="G1036" s="1"/>
      <c r="H1036" s="163"/>
      <c r="I1036" s="37"/>
      <c r="J1036" s="138">
        <f t="shared" si="79"/>
        <v>0.77968490742404351</v>
      </c>
      <c r="K1036" s="114"/>
      <c r="L1036" s="37">
        <v>56.400057912100003</v>
      </c>
      <c r="M1036" s="37" t="s">
        <v>142</v>
      </c>
      <c r="N1036" s="37">
        <v>1003.0093919999996</v>
      </c>
      <c r="O1036" s="132">
        <f t="shared" si="80"/>
        <v>56569.787795180193</v>
      </c>
      <c r="P1036" s="134">
        <f t="shared" si="81"/>
        <v>44106.609760082858</v>
      </c>
      <c r="Q1036" s="261">
        <v>1</v>
      </c>
      <c r="R1036" s="94"/>
    </row>
    <row r="1037" spans="1:18" x14ac:dyDescent="0.25">
      <c r="A1037" s="367">
        <v>42815</v>
      </c>
      <c r="B1037" s="367" t="s">
        <v>279</v>
      </c>
      <c r="C1037" s="279" t="s">
        <v>605</v>
      </c>
      <c r="D1037" s="159" t="s">
        <v>1099</v>
      </c>
      <c r="E1037" s="45">
        <f t="shared" si="77"/>
        <v>42815</v>
      </c>
      <c r="F1037" s="148" t="str">
        <f t="shared" si="78"/>
        <v>2016-17</v>
      </c>
      <c r="G1037" s="1"/>
      <c r="H1037" s="163"/>
      <c r="I1037" s="37"/>
      <c r="J1037" s="138">
        <f t="shared" si="79"/>
        <v>0.77968490742404351</v>
      </c>
      <c r="K1037" s="114"/>
      <c r="L1037" s="37">
        <v>47.088860427599997</v>
      </c>
      <c r="M1037" s="37" t="s">
        <v>142</v>
      </c>
      <c r="N1037" s="37">
        <v>1128.7084557073169</v>
      </c>
      <c r="O1037" s="132">
        <f t="shared" si="80"/>
        <v>53149.594934253779</v>
      </c>
      <c r="P1037" s="134">
        <f t="shared" si="81"/>
        <v>41439.937005939071</v>
      </c>
      <c r="Q1037" s="261">
        <v>1</v>
      </c>
      <c r="R1037" s="94"/>
    </row>
    <row r="1038" spans="1:18" x14ac:dyDescent="0.25">
      <c r="A1038" s="367">
        <v>42815</v>
      </c>
      <c r="B1038" s="367" t="s">
        <v>279</v>
      </c>
      <c r="C1038" s="279" t="s">
        <v>605</v>
      </c>
      <c r="D1038" s="159" t="s">
        <v>1099</v>
      </c>
      <c r="E1038" s="45">
        <f t="shared" si="77"/>
        <v>42815</v>
      </c>
      <c r="F1038" s="148" t="str">
        <f t="shared" si="78"/>
        <v>2016-17</v>
      </c>
      <c r="G1038" s="1"/>
      <c r="H1038" s="163"/>
      <c r="I1038" s="37"/>
      <c r="J1038" s="138">
        <f t="shared" si="79"/>
        <v>0.77968490742404351</v>
      </c>
      <c r="K1038" s="114"/>
      <c r="L1038" s="37">
        <v>27.747654136000001</v>
      </c>
      <c r="M1038" s="37" t="s">
        <v>142</v>
      </c>
      <c r="N1038" s="37">
        <v>1128.7084557073169</v>
      </c>
      <c r="O1038" s="132">
        <f t="shared" si="80"/>
        <v>31319.011849345308</v>
      </c>
      <c r="P1038" s="134">
        <f t="shared" si="81"/>
        <v>24418.960854369318</v>
      </c>
      <c r="Q1038" s="261">
        <v>1</v>
      </c>
      <c r="R1038" s="94"/>
    </row>
    <row r="1039" spans="1:18" x14ac:dyDescent="0.25">
      <c r="A1039" s="367">
        <v>42815</v>
      </c>
      <c r="B1039" s="367" t="s">
        <v>279</v>
      </c>
      <c r="C1039" s="279" t="s">
        <v>605</v>
      </c>
      <c r="D1039" s="159" t="s">
        <v>1099</v>
      </c>
      <c r="E1039" s="45">
        <f t="shared" si="77"/>
        <v>42815</v>
      </c>
      <c r="F1039" s="148" t="str">
        <f t="shared" si="78"/>
        <v>2016-17</v>
      </c>
      <c r="G1039" s="1"/>
      <c r="H1039" s="163"/>
      <c r="I1039" s="37"/>
      <c r="J1039" s="138">
        <f t="shared" si="79"/>
        <v>0.77968490742404351</v>
      </c>
      <c r="K1039" s="114"/>
      <c r="L1039" s="37">
        <v>14.1798379169</v>
      </c>
      <c r="M1039" s="37" t="s">
        <v>142</v>
      </c>
      <c r="N1039" s="37">
        <v>771.6404230243902</v>
      </c>
      <c r="O1039" s="132">
        <f t="shared" si="80"/>
        <v>10941.736128614004</v>
      </c>
      <c r="P1039" s="134">
        <f t="shared" si="81"/>
        <v>8531.1065204967217</v>
      </c>
      <c r="Q1039" s="261">
        <v>1</v>
      </c>
      <c r="R1039" s="94"/>
    </row>
    <row r="1040" spans="1:18" x14ac:dyDescent="0.25">
      <c r="A1040" s="367">
        <v>42815</v>
      </c>
      <c r="B1040" s="367" t="s">
        <v>279</v>
      </c>
      <c r="C1040" s="279" t="s">
        <v>605</v>
      </c>
      <c r="D1040" s="159" t="s">
        <v>1099</v>
      </c>
      <c r="E1040" s="45">
        <f t="shared" si="77"/>
        <v>42815</v>
      </c>
      <c r="F1040" s="148" t="str">
        <f t="shared" si="78"/>
        <v>2016-17</v>
      </c>
      <c r="G1040" s="1"/>
      <c r="H1040" s="163"/>
      <c r="I1040" s="37"/>
      <c r="J1040" s="138">
        <f t="shared" si="79"/>
        <v>0.77968490742404351</v>
      </c>
      <c r="K1040" s="114"/>
      <c r="L1040" s="37">
        <v>15.014118594699999</v>
      </c>
      <c r="M1040" s="37" t="s">
        <v>142</v>
      </c>
      <c r="N1040" s="37">
        <v>771.6404230243902</v>
      </c>
      <c r="O1040" s="132">
        <f t="shared" si="80"/>
        <v>11585.500823752671</v>
      </c>
      <c r="P1040" s="134">
        <f t="shared" si="81"/>
        <v>9033.0401372287815</v>
      </c>
      <c r="Q1040" s="261">
        <v>1</v>
      </c>
      <c r="R1040" s="94"/>
    </row>
    <row r="1041" spans="1:18" x14ac:dyDescent="0.25">
      <c r="A1041" s="367">
        <v>42819</v>
      </c>
      <c r="B1041" s="367" t="s">
        <v>279</v>
      </c>
      <c r="C1041" s="279" t="s">
        <v>606</v>
      </c>
      <c r="D1041" s="159" t="s">
        <v>1099</v>
      </c>
      <c r="E1041" s="45">
        <f t="shared" si="77"/>
        <v>42819</v>
      </c>
      <c r="F1041" s="148" t="str">
        <f t="shared" si="78"/>
        <v>2016-17</v>
      </c>
      <c r="G1041" s="1"/>
      <c r="H1041" s="163"/>
      <c r="I1041" s="37"/>
      <c r="J1041" s="138">
        <f t="shared" si="79"/>
        <v>0.77968490742404351</v>
      </c>
      <c r="K1041" s="114"/>
      <c r="L1041" s="37">
        <v>60.0317616309</v>
      </c>
      <c r="M1041" s="37" t="s">
        <v>142</v>
      </c>
      <c r="N1041" s="37">
        <v>696.6467060487804</v>
      </c>
      <c r="O1041" s="132">
        <f t="shared" si="80"/>
        <v>41820.928998472045</v>
      </c>
      <c r="P1041" s="134">
        <f t="shared" si="81"/>
        <v>32607.147154561175</v>
      </c>
      <c r="Q1041" s="261">
        <v>1</v>
      </c>
      <c r="R1041" s="94"/>
    </row>
    <row r="1042" spans="1:18" x14ac:dyDescent="0.25">
      <c r="A1042" s="367">
        <v>40756</v>
      </c>
      <c r="B1042" s="367" t="s">
        <v>279</v>
      </c>
      <c r="C1042" s="279" t="s">
        <v>607</v>
      </c>
      <c r="D1042" s="159" t="s">
        <v>1100</v>
      </c>
      <c r="E1042" s="45">
        <f t="shared" si="77"/>
        <v>40756</v>
      </c>
      <c r="F1042" s="148" t="str">
        <f t="shared" si="78"/>
        <v>2011-12</v>
      </c>
      <c r="G1042" s="1"/>
      <c r="H1042" s="163"/>
      <c r="I1042" s="37"/>
      <c r="J1042" s="138">
        <f t="shared" si="79"/>
        <v>0.77968490742404351</v>
      </c>
      <c r="K1042" s="114"/>
      <c r="L1042" s="37">
        <v>17.3921972264</v>
      </c>
      <c r="M1042" s="37" t="s">
        <v>142</v>
      </c>
      <c r="N1042" s="37">
        <v>771.6404230243902</v>
      </c>
      <c r="O1042" s="132">
        <f t="shared" si="80"/>
        <v>13420.522425102923</v>
      </c>
      <c r="P1042" s="134">
        <f t="shared" si="81"/>
        <v>10463.778784598673</v>
      </c>
      <c r="Q1042" s="261">
        <v>1</v>
      </c>
      <c r="R1042" s="94"/>
    </row>
    <row r="1043" spans="1:18" x14ac:dyDescent="0.25">
      <c r="A1043" s="367">
        <v>40756</v>
      </c>
      <c r="B1043" s="367" t="s">
        <v>279</v>
      </c>
      <c r="C1043" s="279" t="s">
        <v>607</v>
      </c>
      <c r="D1043" s="159" t="s">
        <v>1100</v>
      </c>
      <c r="E1043" s="45">
        <f t="shared" si="77"/>
        <v>40756</v>
      </c>
      <c r="F1043" s="148" t="str">
        <f t="shared" si="78"/>
        <v>2011-12</v>
      </c>
      <c r="G1043" s="1"/>
      <c r="H1043" s="163"/>
      <c r="I1043" s="37"/>
      <c r="J1043" s="138">
        <f t="shared" si="79"/>
        <v>0.77968490742404351</v>
      </c>
      <c r="K1043" s="114"/>
      <c r="L1043" s="37">
        <v>51.9448216304</v>
      </c>
      <c r="M1043" s="37" t="s">
        <v>142</v>
      </c>
      <c r="N1043" s="37">
        <v>771.6404230243902</v>
      </c>
      <c r="O1043" s="132">
        <f t="shared" si="80"/>
        <v>40082.724136808349</v>
      </c>
      <c r="P1043" s="134">
        <f t="shared" si="81"/>
        <v>31251.895057910893</v>
      </c>
      <c r="Q1043" s="261">
        <v>1</v>
      </c>
      <c r="R1043" s="94"/>
    </row>
    <row r="1044" spans="1:18" x14ac:dyDescent="0.25">
      <c r="A1044" s="367">
        <v>41575</v>
      </c>
      <c r="B1044" s="367" t="s">
        <v>279</v>
      </c>
      <c r="C1044" s="279" t="s">
        <v>608</v>
      </c>
      <c r="D1044" s="159" t="s">
        <v>1101</v>
      </c>
      <c r="E1044" s="45">
        <f t="shared" si="77"/>
        <v>41575</v>
      </c>
      <c r="F1044" s="148" t="str">
        <f t="shared" si="78"/>
        <v>2013-14</v>
      </c>
      <c r="G1044" s="1"/>
      <c r="H1044" s="163"/>
      <c r="I1044" s="37"/>
      <c r="J1044" s="138">
        <f t="shared" si="79"/>
        <v>0.77968490742404351</v>
      </c>
      <c r="K1044" s="114"/>
      <c r="L1044" s="37">
        <v>3.3495113380700001</v>
      </c>
      <c r="M1044" s="37" t="s">
        <v>142</v>
      </c>
      <c r="N1044" s="37">
        <v>4005.4618141463416</v>
      </c>
      <c r="O1044" s="132">
        <f t="shared" si="80"/>
        <v>13416.339760689603</v>
      </c>
      <c r="P1044" s="134">
        <f t="shared" si="81"/>
        <v>10460.517624282787</v>
      </c>
      <c r="Q1044" s="261">
        <v>1</v>
      </c>
      <c r="R1044" s="94"/>
    </row>
    <row r="1045" spans="1:18" x14ac:dyDescent="0.25">
      <c r="A1045" s="367">
        <v>41575</v>
      </c>
      <c r="B1045" s="367" t="s">
        <v>279</v>
      </c>
      <c r="C1045" s="279" t="s">
        <v>608</v>
      </c>
      <c r="D1045" s="159" t="s">
        <v>1101</v>
      </c>
      <c r="E1045" s="45">
        <f t="shared" si="77"/>
        <v>41575</v>
      </c>
      <c r="F1045" s="148" t="str">
        <f t="shared" si="78"/>
        <v>2013-14</v>
      </c>
      <c r="G1045" s="1"/>
      <c r="H1045" s="163"/>
      <c r="I1045" s="37"/>
      <c r="J1045" s="138">
        <f t="shared" si="79"/>
        <v>0.77968490742404351</v>
      </c>
      <c r="K1045" s="114"/>
      <c r="L1045" s="37">
        <v>3.3493421814</v>
      </c>
      <c r="M1045" s="37" t="s">
        <v>142</v>
      </c>
      <c r="N1045" s="37">
        <v>4005.4618141463416</v>
      </c>
      <c r="O1045" s="132">
        <f t="shared" si="80"/>
        <v>13415.662210107308</v>
      </c>
      <c r="P1045" s="134">
        <f t="shared" si="81"/>
        <v>10459.989348319756</v>
      </c>
      <c r="Q1045" s="261">
        <v>1</v>
      </c>
      <c r="R1045" s="94"/>
    </row>
    <row r="1046" spans="1:18" x14ac:dyDescent="0.25">
      <c r="A1046" s="367">
        <v>41575</v>
      </c>
      <c r="B1046" s="367" t="s">
        <v>279</v>
      </c>
      <c r="C1046" s="279" t="s">
        <v>609</v>
      </c>
      <c r="D1046" s="159" t="s">
        <v>1101</v>
      </c>
      <c r="E1046" s="45">
        <f t="shared" si="77"/>
        <v>41575</v>
      </c>
      <c r="F1046" s="148" t="str">
        <f t="shared" si="78"/>
        <v>2013-14</v>
      </c>
      <c r="G1046" s="1"/>
      <c r="H1046" s="163"/>
      <c r="I1046" s="37"/>
      <c r="J1046" s="138">
        <f t="shared" si="79"/>
        <v>0.77968490742404351</v>
      </c>
      <c r="K1046" s="114"/>
      <c r="L1046" s="37">
        <v>3.3865350366500002</v>
      </c>
      <c r="M1046" s="37" t="s">
        <v>142</v>
      </c>
      <c r="N1046" s="37">
        <v>4005.4618141463416</v>
      </c>
      <c r="O1046" s="132">
        <f t="shared" si="80"/>
        <v>13564.636771570256</v>
      </c>
      <c r="P1046" s="134">
        <f t="shared" si="81"/>
        <v>10576.142565482533</v>
      </c>
      <c r="Q1046" s="261">
        <v>1</v>
      </c>
      <c r="R1046" s="94"/>
    </row>
    <row r="1047" spans="1:18" x14ac:dyDescent="0.25">
      <c r="A1047" s="367">
        <v>39376</v>
      </c>
      <c r="B1047" s="367" t="s">
        <v>279</v>
      </c>
      <c r="C1047" s="279" t="s">
        <v>610</v>
      </c>
      <c r="D1047" s="159" t="s">
        <v>1102</v>
      </c>
      <c r="E1047" s="45">
        <f t="shared" ref="E1047:E1110" si="82">IF(A1047&lt;2022,DATEVALUE("30 Jun "&amp;A1047),A1047)</f>
        <v>39376</v>
      </c>
      <c r="F1047" s="148" t="str">
        <f t="shared" si="78"/>
        <v>2007-08</v>
      </c>
      <c r="G1047" s="1"/>
      <c r="H1047" s="163"/>
      <c r="I1047" s="37"/>
      <c r="J1047" s="138">
        <f t="shared" si="79"/>
        <v>0.77968490742404351</v>
      </c>
      <c r="K1047" s="114"/>
      <c r="L1047" s="37">
        <v>188.223199139</v>
      </c>
      <c r="M1047" s="37" t="s">
        <v>142</v>
      </c>
      <c r="N1047" s="37">
        <v>1385.4167692682922</v>
      </c>
      <c r="O1047" s="132">
        <f t="shared" si="80"/>
        <v>260767.57645249579</v>
      </c>
      <c r="P1047" s="134">
        <f t="shared" si="81"/>
        <v>203316.54370555637</v>
      </c>
      <c r="Q1047" s="261">
        <v>1</v>
      </c>
      <c r="R1047" s="94"/>
    </row>
    <row r="1048" spans="1:18" x14ac:dyDescent="0.25">
      <c r="A1048" s="367">
        <v>39376</v>
      </c>
      <c r="B1048" s="367" t="s">
        <v>279</v>
      </c>
      <c r="C1048" s="279" t="s">
        <v>610</v>
      </c>
      <c r="D1048" s="159" t="s">
        <v>1102</v>
      </c>
      <c r="E1048" s="45">
        <f t="shared" si="82"/>
        <v>39376</v>
      </c>
      <c r="F1048" s="148" t="str">
        <f t="shared" ref="F1048:F1111" si="83">IF(E1048="","-",IF(OR(E1048&lt;$E$15,E1048&gt;$E$16),"ERROR - date outside of range",IF(MONTH(E1048)&gt;=7,YEAR(E1048)&amp;"-"&amp;IF(YEAR(E1048)=1999,"00",IF(AND(YEAR(E1048)&gt;=2000,YEAR(E1048)&lt;2009),"0","")&amp;RIGHT(YEAR(E1048),2)+1),RIGHT(YEAR(E1048),4)-1&amp;"-"&amp;RIGHT(YEAR(E1048),2))))</f>
        <v>2007-08</v>
      </c>
      <c r="G1048" s="1"/>
      <c r="H1048" s="163"/>
      <c r="I1048" s="37"/>
      <c r="J1048" s="138">
        <f t="shared" ref="J1048:J1111" si="84">J1047</f>
        <v>0.77968490742404351</v>
      </c>
      <c r="K1048" s="114"/>
      <c r="L1048" s="37">
        <v>37.170632321500001</v>
      </c>
      <c r="M1048" s="37" t="s">
        <v>142</v>
      </c>
      <c r="N1048" s="37">
        <v>1385.4167692682922</v>
      </c>
      <c r="O1048" s="132">
        <f t="shared" si="80"/>
        <v>51496.817342512091</v>
      </c>
      <c r="P1048" s="134">
        <f t="shared" si="81"/>
        <v>40151.291262329418</v>
      </c>
      <c r="Q1048" s="261">
        <v>1</v>
      </c>
      <c r="R1048" s="94"/>
    </row>
    <row r="1049" spans="1:18" x14ac:dyDescent="0.25">
      <c r="A1049" s="367">
        <v>39376</v>
      </c>
      <c r="B1049" s="367" t="s">
        <v>279</v>
      </c>
      <c r="C1049" s="279" t="s">
        <v>610</v>
      </c>
      <c r="D1049" s="159" t="s">
        <v>1102</v>
      </c>
      <c r="E1049" s="45">
        <f t="shared" si="82"/>
        <v>39376</v>
      </c>
      <c r="F1049" s="148" t="str">
        <f t="shared" si="83"/>
        <v>2007-08</v>
      </c>
      <c r="G1049" s="1"/>
      <c r="H1049" s="163"/>
      <c r="I1049" s="37"/>
      <c r="J1049" s="138">
        <f t="shared" si="84"/>
        <v>0.77968490742404351</v>
      </c>
      <c r="K1049" s="114"/>
      <c r="L1049" s="37">
        <v>3.9989221450499999</v>
      </c>
      <c r="M1049" s="37" t="s">
        <v>142</v>
      </c>
      <c r="N1049" s="37">
        <v>936.5640883902438</v>
      </c>
      <c r="O1049" s="132">
        <f t="shared" si="80"/>
        <v>3745.2468733223113</v>
      </c>
      <c r="P1049" s="134">
        <f t="shared" si="81"/>
        <v>2920.1124617064947</v>
      </c>
      <c r="Q1049" s="261">
        <v>1</v>
      </c>
      <c r="R1049" s="94"/>
    </row>
    <row r="1050" spans="1:18" x14ac:dyDescent="0.25">
      <c r="A1050" s="367">
        <v>39486</v>
      </c>
      <c r="B1050" s="367" t="s">
        <v>279</v>
      </c>
      <c r="C1050" s="279" t="s">
        <v>611</v>
      </c>
      <c r="D1050" s="159" t="s">
        <v>1102</v>
      </c>
      <c r="E1050" s="45">
        <f t="shared" si="82"/>
        <v>39486</v>
      </c>
      <c r="F1050" s="148" t="str">
        <f t="shared" si="83"/>
        <v>2007-08</v>
      </c>
      <c r="G1050" s="1"/>
      <c r="H1050" s="163"/>
      <c r="I1050" s="37"/>
      <c r="J1050" s="138">
        <f t="shared" si="84"/>
        <v>0.77968490742404351</v>
      </c>
      <c r="K1050" s="114"/>
      <c r="L1050" s="37">
        <v>4.5027916896100004</v>
      </c>
      <c r="M1050" s="37" t="s">
        <v>142</v>
      </c>
      <c r="N1050" s="37">
        <v>1003.0093919999996</v>
      </c>
      <c r="O1050" s="132">
        <f t="shared" si="80"/>
        <v>4516.3423548983774</v>
      </c>
      <c r="P1050" s="134">
        <f t="shared" si="81"/>
        <v>3521.3239708742281</v>
      </c>
      <c r="Q1050" s="261">
        <v>1</v>
      </c>
      <c r="R1050" s="94"/>
    </row>
    <row r="1051" spans="1:18" x14ac:dyDescent="0.25">
      <c r="A1051" s="367">
        <v>39486</v>
      </c>
      <c r="B1051" s="367" t="s">
        <v>279</v>
      </c>
      <c r="C1051" s="279" t="s">
        <v>611</v>
      </c>
      <c r="D1051" s="159" t="s">
        <v>1102</v>
      </c>
      <c r="E1051" s="45">
        <f t="shared" si="82"/>
        <v>39486</v>
      </c>
      <c r="F1051" s="148" t="str">
        <f t="shared" si="83"/>
        <v>2007-08</v>
      </c>
      <c r="G1051" s="1"/>
      <c r="H1051" s="163"/>
      <c r="I1051" s="37"/>
      <c r="J1051" s="138">
        <f t="shared" si="84"/>
        <v>0.77968490742404351</v>
      </c>
      <c r="K1051" s="114"/>
      <c r="L1051" s="37">
        <v>124.918628662</v>
      </c>
      <c r="M1051" s="37" t="s">
        <v>142</v>
      </c>
      <c r="N1051" s="37">
        <v>1128.7084557073169</v>
      </c>
      <c r="O1051" s="132">
        <f t="shared" si="80"/>
        <v>140996.71244616181</v>
      </c>
      <c r="P1051" s="134">
        <f t="shared" si="81"/>
        <v>109933.00869068016</v>
      </c>
      <c r="Q1051" s="261">
        <v>1</v>
      </c>
      <c r="R1051" s="94"/>
    </row>
    <row r="1052" spans="1:18" x14ac:dyDescent="0.25">
      <c r="A1052" s="367">
        <v>39486</v>
      </c>
      <c r="B1052" s="367" t="s">
        <v>279</v>
      </c>
      <c r="C1052" s="279" t="s">
        <v>611</v>
      </c>
      <c r="D1052" s="159" t="s">
        <v>1102</v>
      </c>
      <c r="E1052" s="45">
        <f t="shared" si="82"/>
        <v>39486</v>
      </c>
      <c r="F1052" s="148" t="str">
        <f t="shared" si="83"/>
        <v>2007-08</v>
      </c>
      <c r="G1052" s="1"/>
      <c r="H1052" s="163"/>
      <c r="I1052" s="37"/>
      <c r="J1052" s="138">
        <f t="shared" si="84"/>
        <v>0.77968490742404351</v>
      </c>
      <c r="K1052" s="114"/>
      <c r="L1052" s="37">
        <v>1.99956820339</v>
      </c>
      <c r="M1052" s="37" t="s">
        <v>142</v>
      </c>
      <c r="N1052" s="37">
        <v>1128.7084557073169</v>
      </c>
      <c r="O1052" s="132">
        <f t="shared" si="80"/>
        <v>2256.9295389297813</v>
      </c>
      <c r="P1052" s="134">
        <f t="shared" si="81"/>
        <v>1759.6938986230557</v>
      </c>
      <c r="Q1052" s="261">
        <v>1</v>
      </c>
      <c r="R1052" s="94"/>
    </row>
    <row r="1053" spans="1:18" x14ac:dyDescent="0.25">
      <c r="A1053" s="367">
        <v>43789</v>
      </c>
      <c r="B1053" s="367" t="s">
        <v>279</v>
      </c>
      <c r="C1053" s="279" t="s">
        <v>612</v>
      </c>
      <c r="D1053" s="159" t="s">
        <v>1103</v>
      </c>
      <c r="E1053" s="45">
        <f t="shared" si="82"/>
        <v>43789</v>
      </c>
      <c r="F1053" s="148" t="str">
        <f t="shared" si="83"/>
        <v>2019-20</v>
      </c>
      <c r="G1053" s="1"/>
      <c r="H1053" s="163"/>
      <c r="I1053" s="37"/>
      <c r="J1053" s="138">
        <f t="shared" si="84"/>
        <v>0.77968490742404351</v>
      </c>
      <c r="K1053" s="114"/>
      <c r="L1053" s="37">
        <v>348.41870308900002</v>
      </c>
      <c r="M1053" s="37" t="s">
        <v>142</v>
      </c>
      <c r="N1053" s="37">
        <v>936.5640883902438</v>
      </c>
      <c r="O1053" s="132">
        <f t="shared" si="80"/>
        <v>326316.4450366603</v>
      </c>
      <c r="P1053" s="134">
        <f t="shared" si="81"/>
        <v>254424.00723935146</v>
      </c>
      <c r="Q1053" s="261">
        <v>1</v>
      </c>
      <c r="R1053" s="94"/>
    </row>
    <row r="1054" spans="1:18" x14ac:dyDescent="0.25">
      <c r="A1054" s="367">
        <v>43789</v>
      </c>
      <c r="B1054" s="367" t="s">
        <v>279</v>
      </c>
      <c r="C1054" s="279" t="s">
        <v>612</v>
      </c>
      <c r="D1054" s="159" t="s">
        <v>1103</v>
      </c>
      <c r="E1054" s="45">
        <f t="shared" si="82"/>
        <v>43789</v>
      </c>
      <c r="F1054" s="148" t="str">
        <f t="shared" si="83"/>
        <v>2019-20</v>
      </c>
      <c r="G1054" s="1"/>
      <c r="H1054" s="163"/>
      <c r="I1054" s="37"/>
      <c r="J1054" s="138">
        <f t="shared" si="84"/>
        <v>0.77968490742404351</v>
      </c>
      <c r="K1054" s="114"/>
      <c r="L1054" s="37">
        <v>5.76086233852</v>
      </c>
      <c r="M1054" s="37" t="s">
        <v>142</v>
      </c>
      <c r="N1054" s="37">
        <v>936.5640883902438</v>
      </c>
      <c r="O1054" s="132">
        <f t="shared" ref="O1054:O1117" si="85">IF(N1054="","-",L1054*N1054)</f>
        <v>5395.4167844176718</v>
      </c>
      <c r="P1054" s="134">
        <f t="shared" ref="P1054:P1117" si="86">IF(O1054="-","-",IF(OR(E1054&lt;$E$15,E1054&gt;$E$16),0,O1054*J1054))*Q1054</f>
        <v>4206.7250360728231</v>
      </c>
      <c r="Q1054" s="261">
        <v>1</v>
      </c>
      <c r="R1054" s="94"/>
    </row>
    <row r="1055" spans="1:18" x14ac:dyDescent="0.25">
      <c r="A1055" s="367">
        <v>43789</v>
      </c>
      <c r="B1055" s="367" t="s">
        <v>279</v>
      </c>
      <c r="C1055" s="279" t="s">
        <v>612</v>
      </c>
      <c r="D1055" s="159" t="s">
        <v>1103</v>
      </c>
      <c r="E1055" s="45">
        <f t="shared" si="82"/>
        <v>43789</v>
      </c>
      <c r="F1055" s="148" t="str">
        <f t="shared" si="83"/>
        <v>2019-20</v>
      </c>
      <c r="G1055" s="1"/>
      <c r="H1055" s="163"/>
      <c r="I1055" s="37"/>
      <c r="J1055" s="138">
        <f t="shared" si="84"/>
        <v>0.77968490742404351</v>
      </c>
      <c r="K1055" s="114"/>
      <c r="L1055" s="37">
        <v>28.985688616800001</v>
      </c>
      <c r="M1055" s="37" t="s">
        <v>142</v>
      </c>
      <c r="N1055" s="37">
        <v>1272.2340968780488</v>
      </c>
      <c r="O1055" s="132">
        <f t="shared" si="85"/>
        <v>36876.581379782889</v>
      </c>
      <c r="P1055" s="134">
        <f t="shared" si="86"/>
        <v>28752.113939211227</v>
      </c>
      <c r="Q1055" s="261">
        <v>1</v>
      </c>
      <c r="R1055" s="94"/>
    </row>
    <row r="1056" spans="1:18" x14ac:dyDescent="0.25">
      <c r="A1056" s="367">
        <v>43789</v>
      </c>
      <c r="B1056" s="367" t="s">
        <v>279</v>
      </c>
      <c r="C1056" s="279" t="s">
        <v>612</v>
      </c>
      <c r="D1056" s="159" t="s">
        <v>1103</v>
      </c>
      <c r="E1056" s="45">
        <f t="shared" si="82"/>
        <v>43789</v>
      </c>
      <c r="F1056" s="148" t="str">
        <f t="shared" si="83"/>
        <v>2019-20</v>
      </c>
      <c r="G1056" s="1"/>
      <c r="H1056" s="163"/>
      <c r="I1056" s="37"/>
      <c r="J1056" s="138">
        <f t="shared" si="84"/>
        <v>0.77968490742404351</v>
      </c>
      <c r="K1056" s="114"/>
      <c r="L1056" s="37">
        <v>17.988633824000001</v>
      </c>
      <c r="M1056" s="37" t="s">
        <v>142</v>
      </c>
      <c r="N1056" s="37">
        <v>936.5640883902438</v>
      </c>
      <c r="O1056" s="132">
        <f t="shared" si="85"/>
        <v>16847.508438760466</v>
      </c>
      <c r="P1056" s="134">
        <f t="shared" si="86"/>
        <v>13135.748057400746</v>
      </c>
      <c r="Q1056" s="261">
        <v>1</v>
      </c>
      <c r="R1056" s="94"/>
    </row>
    <row r="1057" spans="1:18" x14ac:dyDescent="0.25">
      <c r="A1057" s="367">
        <v>43789</v>
      </c>
      <c r="B1057" s="367" t="s">
        <v>279</v>
      </c>
      <c r="C1057" s="279" t="s">
        <v>612</v>
      </c>
      <c r="D1057" s="159" t="s">
        <v>1103</v>
      </c>
      <c r="E1057" s="45">
        <f t="shared" si="82"/>
        <v>43789</v>
      </c>
      <c r="F1057" s="148" t="str">
        <f t="shared" si="83"/>
        <v>2019-20</v>
      </c>
      <c r="G1057" s="1"/>
      <c r="H1057" s="163"/>
      <c r="I1057" s="37"/>
      <c r="J1057" s="138">
        <f t="shared" si="84"/>
        <v>0.77968490742404351</v>
      </c>
      <c r="K1057" s="114"/>
      <c r="L1057" s="37">
        <v>14.220757754499999</v>
      </c>
      <c r="M1057" s="37" t="s">
        <v>142</v>
      </c>
      <c r="N1057" s="37">
        <v>936.5640883902438</v>
      </c>
      <c r="O1057" s="132">
        <f t="shared" si="85"/>
        <v>13318.651022561782</v>
      </c>
      <c r="P1057" s="134">
        <f t="shared" si="86"/>
        <v>10384.351189539226</v>
      </c>
      <c r="Q1057" s="261">
        <v>1</v>
      </c>
      <c r="R1057" s="94"/>
    </row>
    <row r="1058" spans="1:18" x14ac:dyDescent="0.25">
      <c r="A1058" s="367">
        <v>43789</v>
      </c>
      <c r="B1058" s="367" t="s">
        <v>279</v>
      </c>
      <c r="C1058" s="279" t="s">
        <v>612</v>
      </c>
      <c r="D1058" s="159" t="s">
        <v>1103</v>
      </c>
      <c r="E1058" s="45">
        <f t="shared" si="82"/>
        <v>43789</v>
      </c>
      <c r="F1058" s="148" t="str">
        <f t="shared" si="83"/>
        <v>2019-20</v>
      </c>
      <c r="G1058" s="1"/>
      <c r="H1058" s="163"/>
      <c r="I1058" s="37"/>
      <c r="J1058" s="138">
        <f t="shared" si="84"/>
        <v>0.77968490742404351</v>
      </c>
      <c r="K1058" s="114"/>
      <c r="L1058" s="37">
        <v>1.62401593712</v>
      </c>
      <c r="M1058" s="37" t="s">
        <v>142</v>
      </c>
      <c r="N1058" s="37">
        <v>936.5640883902438</v>
      </c>
      <c r="O1058" s="132">
        <f t="shared" si="85"/>
        <v>1520.9950056800203</v>
      </c>
      <c r="P1058" s="134">
        <f t="shared" si="86"/>
        <v>1185.8968501960592</v>
      </c>
      <c r="Q1058" s="261">
        <v>1</v>
      </c>
      <c r="R1058" s="94"/>
    </row>
    <row r="1059" spans="1:18" x14ac:dyDescent="0.25">
      <c r="A1059" s="367">
        <v>43549</v>
      </c>
      <c r="B1059" s="367" t="s">
        <v>279</v>
      </c>
      <c r="C1059" s="279" t="s">
        <v>301</v>
      </c>
      <c r="D1059" s="159" t="s">
        <v>1104</v>
      </c>
      <c r="E1059" s="45">
        <f t="shared" si="82"/>
        <v>43549</v>
      </c>
      <c r="F1059" s="148" t="str">
        <f t="shared" si="83"/>
        <v>2018-19</v>
      </c>
      <c r="G1059" s="1"/>
      <c r="H1059" s="163"/>
      <c r="I1059" s="37"/>
      <c r="J1059" s="138">
        <f t="shared" si="84"/>
        <v>0.77968490742404351</v>
      </c>
      <c r="K1059" s="114"/>
      <c r="L1059" s="37">
        <v>2.4299769546199999</v>
      </c>
      <c r="M1059" s="37" t="s">
        <v>142</v>
      </c>
      <c r="N1059" s="37">
        <v>1128.7084557073169</v>
      </c>
      <c r="O1059" s="132">
        <f t="shared" si="85"/>
        <v>2742.7355358535092</v>
      </c>
      <c r="P1059" s="134">
        <f t="shared" si="86"/>
        <v>2138.4695023605777</v>
      </c>
      <c r="Q1059" s="261">
        <v>1</v>
      </c>
      <c r="R1059" s="94"/>
    </row>
    <row r="1060" spans="1:18" x14ac:dyDescent="0.25">
      <c r="A1060" s="367">
        <v>38808</v>
      </c>
      <c r="B1060" s="367" t="s">
        <v>279</v>
      </c>
      <c r="C1060" s="279"/>
      <c r="D1060" s="159" t="s">
        <v>1105</v>
      </c>
      <c r="E1060" s="45">
        <f t="shared" si="82"/>
        <v>38808</v>
      </c>
      <c r="F1060" s="148" t="str">
        <f t="shared" si="83"/>
        <v>2005-06</v>
      </c>
      <c r="G1060" s="1"/>
      <c r="H1060" s="163"/>
      <c r="I1060" s="37"/>
      <c r="J1060" s="138">
        <f t="shared" si="84"/>
        <v>0.77968490742404351</v>
      </c>
      <c r="K1060" s="114"/>
      <c r="L1060" s="37">
        <v>1.99969297643</v>
      </c>
      <c r="M1060" s="37" t="s">
        <v>142</v>
      </c>
      <c r="N1060" s="37">
        <v>3100.7755036097556</v>
      </c>
      <c r="O1060" s="132">
        <f t="shared" si="85"/>
        <v>6200.598996054624</v>
      </c>
      <c r="P1060" s="134">
        <f t="shared" si="86"/>
        <v>4834.513454212467</v>
      </c>
      <c r="Q1060" s="261">
        <v>1</v>
      </c>
      <c r="R1060" s="94"/>
    </row>
    <row r="1061" spans="1:18" x14ac:dyDescent="0.25">
      <c r="A1061" s="367">
        <v>38808</v>
      </c>
      <c r="B1061" s="367" t="s">
        <v>279</v>
      </c>
      <c r="C1061" s="279"/>
      <c r="D1061" s="159" t="s">
        <v>1105</v>
      </c>
      <c r="E1061" s="45">
        <f t="shared" si="82"/>
        <v>38808</v>
      </c>
      <c r="F1061" s="148" t="str">
        <f t="shared" si="83"/>
        <v>2005-06</v>
      </c>
      <c r="G1061" s="1"/>
      <c r="H1061" s="163"/>
      <c r="I1061" s="37"/>
      <c r="J1061" s="138">
        <f t="shared" si="84"/>
        <v>0.77968490742404351</v>
      </c>
      <c r="K1061" s="114"/>
      <c r="L1061" s="37">
        <v>0.99934878796100002</v>
      </c>
      <c r="M1061" s="37" t="s">
        <v>142</v>
      </c>
      <c r="N1061" s="37">
        <v>3100.7755036097556</v>
      </c>
      <c r="O1061" s="132">
        <f t="shared" si="85"/>
        <v>3098.7562412715688</v>
      </c>
      <c r="P1061" s="134">
        <f t="shared" si="86"/>
        <v>2416.0534731055</v>
      </c>
      <c r="Q1061" s="261">
        <v>1</v>
      </c>
      <c r="R1061" s="94"/>
    </row>
    <row r="1062" spans="1:18" x14ac:dyDescent="0.25">
      <c r="A1062" s="367">
        <v>40479</v>
      </c>
      <c r="B1062" s="367" t="s">
        <v>279</v>
      </c>
      <c r="C1062" s="279" t="s">
        <v>613</v>
      </c>
      <c r="D1062" s="159" t="s">
        <v>1106</v>
      </c>
      <c r="E1062" s="45">
        <f t="shared" si="82"/>
        <v>40479</v>
      </c>
      <c r="F1062" s="148" t="str">
        <f t="shared" si="83"/>
        <v>2010-11</v>
      </c>
      <c r="G1062" s="1"/>
      <c r="H1062" s="163"/>
      <c r="I1062" s="37"/>
      <c r="J1062" s="138">
        <f t="shared" si="84"/>
        <v>0.77968490742404351</v>
      </c>
      <c r="K1062" s="114"/>
      <c r="L1062" s="37">
        <v>8.3471514701499991</v>
      </c>
      <c r="M1062" s="37" t="s">
        <v>142</v>
      </c>
      <c r="N1062" s="37">
        <v>696.6467060487804</v>
      </c>
      <c r="O1062" s="132">
        <f t="shared" si="85"/>
        <v>5815.015576570232</v>
      </c>
      <c r="P1062" s="134">
        <f t="shared" si="86"/>
        <v>4533.8798814875327</v>
      </c>
      <c r="Q1062" s="261">
        <v>1</v>
      </c>
      <c r="R1062" s="94"/>
    </row>
    <row r="1063" spans="1:18" x14ac:dyDescent="0.25">
      <c r="A1063" s="367">
        <v>40479</v>
      </c>
      <c r="B1063" s="367" t="s">
        <v>279</v>
      </c>
      <c r="C1063" s="279" t="s">
        <v>613</v>
      </c>
      <c r="D1063" s="159" t="s">
        <v>1106</v>
      </c>
      <c r="E1063" s="45">
        <f t="shared" si="82"/>
        <v>40479</v>
      </c>
      <c r="F1063" s="148" t="str">
        <f t="shared" si="83"/>
        <v>2010-11</v>
      </c>
      <c r="G1063" s="1"/>
      <c r="H1063" s="163"/>
      <c r="I1063" s="37"/>
      <c r="J1063" s="138">
        <f t="shared" si="84"/>
        <v>0.77968490742404351</v>
      </c>
      <c r="K1063" s="114"/>
      <c r="L1063" s="37">
        <v>36.927952949000002</v>
      </c>
      <c r="M1063" s="37" t="s">
        <v>142</v>
      </c>
      <c r="N1063" s="37">
        <v>1128.7084557073169</v>
      </c>
      <c r="O1063" s="132">
        <f t="shared" si="85"/>
        <v>41680.892745498255</v>
      </c>
      <c r="P1063" s="134">
        <f t="shared" si="86"/>
        <v>32497.963001625292</v>
      </c>
      <c r="Q1063" s="261">
        <v>1</v>
      </c>
      <c r="R1063" s="94"/>
    </row>
    <row r="1064" spans="1:18" x14ac:dyDescent="0.25">
      <c r="A1064" s="367">
        <v>40479</v>
      </c>
      <c r="B1064" s="367" t="s">
        <v>279</v>
      </c>
      <c r="C1064" s="279" t="s">
        <v>613</v>
      </c>
      <c r="D1064" s="159" t="s">
        <v>1106</v>
      </c>
      <c r="E1064" s="45">
        <f t="shared" si="82"/>
        <v>40479</v>
      </c>
      <c r="F1064" s="148" t="str">
        <f t="shared" si="83"/>
        <v>2010-11</v>
      </c>
      <c r="G1064" s="1"/>
      <c r="H1064" s="163"/>
      <c r="I1064" s="37"/>
      <c r="J1064" s="138">
        <f t="shared" si="84"/>
        <v>0.77968490742404351</v>
      </c>
      <c r="K1064" s="114"/>
      <c r="L1064" s="37">
        <v>17.450604949199999</v>
      </c>
      <c r="M1064" s="37" t="s">
        <v>142</v>
      </c>
      <c r="N1064" s="37">
        <v>696.6467060487804</v>
      </c>
      <c r="O1064" s="132">
        <f t="shared" si="85"/>
        <v>12156.906456418725</v>
      </c>
      <c r="P1064" s="134">
        <f t="shared" si="86"/>
        <v>9478.5564850355895</v>
      </c>
      <c r="Q1064" s="261">
        <v>1</v>
      </c>
      <c r="R1064" s="94"/>
    </row>
    <row r="1065" spans="1:18" x14ac:dyDescent="0.25">
      <c r="A1065" s="367">
        <v>40479</v>
      </c>
      <c r="B1065" s="367" t="s">
        <v>279</v>
      </c>
      <c r="C1065" s="279" t="s">
        <v>613</v>
      </c>
      <c r="D1065" s="159" t="s">
        <v>1106</v>
      </c>
      <c r="E1065" s="45">
        <f t="shared" si="82"/>
        <v>40479</v>
      </c>
      <c r="F1065" s="148" t="str">
        <f t="shared" si="83"/>
        <v>2010-11</v>
      </c>
      <c r="G1065" s="1"/>
      <c r="H1065" s="163"/>
      <c r="I1065" s="37"/>
      <c r="J1065" s="138">
        <f t="shared" si="84"/>
        <v>0.77968490742404351</v>
      </c>
      <c r="K1065" s="114"/>
      <c r="L1065" s="37">
        <v>2.3998535371999998</v>
      </c>
      <c r="M1065" s="37" t="s">
        <v>142</v>
      </c>
      <c r="N1065" s="37">
        <v>1128.7084557073169</v>
      </c>
      <c r="O1065" s="132">
        <f t="shared" si="85"/>
        <v>2708.7349798967539</v>
      </c>
      <c r="P1065" s="134">
        <f t="shared" si="86"/>
        <v>2111.9597820370691</v>
      </c>
      <c r="Q1065" s="261">
        <v>1</v>
      </c>
      <c r="R1065" s="94"/>
    </row>
    <row r="1066" spans="1:18" x14ac:dyDescent="0.25">
      <c r="A1066" s="367">
        <v>40479</v>
      </c>
      <c r="B1066" s="367" t="s">
        <v>279</v>
      </c>
      <c r="C1066" s="279" t="s">
        <v>613</v>
      </c>
      <c r="D1066" s="159" t="s">
        <v>1106</v>
      </c>
      <c r="E1066" s="45">
        <f t="shared" si="82"/>
        <v>40479</v>
      </c>
      <c r="F1066" s="148" t="str">
        <f t="shared" si="83"/>
        <v>2010-11</v>
      </c>
      <c r="G1066" s="1"/>
      <c r="H1066" s="163"/>
      <c r="I1066" s="37"/>
      <c r="J1066" s="138">
        <f t="shared" si="84"/>
        <v>0.77968490742404351</v>
      </c>
      <c r="K1066" s="114"/>
      <c r="L1066" s="37">
        <v>0.99931276385300005</v>
      </c>
      <c r="M1066" s="37" t="s">
        <v>142</v>
      </c>
      <c r="N1066" s="37">
        <v>771.6404230243902</v>
      </c>
      <c r="O1066" s="132">
        <f t="shared" si="85"/>
        <v>771.11012383320156</v>
      </c>
      <c r="P1066" s="134">
        <f t="shared" si="86"/>
        <v>601.22292551463249</v>
      </c>
      <c r="Q1066" s="261">
        <v>1</v>
      </c>
      <c r="R1066" s="94"/>
    </row>
    <row r="1067" spans="1:18" x14ac:dyDescent="0.25">
      <c r="A1067" s="367">
        <v>40479</v>
      </c>
      <c r="B1067" s="367" t="s">
        <v>279</v>
      </c>
      <c r="C1067" s="279" t="s">
        <v>613</v>
      </c>
      <c r="D1067" s="159" t="s">
        <v>1106</v>
      </c>
      <c r="E1067" s="45">
        <f t="shared" si="82"/>
        <v>40479</v>
      </c>
      <c r="F1067" s="148" t="str">
        <f t="shared" si="83"/>
        <v>2010-11</v>
      </c>
      <c r="G1067" s="1"/>
      <c r="H1067" s="163"/>
      <c r="I1067" s="37"/>
      <c r="J1067" s="138">
        <f t="shared" si="84"/>
        <v>0.77968490742404351</v>
      </c>
      <c r="K1067" s="114"/>
      <c r="L1067" s="37">
        <v>1.29969304068</v>
      </c>
      <c r="M1067" s="37" t="s">
        <v>142</v>
      </c>
      <c r="N1067" s="37">
        <v>771.6404230243902</v>
      </c>
      <c r="O1067" s="132">
        <f t="shared" si="85"/>
        <v>1002.8956877121713</v>
      </c>
      <c r="P1067" s="134">
        <f t="shared" si="86"/>
        <v>781.94263142983664</v>
      </c>
      <c r="Q1067" s="261">
        <v>1</v>
      </c>
      <c r="R1067" s="94"/>
    </row>
    <row r="1068" spans="1:18" x14ac:dyDescent="0.25">
      <c r="A1068" s="367">
        <v>40479</v>
      </c>
      <c r="B1068" s="367" t="s">
        <v>279</v>
      </c>
      <c r="C1068" s="279" t="s">
        <v>613</v>
      </c>
      <c r="D1068" s="159" t="s">
        <v>1106</v>
      </c>
      <c r="E1068" s="45">
        <f t="shared" si="82"/>
        <v>40479</v>
      </c>
      <c r="F1068" s="148" t="str">
        <f t="shared" si="83"/>
        <v>2010-11</v>
      </c>
      <c r="G1068" s="1"/>
      <c r="H1068" s="163"/>
      <c r="I1068" s="37"/>
      <c r="J1068" s="138">
        <f t="shared" si="84"/>
        <v>0.77968490742404351</v>
      </c>
      <c r="K1068" s="114"/>
      <c r="L1068" s="37">
        <v>2.9991271315599999</v>
      </c>
      <c r="M1068" s="37" t="s">
        <v>142</v>
      </c>
      <c r="N1068" s="37">
        <v>1128.7084557073169</v>
      </c>
      <c r="O1068" s="132">
        <f t="shared" si="85"/>
        <v>3385.1401531330025</v>
      </c>
      <c r="P1068" s="134">
        <f t="shared" si="86"/>
        <v>2639.3426869129175</v>
      </c>
      <c r="Q1068" s="261">
        <v>1</v>
      </c>
      <c r="R1068" s="94"/>
    </row>
    <row r="1069" spans="1:18" x14ac:dyDescent="0.25">
      <c r="A1069" s="367">
        <v>40845</v>
      </c>
      <c r="B1069" s="367" t="s">
        <v>279</v>
      </c>
      <c r="C1069" s="279" t="s">
        <v>614</v>
      </c>
      <c r="D1069" s="159" t="s">
        <v>1107</v>
      </c>
      <c r="E1069" s="45">
        <f t="shared" si="82"/>
        <v>40845</v>
      </c>
      <c r="F1069" s="148" t="str">
        <f t="shared" si="83"/>
        <v>2011-12</v>
      </c>
      <c r="G1069" s="1"/>
      <c r="H1069" s="163"/>
      <c r="I1069" s="37"/>
      <c r="J1069" s="138">
        <f t="shared" si="84"/>
        <v>0.77968490742404351</v>
      </c>
      <c r="K1069" s="114"/>
      <c r="L1069" s="37">
        <v>1.9999490281400001</v>
      </c>
      <c r="M1069" s="37" t="s">
        <v>142</v>
      </c>
      <c r="N1069" s="37">
        <v>3100.7755036097556</v>
      </c>
      <c r="O1069" s="132">
        <f t="shared" si="85"/>
        <v>6201.3929549246495</v>
      </c>
      <c r="P1069" s="134">
        <f t="shared" si="86"/>
        <v>4835.1324919605413</v>
      </c>
      <c r="Q1069" s="261">
        <v>1</v>
      </c>
      <c r="R1069" s="94"/>
    </row>
    <row r="1070" spans="1:18" x14ac:dyDescent="0.25">
      <c r="A1070" s="367">
        <v>42653</v>
      </c>
      <c r="B1070" s="367" t="s">
        <v>279</v>
      </c>
      <c r="C1070" s="279" t="s">
        <v>615</v>
      </c>
      <c r="D1070" s="159" t="s">
        <v>1108</v>
      </c>
      <c r="E1070" s="45">
        <f t="shared" si="82"/>
        <v>42653</v>
      </c>
      <c r="F1070" s="148" t="str">
        <f t="shared" si="83"/>
        <v>2016-17</v>
      </c>
      <c r="G1070" s="1"/>
      <c r="H1070" s="163"/>
      <c r="I1070" s="37"/>
      <c r="J1070" s="138">
        <f t="shared" si="84"/>
        <v>0.77968490742404351</v>
      </c>
      <c r="K1070" s="114"/>
      <c r="L1070" s="37">
        <v>0.599527313806</v>
      </c>
      <c r="M1070" s="37" t="s">
        <v>142</v>
      </c>
      <c r="N1070" s="37">
        <v>696.6467060487804</v>
      </c>
      <c r="O1070" s="132">
        <f t="shared" si="85"/>
        <v>417.6587283492234</v>
      </c>
      <c r="P1070" s="134">
        <f t="shared" si="86"/>
        <v>325.64220694780795</v>
      </c>
      <c r="Q1070" s="261">
        <v>1</v>
      </c>
      <c r="R1070" s="94"/>
    </row>
    <row r="1071" spans="1:18" x14ac:dyDescent="0.25">
      <c r="A1071" s="367">
        <v>39627</v>
      </c>
      <c r="B1071" s="367" t="s">
        <v>279</v>
      </c>
      <c r="C1071" s="279" t="s">
        <v>616</v>
      </c>
      <c r="D1071" s="159" t="s">
        <v>1108</v>
      </c>
      <c r="E1071" s="45">
        <f t="shared" si="82"/>
        <v>39627</v>
      </c>
      <c r="F1071" s="148" t="str">
        <f t="shared" si="83"/>
        <v>2007-08</v>
      </c>
      <c r="G1071" s="1"/>
      <c r="H1071" s="163"/>
      <c r="I1071" s="37"/>
      <c r="J1071" s="138">
        <f t="shared" si="84"/>
        <v>0.77968490742404351</v>
      </c>
      <c r="K1071" s="114"/>
      <c r="L1071" s="37">
        <v>5.3350169582299998</v>
      </c>
      <c r="M1071" s="37" t="s">
        <v>142</v>
      </c>
      <c r="N1071" s="37">
        <v>771.6404230243902</v>
      </c>
      <c r="O1071" s="132">
        <f t="shared" si="85"/>
        <v>4116.7147424908926</v>
      </c>
      <c r="P1071" s="134">
        <f t="shared" si="86"/>
        <v>3209.7403528902069</v>
      </c>
      <c r="Q1071" s="261">
        <v>1</v>
      </c>
      <c r="R1071" s="94"/>
    </row>
    <row r="1072" spans="1:18" x14ac:dyDescent="0.25">
      <c r="A1072" s="367">
        <v>42653</v>
      </c>
      <c r="B1072" s="367" t="s">
        <v>279</v>
      </c>
      <c r="C1072" s="279" t="s">
        <v>615</v>
      </c>
      <c r="D1072" s="159" t="s">
        <v>1108</v>
      </c>
      <c r="E1072" s="45">
        <f t="shared" si="82"/>
        <v>42653</v>
      </c>
      <c r="F1072" s="148" t="str">
        <f t="shared" si="83"/>
        <v>2016-17</v>
      </c>
      <c r="G1072" s="1"/>
      <c r="H1072" s="163"/>
      <c r="I1072" s="37"/>
      <c r="J1072" s="138">
        <f t="shared" si="84"/>
        <v>0.77968490742404351</v>
      </c>
      <c r="K1072" s="114"/>
      <c r="L1072" s="37">
        <v>229.23451588899999</v>
      </c>
      <c r="M1072" s="37" t="s">
        <v>142</v>
      </c>
      <c r="N1072" s="37">
        <v>771.6404230243902</v>
      </c>
      <c r="O1072" s="132">
        <f t="shared" si="85"/>
        <v>176886.61881237925</v>
      </c>
      <c r="P1072" s="134">
        <f t="shared" si="86"/>
        <v>137915.82701328199</v>
      </c>
      <c r="Q1072" s="261">
        <v>1</v>
      </c>
      <c r="R1072" s="94"/>
    </row>
    <row r="1073" spans="1:18" x14ac:dyDescent="0.25">
      <c r="A1073" s="367">
        <v>42653</v>
      </c>
      <c r="B1073" s="367" t="s">
        <v>279</v>
      </c>
      <c r="C1073" s="279" t="s">
        <v>615</v>
      </c>
      <c r="D1073" s="159" t="s">
        <v>1108</v>
      </c>
      <c r="E1073" s="45">
        <f t="shared" si="82"/>
        <v>42653</v>
      </c>
      <c r="F1073" s="148" t="str">
        <f t="shared" si="83"/>
        <v>2016-17</v>
      </c>
      <c r="G1073" s="1"/>
      <c r="H1073" s="163"/>
      <c r="I1073" s="37"/>
      <c r="J1073" s="138">
        <f t="shared" si="84"/>
        <v>0.77968490742404351</v>
      </c>
      <c r="K1073" s="114"/>
      <c r="L1073" s="37">
        <v>35.3743183526</v>
      </c>
      <c r="M1073" s="37" t="s">
        <v>142</v>
      </c>
      <c r="N1073" s="37">
        <v>771.6404230243902</v>
      </c>
      <c r="O1073" s="132">
        <f t="shared" si="85"/>
        <v>27296.253977799715</v>
      </c>
      <c r="P1073" s="134">
        <f t="shared" si="86"/>
        <v>21282.477255703951</v>
      </c>
      <c r="Q1073" s="261">
        <v>1</v>
      </c>
      <c r="R1073" s="94"/>
    </row>
    <row r="1074" spans="1:18" x14ac:dyDescent="0.25">
      <c r="A1074" s="367">
        <v>42653</v>
      </c>
      <c r="B1074" s="367" t="s">
        <v>279</v>
      </c>
      <c r="C1074" s="279" t="s">
        <v>615</v>
      </c>
      <c r="D1074" s="159" t="s">
        <v>1108</v>
      </c>
      <c r="E1074" s="45">
        <f t="shared" si="82"/>
        <v>42653</v>
      </c>
      <c r="F1074" s="148" t="str">
        <f t="shared" si="83"/>
        <v>2016-17</v>
      </c>
      <c r="G1074" s="1"/>
      <c r="H1074" s="163"/>
      <c r="I1074" s="37"/>
      <c r="J1074" s="138">
        <f t="shared" si="84"/>
        <v>0.77968490742404351</v>
      </c>
      <c r="K1074" s="114"/>
      <c r="L1074" s="37">
        <v>2.99845310118</v>
      </c>
      <c r="M1074" s="37" t="s">
        <v>142</v>
      </c>
      <c r="N1074" s="37">
        <v>771.6404230243902</v>
      </c>
      <c r="O1074" s="132">
        <f t="shared" si="85"/>
        <v>2313.7276194133296</v>
      </c>
      <c r="P1074" s="134">
        <f t="shared" si="86"/>
        <v>1803.9785047467344</v>
      </c>
      <c r="Q1074" s="261">
        <v>1</v>
      </c>
      <c r="R1074" s="94"/>
    </row>
    <row r="1075" spans="1:18" x14ac:dyDescent="0.25">
      <c r="A1075" s="367">
        <v>42653</v>
      </c>
      <c r="B1075" s="367" t="s">
        <v>279</v>
      </c>
      <c r="C1075" s="279" t="s">
        <v>615</v>
      </c>
      <c r="D1075" s="159" t="s">
        <v>1108</v>
      </c>
      <c r="E1075" s="45">
        <f t="shared" si="82"/>
        <v>42653</v>
      </c>
      <c r="F1075" s="148" t="str">
        <f t="shared" si="83"/>
        <v>2016-17</v>
      </c>
      <c r="G1075" s="1"/>
      <c r="H1075" s="163"/>
      <c r="I1075" s="37"/>
      <c r="J1075" s="138">
        <f t="shared" si="84"/>
        <v>0.77968490742404351</v>
      </c>
      <c r="K1075" s="114"/>
      <c r="L1075" s="37">
        <v>23.356449755300002</v>
      </c>
      <c r="M1075" s="37" t="s">
        <v>142</v>
      </c>
      <c r="N1075" s="37">
        <v>771.6404230243902</v>
      </c>
      <c r="O1075" s="132">
        <f t="shared" si="85"/>
        <v>18022.78076952761</v>
      </c>
      <c r="P1075" s="134">
        <f t="shared" si="86"/>
        <v>14052.090155812966</v>
      </c>
      <c r="Q1075" s="261">
        <v>1</v>
      </c>
      <c r="R1075" s="94"/>
    </row>
    <row r="1076" spans="1:18" x14ac:dyDescent="0.25">
      <c r="A1076" s="367">
        <v>43005</v>
      </c>
      <c r="B1076" s="367" t="s">
        <v>279</v>
      </c>
      <c r="C1076" s="279" t="s">
        <v>617</v>
      </c>
      <c r="D1076" s="159" t="s">
        <v>1109</v>
      </c>
      <c r="E1076" s="45">
        <f t="shared" si="82"/>
        <v>43005</v>
      </c>
      <c r="F1076" s="148" t="str">
        <f t="shared" si="83"/>
        <v>2017-18</v>
      </c>
      <c r="G1076" s="1"/>
      <c r="H1076" s="163"/>
      <c r="I1076" s="37"/>
      <c r="J1076" s="138">
        <f t="shared" si="84"/>
        <v>0.77968490742404351</v>
      </c>
      <c r="K1076" s="114"/>
      <c r="L1076" s="37">
        <v>17.998908661400002</v>
      </c>
      <c r="M1076" s="37" t="s">
        <v>142</v>
      </c>
      <c r="N1076" s="37">
        <v>1327.9990486829267</v>
      </c>
      <c r="O1076" s="132">
        <f t="shared" si="85"/>
        <v>23902.533579670093</v>
      </c>
      <c r="P1076" s="134">
        <f t="shared" si="86"/>
        <v>18636.444681265166</v>
      </c>
      <c r="Q1076" s="261">
        <v>1</v>
      </c>
      <c r="R1076" s="94"/>
    </row>
    <row r="1077" spans="1:18" x14ac:dyDescent="0.25">
      <c r="A1077" s="367">
        <v>43005</v>
      </c>
      <c r="B1077" s="367" t="s">
        <v>279</v>
      </c>
      <c r="C1077" s="279" t="s">
        <v>617</v>
      </c>
      <c r="D1077" s="159" t="s">
        <v>1109</v>
      </c>
      <c r="E1077" s="45">
        <f t="shared" si="82"/>
        <v>43005</v>
      </c>
      <c r="F1077" s="148" t="str">
        <f t="shared" si="83"/>
        <v>2017-18</v>
      </c>
      <c r="G1077" s="1"/>
      <c r="H1077" s="163"/>
      <c r="I1077" s="37"/>
      <c r="J1077" s="138">
        <f t="shared" si="84"/>
        <v>0.77968490742404351</v>
      </c>
      <c r="K1077" s="114"/>
      <c r="L1077" s="37">
        <v>0.99937030173999997</v>
      </c>
      <c r="M1077" s="37" t="s">
        <v>142</v>
      </c>
      <c r="N1077" s="37">
        <v>1047.4028947317072</v>
      </c>
      <c r="O1077" s="132">
        <f t="shared" si="85"/>
        <v>1046.7433469513755</v>
      </c>
      <c r="P1077" s="134">
        <f t="shared" si="86"/>
        <v>816.12998956451668</v>
      </c>
      <c r="Q1077" s="261">
        <v>1</v>
      </c>
      <c r="R1077" s="94"/>
    </row>
    <row r="1078" spans="1:18" x14ac:dyDescent="0.25">
      <c r="A1078" s="367">
        <v>43005</v>
      </c>
      <c r="B1078" s="367" t="s">
        <v>279</v>
      </c>
      <c r="C1078" s="279" t="s">
        <v>617</v>
      </c>
      <c r="D1078" s="159" t="s">
        <v>1109</v>
      </c>
      <c r="E1078" s="45">
        <f t="shared" si="82"/>
        <v>43005</v>
      </c>
      <c r="F1078" s="148" t="str">
        <f t="shared" si="83"/>
        <v>2017-18</v>
      </c>
      <c r="G1078" s="1"/>
      <c r="H1078" s="163"/>
      <c r="I1078" s="37"/>
      <c r="J1078" s="138">
        <f t="shared" si="84"/>
        <v>0.77968490742404351</v>
      </c>
      <c r="K1078" s="114"/>
      <c r="L1078" s="37">
        <v>3.3428516269799999</v>
      </c>
      <c r="M1078" s="37" t="s">
        <v>142</v>
      </c>
      <c r="N1078" s="37">
        <v>1876.8302455609755</v>
      </c>
      <c r="O1078" s="132">
        <f t="shared" si="85"/>
        <v>6273.9650399387801</v>
      </c>
      <c r="P1078" s="134">
        <f t="shared" si="86"/>
        <v>4891.7158513463528</v>
      </c>
      <c r="Q1078" s="261">
        <v>1</v>
      </c>
      <c r="R1078" s="94"/>
    </row>
    <row r="1079" spans="1:18" x14ac:dyDescent="0.25">
      <c r="A1079" s="367">
        <v>43005</v>
      </c>
      <c r="B1079" s="367" t="s">
        <v>279</v>
      </c>
      <c r="C1079" s="279" t="s">
        <v>617</v>
      </c>
      <c r="D1079" s="159" t="s">
        <v>1109</v>
      </c>
      <c r="E1079" s="45">
        <f t="shared" si="82"/>
        <v>43005</v>
      </c>
      <c r="F1079" s="148" t="str">
        <f t="shared" si="83"/>
        <v>2017-18</v>
      </c>
      <c r="G1079" s="1"/>
      <c r="H1079" s="163"/>
      <c r="I1079" s="37"/>
      <c r="J1079" s="138">
        <f t="shared" si="84"/>
        <v>0.77968490742404351</v>
      </c>
      <c r="K1079" s="114"/>
      <c r="L1079" s="37">
        <v>14.814378151</v>
      </c>
      <c r="M1079" s="37" t="s">
        <v>142</v>
      </c>
      <c r="N1079" s="37">
        <v>1975.7271310243898</v>
      </c>
      <c r="O1079" s="132">
        <f t="shared" si="85"/>
        <v>29269.168842185634</v>
      </c>
      <c r="P1079" s="134">
        <f t="shared" si="86"/>
        <v>22820.729199098205</v>
      </c>
      <c r="Q1079" s="261">
        <v>1</v>
      </c>
      <c r="R1079" s="94"/>
    </row>
    <row r="1080" spans="1:18" x14ac:dyDescent="0.25">
      <c r="A1080" s="367">
        <v>43005</v>
      </c>
      <c r="B1080" s="367" t="s">
        <v>279</v>
      </c>
      <c r="C1080" s="279" t="s">
        <v>617</v>
      </c>
      <c r="D1080" s="159" t="s">
        <v>1109</v>
      </c>
      <c r="E1080" s="45">
        <f t="shared" si="82"/>
        <v>43005</v>
      </c>
      <c r="F1080" s="148" t="str">
        <f t="shared" si="83"/>
        <v>2017-18</v>
      </c>
      <c r="G1080" s="1"/>
      <c r="H1080" s="163"/>
      <c r="I1080" s="37"/>
      <c r="J1080" s="138">
        <f t="shared" si="84"/>
        <v>0.77968490742404351</v>
      </c>
      <c r="K1080" s="114"/>
      <c r="L1080" s="37">
        <v>4.6345047200299998</v>
      </c>
      <c r="M1080" s="37" t="s">
        <v>142</v>
      </c>
      <c r="N1080" s="37">
        <v>1196.8811692682925</v>
      </c>
      <c r="O1080" s="132">
        <f t="shared" si="85"/>
        <v>5546.9514282889268</v>
      </c>
      <c r="P1080" s="134">
        <f t="shared" si="86"/>
        <v>4324.874310851118</v>
      </c>
      <c r="Q1080" s="261">
        <v>1</v>
      </c>
      <c r="R1080" s="94"/>
    </row>
    <row r="1081" spans="1:18" x14ac:dyDescent="0.25">
      <c r="A1081" s="367">
        <v>43005</v>
      </c>
      <c r="B1081" s="367" t="s">
        <v>279</v>
      </c>
      <c r="C1081" s="279" t="s">
        <v>617</v>
      </c>
      <c r="D1081" s="159" t="s">
        <v>1109</v>
      </c>
      <c r="E1081" s="45">
        <f t="shared" si="82"/>
        <v>43005</v>
      </c>
      <c r="F1081" s="148" t="str">
        <f t="shared" si="83"/>
        <v>2017-18</v>
      </c>
      <c r="G1081" s="1"/>
      <c r="H1081" s="163"/>
      <c r="I1081" s="37"/>
      <c r="J1081" s="138">
        <f t="shared" si="84"/>
        <v>0.77968490742404351</v>
      </c>
      <c r="K1081" s="114"/>
      <c r="L1081" s="37">
        <v>1.0265524828299999</v>
      </c>
      <c r="M1081" s="37" t="s">
        <v>142</v>
      </c>
      <c r="N1081" s="37">
        <v>1876.8302455609755</v>
      </c>
      <c r="O1081" s="132">
        <f t="shared" si="85"/>
        <v>1926.6647484310579</v>
      </c>
      <c r="P1081" s="134">
        <f t="shared" si="86"/>
        <v>1502.1914260176375</v>
      </c>
      <c r="Q1081" s="261">
        <v>1</v>
      </c>
      <c r="R1081" s="94"/>
    </row>
    <row r="1082" spans="1:18" x14ac:dyDescent="0.25">
      <c r="A1082" s="367">
        <v>43005</v>
      </c>
      <c r="B1082" s="367" t="s">
        <v>279</v>
      </c>
      <c r="C1082" s="279" t="s">
        <v>617</v>
      </c>
      <c r="D1082" s="159" t="s">
        <v>1109</v>
      </c>
      <c r="E1082" s="45">
        <f t="shared" si="82"/>
        <v>43005</v>
      </c>
      <c r="F1082" s="148" t="str">
        <f t="shared" si="83"/>
        <v>2017-18</v>
      </c>
      <c r="G1082" s="1"/>
      <c r="H1082" s="163"/>
      <c r="I1082" s="37"/>
      <c r="J1082" s="138">
        <f t="shared" si="84"/>
        <v>0.77968490742404351</v>
      </c>
      <c r="K1082" s="114"/>
      <c r="L1082" s="37">
        <v>0.99618572565600005</v>
      </c>
      <c r="M1082" s="37" t="s">
        <v>142</v>
      </c>
      <c r="N1082" s="37">
        <v>1876.8302455609755</v>
      </c>
      <c r="O1082" s="132">
        <f t="shared" si="85"/>
        <v>1869.6715001072891</v>
      </c>
      <c r="P1082" s="134">
        <f t="shared" si="86"/>
        <v>1457.7546504745244</v>
      </c>
      <c r="Q1082" s="261">
        <v>1</v>
      </c>
      <c r="R1082" s="94"/>
    </row>
    <row r="1083" spans="1:18" x14ac:dyDescent="0.25">
      <c r="A1083" s="367">
        <v>43005</v>
      </c>
      <c r="B1083" s="367" t="s">
        <v>279</v>
      </c>
      <c r="C1083" s="279" t="s">
        <v>617</v>
      </c>
      <c r="D1083" s="159" t="s">
        <v>1109</v>
      </c>
      <c r="E1083" s="45">
        <f t="shared" si="82"/>
        <v>43005</v>
      </c>
      <c r="F1083" s="148" t="str">
        <f t="shared" si="83"/>
        <v>2017-18</v>
      </c>
      <c r="G1083" s="1"/>
      <c r="H1083" s="163"/>
      <c r="I1083" s="37"/>
      <c r="J1083" s="138">
        <f t="shared" si="84"/>
        <v>0.77968490742404351</v>
      </c>
      <c r="K1083" s="114"/>
      <c r="L1083" s="37">
        <v>2.0287555298800002</v>
      </c>
      <c r="M1083" s="37" t="s">
        <v>142</v>
      </c>
      <c r="N1083" s="37">
        <v>1047.4028947317072</v>
      </c>
      <c r="O1083" s="132">
        <f t="shared" si="85"/>
        <v>2124.9244146992705</v>
      </c>
      <c r="P1083" s="134">
        <f t="shared" si="86"/>
        <v>1656.7714955578906</v>
      </c>
      <c r="Q1083" s="261">
        <v>1</v>
      </c>
      <c r="R1083" s="94"/>
    </row>
    <row r="1084" spans="1:18" x14ac:dyDescent="0.25">
      <c r="A1084" s="367">
        <v>43005</v>
      </c>
      <c r="B1084" s="367" t="s">
        <v>279</v>
      </c>
      <c r="C1084" s="279" t="s">
        <v>617</v>
      </c>
      <c r="D1084" s="159" t="s">
        <v>1109</v>
      </c>
      <c r="E1084" s="45">
        <f t="shared" si="82"/>
        <v>43005</v>
      </c>
      <c r="F1084" s="148" t="str">
        <f t="shared" si="83"/>
        <v>2017-18</v>
      </c>
      <c r="G1084" s="1"/>
      <c r="H1084" s="163"/>
      <c r="I1084" s="37"/>
      <c r="J1084" s="138">
        <f t="shared" si="84"/>
        <v>0.77968490742404351</v>
      </c>
      <c r="K1084" s="114"/>
      <c r="L1084" s="37">
        <v>3.9632099364000002</v>
      </c>
      <c r="M1084" s="37" t="s">
        <v>142</v>
      </c>
      <c r="N1084" s="37">
        <v>1196.8811692682925</v>
      </c>
      <c r="O1084" s="132">
        <f t="shared" si="85"/>
        <v>4743.4913427341471</v>
      </c>
      <c r="P1084" s="134">
        <f t="shared" si="86"/>
        <v>3698.4286084264254</v>
      </c>
      <c r="Q1084" s="261">
        <v>1</v>
      </c>
      <c r="R1084" s="94"/>
    </row>
    <row r="1085" spans="1:18" x14ac:dyDescent="0.25">
      <c r="A1085" s="367">
        <v>43005</v>
      </c>
      <c r="B1085" s="367" t="s">
        <v>279</v>
      </c>
      <c r="C1085" s="279" t="s">
        <v>617</v>
      </c>
      <c r="D1085" s="159" t="s">
        <v>1109</v>
      </c>
      <c r="E1085" s="45">
        <f t="shared" si="82"/>
        <v>43005</v>
      </c>
      <c r="F1085" s="148" t="str">
        <f t="shared" si="83"/>
        <v>2017-18</v>
      </c>
      <c r="G1085" s="1"/>
      <c r="H1085" s="163"/>
      <c r="I1085" s="37"/>
      <c r="J1085" s="138">
        <f t="shared" si="84"/>
        <v>0.77968490742404351</v>
      </c>
      <c r="K1085" s="114"/>
      <c r="L1085" s="37">
        <v>30.481991324999999</v>
      </c>
      <c r="M1085" s="37" t="s">
        <v>142</v>
      </c>
      <c r="N1085" s="37">
        <v>1047.4028947317072</v>
      </c>
      <c r="O1085" s="132">
        <f t="shared" si="85"/>
        <v>31926.925950991787</v>
      </c>
      <c r="P1085" s="134">
        <f t="shared" si="86"/>
        <v>24892.942304433323</v>
      </c>
      <c r="Q1085" s="261">
        <v>1</v>
      </c>
      <c r="R1085" s="94"/>
    </row>
    <row r="1086" spans="1:18" x14ac:dyDescent="0.25">
      <c r="A1086" s="367">
        <v>43005</v>
      </c>
      <c r="B1086" s="367" t="s">
        <v>279</v>
      </c>
      <c r="C1086" s="279" t="s">
        <v>617</v>
      </c>
      <c r="D1086" s="159" t="s">
        <v>1109</v>
      </c>
      <c r="E1086" s="45">
        <f t="shared" si="82"/>
        <v>43005</v>
      </c>
      <c r="F1086" s="148" t="str">
        <f t="shared" si="83"/>
        <v>2017-18</v>
      </c>
      <c r="G1086" s="1"/>
      <c r="H1086" s="163"/>
      <c r="I1086" s="37"/>
      <c r="J1086" s="138">
        <f t="shared" si="84"/>
        <v>0.77968490742404351</v>
      </c>
      <c r="K1086" s="114"/>
      <c r="L1086" s="37">
        <v>0.50012098536299998</v>
      </c>
      <c r="M1086" s="37" t="s">
        <v>142</v>
      </c>
      <c r="N1086" s="37">
        <v>1047.4028947317072</v>
      </c>
      <c r="O1086" s="132">
        <f t="shared" si="85"/>
        <v>523.8281677852799</v>
      </c>
      <c r="P1086" s="134">
        <f t="shared" si="86"/>
        <v>408.42091650577231</v>
      </c>
      <c r="Q1086" s="261">
        <v>1</v>
      </c>
      <c r="R1086" s="94"/>
    </row>
    <row r="1087" spans="1:18" x14ac:dyDescent="0.25">
      <c r="A1087" s="367">
        <v>43005</v>
      </c>
      <c r="B1087" s="367" t="s">
        <v>279</v>
      </c>
      <c r="C1087" s="279" t="s">
        <v>617</v>
      </c>
      <c r="D1087" s="159" t="s">
        <v>1109</v>
      </c>
      <c r="E1087" s="45">
        <f t="shared" si="82"/>
        <v>43005</v>
      </c>
      <c r="F1087" s="148" t="str">
        <f t="shared" si="83"/>
        <v>2017-18</v>
      </c>
      <c r="G1087" s="1"/>
      <c r="H1087" s="163"/>
      <c r="I1087" s="37"/>
      <c r="J1087" s="138">
        <f t="shared" si="84"/>
        <v>0.77968490742404351</v>
      </c>
      <c r="K1087" s="114"/>
      <c r="L1087" s="37">
        <v>2.9990928488800002</v>
      </c>
      <c r="M1087" s="37" t="s">
        <v>142</v>
      </c>
      <c r="N1087" s="37">
        <v>1047.4028947317072</v>
      </c>
      <c r="O1087" s="132">
        <f t="shared" si="85"/>
        <v>3141.2585314860748</v>
      </c>
      <c r="P1087" s="134">
        <f t="shared" si="86"/>
        <v>2449.191867316707</v>
      </c>
      <c r="Q1087" s="261">
        <v>1</v>
      </c>
      <c r="R1087" s="94"/>
    </row>
    <row r="1088" spans="1:18" x14ac:dyDescent="0.25">
      <c r="A1088" s="367">
        <v>43005</v>
      </c>
      <c r="B1088" s="367" t="s">
        <v>279</v>
      </c>
      <c r="C1088" s="279" t="s">
        <v>617</v>
      </c>
      <c r="D1088" s="159" t="s">
        <v>1109</v>
      </c>
      <c r="E1088" s="45">
        <f t="shared" si="82"/>
        <v>43005</v>
      </c>
      <c r="F1088" s="148" t="str">
        <f t="shared" si="83"/>
        <v>2017-18</v>
      </c>
      <c r="G1088" s="1"/>
      <c r="H1088" s="163"/>
      <c r="I1088" s="37"/>
      <c r="J1088" s="138">
        <f t="shared" si="84"/>
        <v>0.77968490742404351</v>
      </c>
      <c r="K1088" s="114"/>
      <c r="L1088" s="37">
        <v>26.6334693005</v>
      </c>
      <c r="M1088" s="37" t="s">
        <v>142</v>
      </c>
      <c r="N1088" s="37">
        <v>1047.4028947317072</v>
      </c>
      <c r="O1088" s="132">
        <f t="shared" si="85"/>
        <v>27895.972842091756</v>
      </c>
      <c r="P1088" s="134">
        <f t="shared" si="86"/>
        <v>21750.069002889944</v>
      </c>
      <c r="Q1088" s="261">
        <v>1</v>
      </c>
      <c r="R1088" s="94"/>
    </row>
    <row r="1089" spans="1:18" x14ac:dyDescent="0.25">
      <c r="A1089" s="367">
        <v>43005</v>
      </c>
      <c r="B1089" s="367" t="s">
        <v>279</v>
      </c>
      <c r="C1089" s="279" t="s">
        <v>617</v>
      </c>
      <c r="D1089" s="159" t="s">
        <v>1109</v>
      </c>
      <c r="E1089" s="45">
        <f t="shared" si="82"/>
        <v>43005</v>
      </c>
      <c r="F1089" s="148" t="str">
        <f t="shared" si="83"/>
        <v>2017-18</v>
      </c>
      <c r="G1089" s="1"/>
      <c r="H1089" s="163"/>
      <c r="I1089" s="37"/>
      <c r="J1089" s="138">
        <f t="shared" si="84"/>
        <v>0.77968490742404351</v>
      </c>
      <c r="K1089" s="114"/>
      <c r="L1089" s="37">
        <v>0.69954413727800002</v>
      </c>
      <c r="M1089" s="37" t="s">
        <v>142</v>
      </c>
      <c r="N1089" s="37">
        <v>1047.4028947317072</v>
      </c>
      <c r="O1089" s="132">
        <f t="shared" si="85"/>
        <v>732.70455437757198</v>
      </c>
      <c r="P1089" s="134">
        <f t="shared" si="86"/>
        <v>571.27868264905226</v>
      </c>
      <c r="Q1089" s="261">
        <v>1</v>
      </c>
      <c r="R1089" s="94"/>
    </row>
    <row r="1090" spans="1:18" x14ac:dyDescent="0.25">
      <c r="A1090" s="367">
        <v>43005</v>
      </c>
      <c r="B1090" s="367" t="s">
        <v>279</v>
      </c>
      <c r="C1090" s="279" t="s">
        <v>617</v>
      </c>
      <c r="D1090" s="159" t="s">
        <v>1109</v>
      </c>
      <c r="E1090" s="45">
        <f t="shared" si="82"/>
        <v>43005</v>
      </c>
      <c r="F1090" s="148" t="str">
        <f t="shared" si="83"/>
        <v>2017-18</v>
      </c>
      <c r="G1090" s="1"/>
      <c r="H1090" s="163"/>
      <c r="I1090" s="37"/>
      <c r="J1090" s="138">
        <f t="shared" si="84"/>
        <v>0.77968490742404351</v>
      </c>
      <c r="K1090" s="114"/>
      <c r="L1090" s="37">
        <v>3.5480061546399999</v>
      </c>
      <c r="M1090" s="37" t="s">
        <v>142</v>
      </c>
      <c r="N1090" s="37">
        <v>1047.4028947317072</v>
      </c>
      <c r="O1090" s="132">
        <f t="shared" si="85"/>
        <v>3716.1919168958489</v>
      </c>
      <c r="P1090" s="134">
        <f t="shared" si="86"/>
        <v>2897.4587506949188</v>
      </c>
      <c r="Q1090" s="261">
        <v>1</v>
      </c>
      <c r="R1090" s="94"/>
    </row>
    <row r="1091" spans="1:18" x14ac:dyDescent="0.25">
      <c r="A1091" s="367">
        <v>43005</v>
      </c>
      <c r="B1091" s="367" t="s">
        <v>279</v>
      </c>
      <c r="C1091" s="279" t="s">
        <v>617</v>
      </c>
      <c r="D1091" s="159" t="s">
        <v>1109</v>
      </c>
      <c r="E1091" s="45">
        <f t="shared" si="82"/>
        <v>43005</v>
      </c>
      <c r="F1091" s="148" t="str">
        <f t="shared" si="83"/>
        <v>2017-18</v>
      </c>
      <c r="G1091" s="1"/>
      <c r="H1091" s="163"/>
      <c r="I1091" s="37"/>
      <c r="J1091" s="138">
        <f t="shared" si="84"/>
        <v>0.77968490742404351</v>
      </c>
      <c r="K1091" s="114"/>
      <c r="L1091" s="37">
        <v>5.0755885270799999</v>
      </c>
      <c r="M1091" s="37" t="s">
        <v>142</v>
      </c>
      <c r="N1091" s="37">
        <v>1047.4028947317072</v>
      </c>
      <c r="O1091" s="132">
        <f t="shared" si="85"/>
        <v>5316.1861157306339</v>
      </c>
      <c r="P1091" s="134">
        <f t="shared" si="86"/>
        <v>4144.9500794924252</v>
      </c>
      <c r="Q1091" s="261">
        <v>1</v>
      </c>
      <c r="R1091" s="94"/>
    </row>
    <row r="1092" spans="1:18" x14ac:dyDescent="0.25">
      <c r="A1092" s="367">
        <v>40615</v>
      </c>
      <c r="B1092" s="367" t="s">
        <v>279</v>
      </c>
      <c r="C1092" s="279" t="s">
        <v>618</v>
      </c>
      <c r="D1092" s="159" t="s">
        <v>1110</v>
      </c>
      <c r="E1092" s="45">
        <f t="shared" si="82"/>
        <v>40615</v>
      </c>
      <c r="F1092" s="148" t="str">
        <f t="shared" si="83"/>
        <v>2010-11</v>
      </c>
      <c r="G1092" s="1"/>
      <c r="H1092" s="163"/>
      <c r="I1092" s="37"/>
      <c r="J1092" s="138">
        <f t="shared" si="84"/>
        <v>0.77968490742404351</v>
      </c>
      <c r="K1092" s="114"/>
      <c r="L1092" s="37">
        <v>3.99983699668</v>
      </c>
      <c r="M1092" s="37" t="s">
        <v>142</v>
      </c>
      <c r="N1092" s="37">
        <v>1876.8302455609755</v>
      </c>
      <c r="O1092" s="132">
        <f t="shared" si="85"/>
        <v>7507.0150526827993</v>
      </c>
      <c r="P1092" s="134">
        <f t="shared" si="86"/>
        <v>5853.1063363818894</v>
      </c>
      <c r="Q1092" s="261">
        <v>1</v>
      </c>
      <c r="R1092" s="94"/>
    </row>
    <row r="1093" spans="1:18" x14ac:dyDescent="0.25">
      <c r="A1093" s="367">
        <v>40615</v>
      </c>
      <c r="B1093" s="367" t="s">
        <v>279</v>
      </c>
      <c r="C1093" s="279" t="s">
        <v>618</v>
      </c>
      <c r="D1093" s="159" t="s">
        <v>1110</v>
      </c>
      <c r="E1093" s="45">
        <f t="shared" si="82"/>
        <v>40615</v>
      </c>
      <c r="F1093" s="148" t="str">
        <f t="shared" si="83"/>
        <v>2010-11</v>
      </c>
      <c r="G1093" s="1"/>
      <c r="H1093" s="163"/>
      <c r="I1093" s="37"/>
      <c r="J1093" s="138">
        <f t="shared" si="84"/>
        <v>0.77968490742404351</v>
      </c>
      <c r="K1093" s="114"/>
      <c r="L1093" s="37">
        <v>1.3993659278399999</v>
      </c>
      <c r="M1093" s="37" t="s">
        <v>142</v>
      </c>
      <c r="N1093" s="37">
        <v>1047.4028947317072</v>
      </c>
      <c r="O1093" s="132">
        <f t="shared" si="85"/>
        <v>1465.6999236085371</v>
      </c>
      <c r="P1093" s="134">
        <f t="shared" si="86"/>
        <v>1142.7841092501499</v>
      </c>
      <c r="Q1093" s="261">
        <v>1</v>
      </c>
      <c r="R1093" s="94"/>
    </row>
    <row r="1094" spans="1:18" x14ac:dyDescent="0.25">
      <c r="A1094" s="367">
        <v>42656</v>
      </c>
      <c r="B1094" s="367" t="s">
        <v>279</v>
      </c>
      <c r="C1094" s="279" t="s">
        <v>619</v>
      </c>
      <c r="D1094" s="159" t="s">
        <v>1109</v>
      </c>
      <c r="E1094" s="45">
        <f t="shared" si="82"/>
        <v>42656</v>
      </c>
      <c r="F1094" s="148" t="str">
        <f t="shared" si="83"/>
        <v>2016-17</v>
      </c>
      <c r="G1094" s="1"/>
      <c r="H1094" s="163"/>
      <c r="I1094" s="37"/>
      <c r="J1094" s="138">
        <f t="shared" si="84"/>
        <v>0.77968490742404351</v>
      </c>
      <c r="K1094" s="114"/>
      <c r="L1094" s="37">
        <v>24.469713243200001</v>
      </c>
      <c r="M1094" s="37" t="s">
        <v>142</v>
      </c>
      <c r="N1094" s="37">
        <v>1876.8302455609755</v>
      </c>
      <c r="O1094" s="132">
        <f t="shared" si="85"/>
        <v>45925.497915041713</v>
      </c>
      <c r="P1094" s="134">
        <f t="shared" si="86"/>
        <v>35807.417590292403</v>
      </c>
      <c r="Q1094" s="261">
        <v>1</v>
      </c>
      <c r="R1094" s="94"/>
    </row>
    <row r="1095" spans="1:18" x14ac:dyDescent="0.25">
      <c r="A1095" s="367">
        <v>42656</v>
      </c>
      <c r="B1095" s="367" t="s">
        <v>279</v>
      </c>
      <c r="C1095" s="279" t="s">
        <v>619</v>
      </c>
      <c r="D1095" s="159" t="s">
        <v>1109</v>
      </c>
      <c r="E1095" s="45">
        <f t="shared" si="82"/>
        <v>42656</v>
      </c>
      <c r="F1095" s="148" t="str">
        <f t="shared" si="83"/>
        <v>2016-17</v>
      </c>
      <c r="G1095" s="1"/>
      <c r="H1095" s="163"/>
      <c r="I1095" s="37"/>
      <c r="J1095" s="138">
        <f t="shared" si="84"/>
        <v>0.77968490742404351</v>
      </c>
      <c r="K1095" s="114"/>
      <c r="L1095" s="37">
        <v>3.00833857802</v>
      </c>
      <c r="M1095" s="37" t="s">
        <v>142</v>
      </c>
      <c r="N1095" s="37">
        <v>1530.2979474146339</v>
      </c>
      <c r="O1095" s="132">
        <f t="shared" si="85"/>
        <v>4603.6543510722649</v>
      </c>
      <c r="P1095" s="134">
        <f t="shared" si="86"/>
        <v>3589.3998165280741</v>
      </c>
      <c r="Q1095" s="261">
        <v>1</v>
      </c>
      <c r="R1095" s="94"/>
    </row>
    <row r="1096" spans="1:18" x14ac:dyDescent="0.25">
      <c r="A1096" s="367">
        <v>42656</v>
      </c>
      <c r="B1096" s="367" t="s">
        <v>279</v>
      </c>
      <c r="C1096" s="279" t="s">
        <v>619</v>
      </c>
      <c r="D1096" s="159" t="s">
        <v>1109</v>
      </c>
      <c r="E1096" s="45">
        <f t="shared" si="82"/>
        <v>42656</v>
      </c>
      <c r="F1096" s="148" t="str">
        <f t="shared" si="83"/>
        <v>2016-17</v>
      </c>
      <c r="G1096" s="1"/>
      <c r="H1096" s="163"/>
      <c r="I1096" s="37"/>
      <c r="J1096" s="138">
        <f t="shared" si="84"/>
        <v>0.77968490742404351</v>
      </c>
      <c r="K1096" s="114"/>
      <c r="L1096" s="37">
        <v>3.2609106090200002</v>
      </c>
      <c r="M1096" s="37" t="s">
        <v>142</v>
      </c>
      <c r="N1096" s="37">
        <v>1530.2979474146339</v>
      </c>
      <c r="O1096" s="132">
        <f t="shared" si="85"/>
        <v>4990.1648116859096</v>
      </c>
      <c r="P1096" s="134">
        <f t="shared" si="86"/>
        <v>3890.7561892300478</v>
      </c>
      <c r="Q1096" s="261">
        <v>1</v>
      </c>
      <c r="R1096" s="94"/>
    </row>
    <row r="1097" spans="1:18" x14ac:dyDescent="0.25">
      <c r="A1097" s="367">
        <v>42656</v>
      </c>
      <c r="B1097" s="367" t="s">
        <v>279</v>
      </c>
      <c r="C1097" s="279" t="s">
        <v>619</v>
      </c>
      <c r="D1097" s="159" t="s">
        <v>1109</v>
      </c>
      <c r="E1097" s="45">
        <f t="shared" si="82"/>
        <v>42656</v>
      </c>
      <c r="F1097" s="148" t="str">
        <f t="shared" si="83"/>
        <v>2016-17</v>
      </c>
      <c r="G1097" s="1"/>
      <c r="H1097" s="163"/>
      <c r="I1097" s="37"/>
      <c r="J1097" s="138">
        <f t="shared" si="84"/>
        <v>0.77968490742404351</v>
      </c>
      <c r="K1097" s="114"/>
      <c r="L1097" s="37">
        <v>1.77107650879</v>
      </c>
      <c r="M1097" s="37" t="s">
        <v>142</v>
      </c>
      <c r="N1097" s="37">
        <v>1196.8811692682925</v>
      </c>
      <c r="O1097" s="132">
        <f t="shared" si="85"/>
        <v>2119.7681227041808</v>
      </c>
      <c r="P1097" s="134">
        <f t="shared" si="86"/>
        <v>1652.7512125110477</v>
      </c>
      <c r="Q1097" s="261">
        <v>1</v>
      </c>
      <c r="R1097" s="94"/>
    </row>
    <row r="1098" spans="1:18" x14ac:dyDescent="0.25">
      <c r="A1098" s="367">
        <v>42656</v>
      </c>
      <c r="B1098" s="367" t="s">
        <v>279</v>
      </c>
      <c r="C1098" s="279" t="s">
        <v>619</v>
      </c>
      <c r="D1098" s="159" t="s">
        <v>1109</v>
      </c>
      <c r="E1098" s="45">
        <f t="shared" si="82"/>
        <v>42656</v>
      </c>
      <c r="F1098" s="148" t="str">
        <f t="shared" si="83"/>
        <v>2016-17</v>
      </c>
      <c r="G1098" s="1"/>
      <c r="H1098" s="163"/>
      <c r="I1098" s="37"/>
      <c r="J1098" s="138">
        <f t="shared" si="84"/>
        <v>0.77968490742404351</v>
      </c>
      <c r="K1098" s="114"/>
      <c r="L1098" s="37">
        <v>0.60931436877900003</v>
      </c>
      <c r="M1098" s="37" t="s">
        <v>142</v>
      </c>
      <c r="N1098" s="37">
        <v>1196.8811692682925</v>
      </c>
      <c r="O1098" s="132">
        <f t="shared" si="85"/>
        <v>729.27689415618113</v>
      </c>
      <c r="P1098" s="134">
        <f t="shared" si="86"/>
        <v>568.6061877066561</v>
      </c>
      <c r="Q1098" s="261">
        <v>1</v>
      </c>
      <c r="R1098" s="94"/>
    </row>
    <row r="1099" spans="1:18" x14ac:dyDescent="0.25">
      <c r="A1099" s="367">
        <v>42656</v>
      </c>
      <c r="B1099" s="367" t="s">
        <v>279</v>
      </c>
      <c r="C1099" s="279" t="s">
        <v>619</v>
      </c>
      <c r="D1099" s="159" t="s">
        <v>1109</v>
      </c>
      <c r="E1099" s="45">
        <f t="shared" si="82"/>
        <v>42656</v>
      </c>
      <c r="F1099" s="148" t="str">
        <f t="shared" si="83"/>
        <v>2016-17</v>
      </c>
      <c r="G1099" s="1"/>
      <c r="H1099" s="163"/>
      <c r="I1099" s="37"/>
      <c r="J1099" s="138">
        <f t="shared" si="84"/>
        <v>0.77968490742404351</v>
      </c>
      <c r="K1099" s="114"/>
      <c r="L1099" s="37">
        <v>2.8172690382000001</v>
      </c>
      <c r="M1099" s="37" t="s">
        <v>142</v>
      </c>
      <c r="N1099" s="37">
        <v>1196.8811692682925</v>
      </c>
      <c r="O1099" s="132">
        <f t="shared" si="85"/>
        <v>3371.9362605841739</v>
      </c>
      <c r="P1099" s="134">
        <f t="shared" si="86"/>
        <v>2629.0478111733469</v>
      </c>
      <c r="Q1099" s="261">
        <v>1</v>
      </c>
      <c r="R1099" s="94"/>
    </row>
    <row r="1100" spans="1:18" x14ac:dyDescent="0.25">
      <c r="A1100" s="367">
        <v>42656</v>
      </c>
      <c r="B1100" s="367" t="s">
        <v>279</v>
      </c>
      <c r="C1100" s="279" t="s">
        <v>619</v>
      </c>
      <c r="D1100" s="159" t="s">
        <v>1109</v>
      </c>
      <c r="E1100" s="45">
        <f t="shared" si="82"/>
        <v>42656</v>
      </c>
      <c r="F1100" s="148" t="str">
        <f t="shared" si="83"/>
        <v>2016-17</v>
      </c>
      <c r="G1100" s="1"/>
      <c r="H1100" s="163"/>
      <c r="I1100" s="37"/>
      <c r="J1100" s="138">
        <f t="shared" si="84"/>
        <v>0.77968490742404351</v>
      </c>
      <c r="K1100" s="114"/>
      <c r="L1100" s="37">
        <v>4.45678238116</v>
      </c>
      <c r="M1100" s="37" t="s">
        <v>142</v>
      </c>
      <c r="N1100" s="37">
        <v>1196.8811692682925</v>
      </c>
      <c r="O1100" s="132">
        <f t="shared" si="85"/>
        <v>5334.2389075371057</v>
      </c>
      <c r="P1100" s="134">
        <f t="shared" si="86"/>
        <v>4159.0255688007992</v>
      </c>
      <c r="Q1100" s="261">
        <v>1</v>
      </c>
      <c r="R1100" s="94"/>
    </row>
    <row r="1101" spans="1:18" x14ac:dyDescent="0.25">
      <c r="A1101" s="367">
        <v>42814</v>
      </c>
      <c r="B1101" s="367" t="s">
        <v>279</v>
      </c>
      <c r="C1101" s="279" t="s">
        <v>620</v>
      </c>
      <c r="D1101" s="159" t="s">
        <v>1109</v>
      </c>
      <c r="E1101" s="45">
        <f t="shared" si="82"/>
        <v>42814</v>
      </c>
      <c r="F1101" s="148" t="str">
        <f t="shared" si="83"/>
        <v>2016-17</v>
      </c>
      <c r="G1101" s="1"/>
      <c r="H1101" s="163"/>
      <c r="I1101" s="37"/>
      <c r="J1101" s="138">
        <f t="shared" si="84"/>
        <v>0.77968490742404351</v>
      </c>
      <c r="K1101" s="114"/>
      <c r="L1101" s="37">
        <v>121.581504638</v>
      </c>
      <c r="M1101" s="37" t="s">
        <v>142</v>
      </c>
      <c r="N1101" s="37">
        <v>1327.9990486829267</v>
      </c>
      <c r="O1101" s="132">
        <f t="shared" si="85"/>
        <v>161460.12249670285</v>
      </c>
      <c r="P1101" s="134">
        <f t="shared" si="86"/>
        <v>125888.02066151649</v>
      </c>
      <c r="Q1101" s="261">
        <v>1</v>
      </c>
      <c r="R1101" s="94"/>
    </row>
    <row r="1102" spans="1:18" x14ac:dyDescent="0.25">
      <c r="A1102" s="367">
        <v>42814</v>
      </c>
      <c r="B1102" s="367" t="s">
        <v>279</v>
      </c>
      <c r="C1102" s="279" t="s">
        <v>620</v>
      </c>
      <c r="D1102" s="159" t="s">
        <v>1109</v>
      </c>
      <c r="E1102" s="45">
        <f t="shared" si="82"/>
        <v>42814</v>
      </c>
      <c r="F1102" s="148" t="str">
        <f t="shared" si="83"/>
        <v>2016-17</v>
      </c>
      <c r="G1102" s="1"/>
      <c r="H1102" s="163"/>
      <c r="I1102" s="37"/>
      <c r="J1102" s="138">
        <f t="shared" si="84"/>
        <v>0.77968490742404351</v>
      </c>
      <c r="K1102" s="114"/>
      <c r="L1102" s="37">
        <v>9.9613546267600004</v>
      </c>
      <c r="M1102" s="37" t="s">
        <v>142</v>
      </c>
      <c r="N1102" s="37">
        <v>1327.9990486829267</v>
      </c>
      <c r="O1102" s="132">
        <f t="shared" si="85"/>
        <v>13228.669467930551</v>
      </c>
      <c r="P1102" s="134">
        <f t="shared" si="86"/>
        <v>10314.193929446703</v>
      </c>
      <c r="Q1102" s="261">
        <v>1</v>
      </c>
      <c r="R1102" s="94"/>
    </row>
    <row r="1103" spans="1:18" x14ac:dyDescent="0.25">
      <c r="A1103" s="367">
        <v>42814</v>
      </c>
      <c r="B1103" s="367" t="s">
        <v>279</v>
      </c>
      <c r="C1103" s="279" t="s">
        <v>620</v>
      </c>
      <c r="D1103" s="159" t="s">
        <v>1109</v>
      </c>
      <c r="E1103" s="45">
        <f t="shared" si="82"/>
        <v>42814</v>
      </c>
      <c r="F1103" s="148" t="str">
        <f t="shared" si="83"/>
        <v>2016-17</v>
      </c>
      <c r="G1103" s="1"/>
      <c r="H1103" s="163"/>
      <c r="I1103" s="37"/>
      <c r="J1103" s="138">
        <f t="shared" si="84"/>
        <v>0.77968490742404351</v>
      </c>
      <c r="K1103" s="114"/>
      <c r="L1103" s="37">
        <v>6.5140452101599999</v>
      </c>
      <c r="M1103" s="37" t="s">
        <v>142</v>
      </c>
      <c r="N1103" s="37">
        <v>1327.9990486829267</v>
      </c>
      <c r="O1103" s="132">
        <f t="shared" si="85"/>
        <v>8650.6458421700554</v>
      </c>
      <c r="P1103" s="134">
        <f t="shared" si="86"/>
        <v>6744.7780026105465</v>
      </c>
      <c r="Q1103" s="261">
        <v>1</v>
      </c>
      <c r="R1103" s="94"/>
    </row>
    <row r="1104" spans="1:18" x14ac:dyDescent="0.25">
      <c r="A1104" s="367">
        <v>41494</v>
      </c>
      <c r="B1104" s="367" t="s">
        <v>279</v>
      </c>
      <c r="C1104" s="279" t="s">
        <v>621</v>
      </c>
      <c r="D1104" s="159" t="s">
        <v>1110</v>
      </c>
      <c r="E1104" s="45">
        <f t="shared" si="82"/>
        <v>41494</v>
      </c>
      <c r="F1104" s="148" t="str">
        <f t="shared" si="83"/>
        <v>2013-14</v>
      </c>
      <c r="G1104" s="1"/>
      <c r="H1104" s="163"/>
      <c r="I1104" s="37"/>
      <c r="J1104" s="138">
        <f t="shared" si="84"/>
        <v>0.77968490742404351</v>
      </c>
      <c r="K1104" s="114"/>
      <c r="L1104" s="37">
        <v>50.555122557399997</v>
      </c>
      <c r="M1104" s="37" t="s">
        <v>142</v>
      </c>
      <c r="N1104" s="37">
        <v>1327.9990486829267</v>
      </c>
      <c r="O1104" s="132">
        <f t="shared" si="85"/>
        <v>67137.154662275963</v>
      </c>
      <c r="P1104" s="134">
        <f t="shared" si="86"/>
        <v>52345.826217570328</v>
      </c>
      <c r="Q1104" s="261">
        <v>1</v>
      </c>
      <c r="R1104" s="94"/>
    </row>
    <row r="1105" spans="1:18" x14ac:dyDescent="0.25">
      <c r="A1105" s="367">
        <v>42814</v>
      </c>
      <c r="B1105" s="367" t="s">
        <v>279</v>
      </c>
      <c r="C1105" s="279" t="s">
        <v>620</v>
      </c>
      <c r="D1105" s="159" t="s">
        <v>1109</v>
      </c>
      <c r="E1105" s="45">
        <f t="shared" si="82"/>
        <v>42814</v>
      </c>
      <c r="F1105" s="148" t="str">
        <f t="shared" si="83"/>
        <v>2016-17</v>
      </c>
      <c r="G1105" s="1"/>
      <c r="H1105" s="163"/>
      <c r="I1105" s="37"/>
      <c r="J1105" s="138">
        <f t="shared" si="84"/>
        <v>0.77968490742404351</v>
      </c>
      <c r="K1105" s="114"/>
      <c r="L1105" s="37">
        <v>7.4773900526899997</v>
      </c>
      <c r="M1105" s="37" t="s">
        <v>142</v>
      </c>
      <c r="N1105" s="37">
        <v>1327.9990486829267</v>
      </c>
      <c r="O1105" s="132">
        <f t="shared" si="85"/>
        <v>9929.9668766034993</v>
      </c>
      <c r="P1105" s="134">
        <f t="shared" si="86"/>
        <v>7742.2453049084179</v>
      </c>
      <c r="Q1105" s="261">
        <v>1</v>
      </c>
      <c r="R1105" s="94"/>
    </row>
    <row r="1106" spans="1:18" x14ac:dyDescent="0.25">
      <c r="A1106" s="367">
        <v>41494</v>
      </c>
      <c r="B1106" s="367" t="s">
        <v>279</v>
      </c>
      <c r="C1106" s="279" t="s">
        <v>621</v>
      </c>
      <c r="D1106" s="159" t="s">
        <v>1110</v>
      </c>
      <c r="E1106" s="45">
        <f t="shared" si="82"/>
        <v>41494</v>
      </c>
      <c r="F1106" s="148" t="str">
        <f t="shared" si="83"/>
        <v>2013-14</v>
      </c>
      <c r="G1106" s="1"/>
      <c r="H1106" s="163"/>
      <c r="I1106" s="37"/>
      <c r="J1106" s="138">
        <f t="shared" si="84"/>
        <v>0.77968490742404351</v>
      </c>
      <c r="K1106" s="114"/>
      <c r="L1106" s="37">
        <v>3.3612441851299999</v>
      </c>
      <c r="M1106" s="37" t="s">
        <v>142</v>
      </c>
      <c r="N1106" s="37">
        <v>1327.9990486829267</v>
      </c>
      <c r="O1106" s="132">
        <f t="shared" si="85"/>
        <v>4463.7290802436592</v>
      </c>
      <c r="P1106" s="134">
        <f t="shared" si="86"/>
        <v>3480.3021946957883</v>
      </c>
      <c r="Q1106" s="261">
        <v>1</v>
      </c>
      <c r="R1106" s="94"/>
    </row>
    <row r="1107" spans="1:18" x14ac:dyDescent="0.25">
      <c r="A1107" s="367">
        <v>41494</v>
      </c>
      <c r="B1107" s="367" t="s">
        <v>279</v>
      </c>
      <c r="C1107" s="279" t="s">
        <v>621</v>
      </c>
      <c r="D1107" s="159" t="s">
        <v>1110</v>
      </c>
      <c r="E1107" s="45">
        <f t="shared" si="82"/>
        <v>41494</v>
      </c>
      <c r="F1107" s="148" t="str">
        <f t="shared" si="83"/>
        <v>2013-14</v>
      </c>
      <c r="G1107" s="1"/>
      <c r="H1107" s="163"/>
      <c r="I1107" s="37"/>
      <c r="J1107" s="138">
        <f t="shared" si="84"/>
        <v>0.77968490742404351</v>
      </c>
      <c r="K1107" s="114"/>
      <c r="L1107" s="37">
        <v>1.9992643647099999</v>
      </c>
      <c r="M1107" s="37" t="s">
        <v>142</v>
      </c>
      <c r="N1107" s="37">
        <v>1327.9990486829267</v>
      </c>
      <c r="O1107" s="132">
        <f t="shared" si="85"/>
        <v>2655.021174400556</v>
      </c>
      <c r="P1107" s="134">
        <f t="shared" si="86"/>
        <v>2070.0799385713726</v>
      </c>
      <c r="Q1107" s="261">
        <v>1</v>
      </c>
      <c r="R1107" s="94"/>
    </row>
    <row r="1108" spans="1:18" x14ac:dyDescent="0.25">
      <c r="A1108" s="367">
        <v>41190</v>
      </c>
      <c r="B1108" s="367" t="s">
        <v>279</v>
      </c>
      <c r="C1108" s="279" t="s">
        <v>622</v>
      </c>
      <c r="D1108" s="159" t="s">
        <v>1111</v>
      </c>
      <c r="E1108" s="45">
        <f t="shared" si="82"/>
        <v>41190</v>
      </c>
      <c r="F1108" s="148" t="str">
        <f t="shared" si="83"/>
        <v>2012-13</v>
      </c>
      <c r="G1108" s="1"/>
      <c r="H1108" s="163"/>
      <c r="I1108" s="37"/>
      <c r="J1108" s="138">
        <f t="shared" si="84"/>
        <v>0.77968490742404351</v>
      </c>
      <c r="K1108" s="114"/>
      <c r="L1108" s="37">
        <v>1.4693025556399999</v>
      </c>
      <c r="M1108" s="37" t="s">
        <v>142</v>
      </c>
      <c r="N1108" s="37">
        <v>771.6404230243902</v>
      </c>
      <c r="O1108" s="132">
        <f t="shared" si="85"/>
        <v>1133.7732455848673</v>
      </c>
      <c r="P1108" s="134">
        <f t="shared" si="86"/>
        <v>883.98588802369454</v>
      </c>
      <c r="Q1108" s="261">
        <v>1</v>
      </c>
      <c r="R1108" s="94"/>
    </row>
    <row r="1109" spans="1:18" x14ac:dyDescent="0.25">
      <c r="A1109" s="367">
        <v>41190</v>
      </c>
      <c r="B1109" s="367" t="s">
        <v>279</v>
      </c>
      <c r="C1109" s="279" t="s">
        <v>622</v>
      </c>
      <c r="D1109" s="159" t="s">
        <v>1111</v>
      </c>
      <c r="E1109" s="45">
        <f t="shared" si="82"/>
        <v>41190</v>
      </c>
      <c r="F1109" s="148" t="str">
        <f t="shared" si="83"/>
        <v>2012-13</v>
      </c>
      <c r="G1109" s="1"/>
      <c r="H1109" s="163"/>
      <c r="I1109" s="37"/>
      <c r="J1109" s="138">
        <f t="shared" si="84"/>
        <v>0.77968490742404351</v>
      </c>
      <c r="K1109" s="114"/>
      <c r="L1109" s="37">
        <v>0.45773791627999999</v>
      </c>
      <c r="M1109" s="37" t="s">
        <v>142</v>
      </c>
      <c r="N1109" s="37">
        <v>771.6404230243902</v>
      </c>
      <c r="O1109" s="132">
        <f t="shared" si="85"/>
        <v>353.20907935260209</v>
      </c>
      <c r="P1109" s="134">
        <f t="shared" si="86"/>
        <v>275.39178833636521</v>
      </c>
      <c r="Q1109" s="261">
        <v>1</v>
      </c>
      <c r="R1109" s="94"/>
    </row>
    <row r="1110" spans="1:18" x14ac:dyDescent="0.25">
      <c r="A1110" s="367">
        <v>43065</v>
      </c>
      <c r="B1110" s="367" t="s">
        <v>279</v>
      </c>
      <c r="C1110" s="279" t="s">
        <v>623</v>
      </c>
      <c r="D1110" s="159" t="s">
        <v>1112</v>
      </c>
      <c r="E1110" s="45">
        <f t="shared" si="82"/>
        <v>43065</v>
      </c>
      <c r="F1110" s="148" t="str">
        <f t="shared" si="83"/>
        <v>2017-18</v>
      </c>
      <c r="G1110" s="1"/>
      <c r="H1110" s="163"/>
      <c r="I1110" s="37"/>
      <c r="J1110" s="138">
        <f t="shared" si="84"/>
        <v>0.77968490742404351</v>
      </c>
      <c r="K1110" s="114"/>
      <c r="L1110" s="37">
        <v>128.76971514300001</v>
      </c>
      <c r="M1110" s="37" t="s">
        <v>142</v>
      </c>
      <c r="N1110" s="37">
        <v>771.6404230243902</v>
      </c>
      <c r="O1110" s="132">
        <f t="shared" si="85"/>
        <v>99363.917465674749</v>
      </c>
      <c r="P1110" s="134">
        <f t="shared" si="86"/>
        <v>48722.558266941327</v>
      </c>
      <c r="Q1110" s="261">
        <v>0.62890094988985834</v>
      </c>
      <c r="R1110" s="94"/>
    </row>
    <row r="1111" spans="1:18" x14ac:dyDescent="0.25">
      <c r="A1111" s="367">
        <v>43065</v>
      </c>
      <c r="B1111" s="367" t="s">
        <v>279</v>
      </c>
      <c r="C1111" s="279" t="s">
        <v>623</v>
      </c>
      <c r="D1111" s="159" t="s">
        <v>1109</v>
      </c>
      <c r="E1111" s="45">
        <f t="shared" ref="E1111:E1174" si="87">IF(A1111&lt;2022,DATEVALUE("30 Jun "&amp;A1111),A1111)</f>
        <v>43065</v>
      </c>
      <c r="F1111" s="148" t="str">
        <f t="shared" si="83"/>
        <v>2017-18</v>
      </c>
      <c r="G1111" s="1"/>
      <c r="H1111" s="163"/>
      <c r="I1111" s="37"/>
      <c r="J1111" s="138">
        <f t="shared" si="84"/>
        <v>0.77968490742404351</v>
      </c>
      <c r="K1111" s="114"/>
      <c r="L1111" s="37">
        <v>20.658467595299999</v>
      </c>
      <c r="M1111" s="37" t="s">
        <v>142</v>
      </c>
      <c r="N1111" s="37">
        <v>1196.8811692682925</v>
      </c>
      <c r="O1111" s="132">
        <f t="shared" si="85"/>
        <v>24725.730850753796</v>
      </c>
      <c r="P1111" s="134">
        <f t="shared" si="86"/>
        <v>12124.1280818535</v>
      </c>
      <c r="Q1111" s="261">
        <v>0.62890094988985834</v>
      </c>
      <c r="R1111" s="94"/>
    </row>
    <row r="1112" spans="1:18" x14ac:dyDescent="0.25">
      <c r="A1112" s="367">
        <v>43065</v>
      </c>
      <c r="B1112" s="367" t="s">
        <v>279</v>
      </c>
      <c r="C1112" s="279" t="s">
        <v>623</v>
      </c>
      <c r="D1112" s="159" t="s">
        <v>1112</v>
      </c>
      <c r="E1112" s="45">
        <f t="shared" si="87"/>
        <v>43065</v>
      </c>
      <c r="F1112" s="148" t="str">
        <f t="shared" ref="F1112:F1175" si="88">IF(E1112="","-",IF(OR(E1112&lt;$E$15,E1112&gt;$E$16),"ERROR - date outside of range",IF(MONTH(E1112)&gt;=7,YEAR(E1112)&amp;"-"&amp;IF(YEAR(E1112)=1999,"00",IF(AND(YEAR(E1112)&gt;=2000,YEAR(E1112)&lt;2009),"0","")&amp;RIGHT(YEAR(E1112),2)+1),RIGHT(YEAR(E1112),4)-1&amp;"-"&amp;RIGHT(YEAR(E1112),2))))</f>
        <v>2017-18</v>
      </c>
      <c r="G1112" s="1"/>
      <c r="H1112" s="163"/>
      <c r="I1112" s="37"/>
      <c r="J1112" s="138">
        <f t="shared" ref="J1112:J1175" si="89">J1111</f>
        <v>0.77968490742404351</v>
      </c>
      <c r="K1112" s="114"/>
      <c r="L1112" s="37">
        <v>1.20010666193</v>
      </c>
      <c r="M1112" s="37" t="s">
        <v>142</v>
      </c>
      <c r="N1112" s="37">
        <v>771.6404230243902</v>
      </c>
      <c r="O1112" s="132">
        <f t="shared" si="85"/>
        <v>926.05081228605411</v>
      </c>
      <c r="P1112" s="134">
        <f t="shared" si="86"/>
        <v>454.08399558463628</v>
      </c>
      <c r="Q1112" s="261">
        <v>0.62890094988985834</v>
      </c>
      <c r="R1112" s="94"/>
    </row>
    <row r="1113" spans="1:18" x14ac:dyDescent="0.25">
      <c r="A1113" s="367">
        <v>43065</v>
      </c>
      <c r="B1113" s="367" t="s">
        <v>279</v>
      </c>
      <c r="C1113" s="279" t="s">
        <v>623</v>
      </c>
      <c r="D1113" s="159" t="s">
        <v>1109</v>
      </c>
      <c r="E1113" s="45">
        <f t="shared" si="87"/>
        <v>43065</v>
      </c>
      <c r="F1113" s="148" t="str">
        <f t="shared" si="88"/>
        <v>2017-18</v>
      </c>
      <c r="G1113" s="1"/>
      <c r="H1113" s="163"/>
      <c r="I1113" s="37"/>
      <c r="J1113" s="138">
        <f t="shared" si="89"/>
        <v>0.77968490742404351</v>
      </c>
      <c r="K1113" s="114"/>
      <c r="L1113" s="37">
        <v>9.4192017666899996</v>
      </c>
      <c r="M1113" s="37" t="s">
        <v>142</v>
      </c>
      <c r="N1113" s="37">
        <v>1196.8811692682925</v>
      </c>
      <c r="O1113" s="132">
        <f t="shared" si="85"/>
        <v>11273.665224089893</v>
      </c>
      <c r="P1113" s="134">
        <f t="shared" si="86"/>
        <v>5527.9806268956672</v>
      </c>
      <c r="Q1113" s="261">
        <v>0.62890094988985834</v>
      </c>
      <c r="R1113" s="94"/>
    </row>
    <row r="1114" spans="1:18" x14ac:dyDescent="0.25">
      <c r="A1114" s="367">
        <v>43065</v>
      </c>
      <c r="B1114" s="367" t="s">
        <v>279</v>
      </c>
      <c r="C1114" s="279" t="s">
        <v>623</v>
      </c>
      <c r="D1114" s="159" t="s">
        <v>1112</v>
      </c>
      <c r="E1114" s="45">
        <f t="shared" si="87"/>
        <v>43065</v>
      </c>
      <c r="F1114" s="148" t="str">
        <f t="shared" si="88"/>
        <v>2017-18</v>
      </c>
      <c r="G1114" s="1"/>
      <c r="H1114" s="163"/>
      <c r="I1114" s="37"/>
      <c r="J1114" s="138">
        <f t="shared" si="89"/>
        <v>0.77968490742404351</v>
      </c>
      <c r="K1114" s="114"/>
      <c r="L1114" s="37">
        <v>31.355373451199998</v>
      </c>
      <c r="M1114" s="37" t="s">
        <v>142</v>
      </c>
      <c r="N1114" s="37">
        <v>771.6404230243902</v>
      </c>
      <c r="O1114" s="132">
        <f t="shared" si="85"/>
        <v>24195.0736339717</v>
      </c>
      <c r="P1114" s="134">
        <f t="shared" si="86"/>
        <v>11863.923192353543</v>
      </c>
      <c r="Q1114" s="261">
        <v>0.62890094988985834</v>
      </c>
      <c r="R1114" s="94"/>
    </row>
    <row r="1115" spans="1:18" x14ac:dyDescent="0.25">
      <c r="A1115" s="367">
        <v>43065</v>
      </c>
      <c r="B1115" s="367" t="s">
        <v>279</v>
      </c>
      <c r="C1115" s="279" t="s">
        <v>623</v>
      </c>
      <c r="D1115" s="159" t="s">
        <v>1109</v>
      </c>
      <c r="E1115" s="45">
        <f t="shared" si="87"/>
        <v>43065</v>
      </c>
      <c r="F1115" s="148" t="str">
        <f t="shared" si="88"/>
        <v>2017-18</v>
      </c>
      <c r="G1115" s="1"/>
      <c r="H1115" s="163"/>
      <c r="I1115" s="37"/>
      <c r="J1115" s="138">
        <f t="shared" si="89"/>
        <v>0.77968490742404351</v>
      </c>
      <c r="K1115" s="114"/>
      <c r="L1115" s="37">
        <v>21.6186162871</v>
      </c>
      <c r="M1115" s="37" t="s">
        <v>142</v>
      </c>
      <c r="N1115" s="37">
        <v>1196.8811692682925</v>
      </c>
      <c r="O1115" s="132">
        <f t="shared" si="85"/>
        <v>25874.914739666801</v>
      </c>
      <c r="P1115" s="134">
        <f t="shared" si="86"/>
        <v>12687.624171934049</v>
      </c>
      <c r="Q1115" s="261">
        <v>0.62890094988985834</v>
      </c>
      <c r="R1115" s="94"/>
    </row>
    <row r="1116" spans="1:18" x14ac:dyDescent="0.25">
      <c r="A1116" s="367">
        <v>43065</v>
      </c>
      <c r="B1116" s="367" t="s">
        <v>279</v>
      </c>
      <c r="C1116" s="279" t="s">
        <v>623</v>
      </c>
      <c r="D1116" s="159" t="s">
        <v>1109</v>
      </c>
      <c r="E1116" s="45">
        <f t="shared" si="87"/>
        <v>43065</v>
      </c>
      <c r="F1116" s="148" t="str">
        <f t="shared" si="88"/>
        <v>2017-18</v>
      </c>
      <c r="G1116" s="1"/>
      <c r="H1116" s="163"/>
      <c r="I1116" s="37"/>
      <c r="J1116" s="138">
        <f t="shared" si="89"/>
        <v>0.77968490742404351</v>
      </c>
      <c r="K1116" s="114"/>
      <c r="L1116" s="37">
        <v>6.7548288086400001</v>
      </c>
      <c r="M1116" s="37" t="s">
        <v>142</v>
      </c>
      <c r="N1116" s="37">
        <v>1196.8811692682925</v>
      </c>
      <c r="O1116" s="132">
        <f t="shared" si="85"/>
        <v>8084.7274026921905</v>
      </c>
      <c r="P1116" s="134">
        <f t="shared" si="86"/>
        <v>3964.3022537440029</v>
      </c>
      <c r="Q1116" s="261">
        <v>0.62890094988985834</v>
      </c>
      <c r="R1116" s="94"/>
    </row>
    <row r="1117" spans="1:18" x14ac:dyDescent="0.25">
      <c r="A1117" s="367">
        <v>43065</v>
      </c>
      <c r="B1117" s="367" t="s">
        <v>279</v>
      </c>
      <c r="C1117" s="279" t="s">
        <v>623</v>
      </c>
      <c r="D1117" s="159" t="s">
        <v>1109</v>
      </c>
      <c r="E1117" s="45">
        <f t="shared" si="87"/>
        <v>43065</v>
      </c>
      <c r="F1117" s="148" t="str">
        <f t="shared" si="88"/>
        <v>2017-18</v>
      </c>
      <c r="G1117" s="1"/>
      <c r="H1117" s="163"/>
      <c r="I1117" s="37"/>
      <c r="J1117" s="138">
        <f t="shared" si="89"/>
        <v>0.77968490742404351</v>
      </c>
      <c r="K1117" s="114"/>
      <c r="L1117" s="37">
        <v>8.2617053114200001</v>
      </c>
      <c r="M1117" s="37" t="s">
        <v>142</v>
      </c>
      <c r="N1117" s="37">
        <v>1196.8811692682925</v>
      </c>
      <c r="O1117" s="132">
        <f t="shared" si="85"/>
        <v>9888.2795132824322</v>
      </c>
      <c r="P1117" s="134">
        <f t="shared" si="86"/>
        <v>4848.6642539243403</v>
      </c>
      <c r="Q1117" s="261">
        <v>0.62890094988985834</v>
      </c>
      <c r="R1117" s="94"/>
    </row>
    <row r="1118" spans="1:18" x14ac:dyDescent="0.25">
      <c r="A1118" s="367">
        <v>43065</v>
      </c>
      <c r="B1118" s="367" t="s">
        <v>279</v>
      </c>
      <c r="C1118" s="279" t="s">
        <v>623</v>
      </c>
      <c r="D1118" s="159" t="s">
        <v>1109</v>
      </c>
      <c r="E1118" s="45">
        <f t="shared" si="87"/>
        <v>43065</v>
      </c>
      <c r="F1118" s="148" t="str">
        <f t="shared" si="88"/>
        <v>2017-18</v>
      </c>
      <c r="G1118" s="1"/>
      <c r="H1118" s="163"/>
      <c r="I1118" s="37"/>
      <c r="J1118" s="138">
        <f t="shared" si="89"/>
        <v>0.77968490742404351</v>
      </c>
      <c r="K1118" s="114"/>
      <c r="L1118" s="37">
        <v>3.4997104263400001</v>
      </c>
      <c r="M1118" s="37" t="s">
        <v>142</v>
      </c>
      <c r="N1118" s="37">
        <v>1196.8811692682925</v>
      </c>
      <c r="O1118" s="132">
        <f t="shared" ref="O1118:O1181" si="90">IF(N1118="","-",L1118*N1118)</f>
        <v>4188.7375071782535</v>
      </c>
      <c r="P1118" s="134">
        <f t="shared" ref="P1118:P1181" si="91">IF(O1118="-","-",IF(OR(E1118&lt;$E$15,E1118&gt;$E$16),0,O1118*J1118))*Q1118</f>
        <v>2053.9247290538492</v>
      </c>
      <c r="Q1118" s="261">
        <v>0.62890094988985834</v>
      </c>
      <c r="R1118" s="94"/>
    </row>
    <row r="1119" spans="1:18" x14ac:dyDescent="0.25">
      <c r="A1119" s="367">
        <v>41816</v>
      </c>
      <c r="B1119" s="367" t="s">
        <v>279</v>
      </c>
      <c r="C1119" s="279" t="s">
        <v>624</v>
      </c>
      <c r="D1119" s="159" t="s">
        <v>1113</v>
      </c>
      <c r="E1119" s="45">
        <f t="shared" si="87"/>
        <v>41816</v>
      </c>
      <c r="F1119" s="148" t="str">
        <f t="shared" si="88"/>
        <v>2013-14</v>
      </c>
      <c r="G1119" s="1"/>
      <c r="H1119" s="163"/>
      <c r="I1119" s="37"/>
      <c r="J1119" s="138">
        <f t="shared" si="89"/>
        <v>0.77968490742404351</v>
      </c>
      <c r="K1119" s="114"/>
      <c r="L1119" s="37">
        <v>23.597652941</v>
      </c>
      <c r="M1119" s="37" t="s">
        <v>142</v>
      </c>
      <c r="N1119" s="37">
        <v>696.6467060487804</v>
      </c>
      <c r="O1119" s="132">
        <f t="shared" si="90"/>
        <v>16439.227191829967</v>
      </c>
      <c r="P1119" s="134">
        <f t="shared" si="91"/>
        <v>12817.417331184766</v>
      </c>
      <c r="Q1119" s="261">
        <v>1</v>
      </c>
      <c r="R1119" s="94"/>
    </row>
    <row r="1120" spans="1:18" x14ac:dyDescent="0.25">
      <c r="A1120" s="367">
        <v>41816</v>
      </c>
      <c r="B1120" s="367" t="s">
        <v>279</v>
      </c>
      <c r="C1120" s="279" t="s">
        <v>624</v>
      </c>
      <c r="D1120" s="159" t="s">
        <v>1113</v>
      </c>
      <c r="E1120" s="45">
        <f t="shared" si="87"/>
        <v>41816</v>
      </c>
      <c r="F1120" s="148" t="str">
        <f t="shared" si="88"/>
        <v>2013-14</v>
      </c>
      <c r="G1120" s="1"/>
      <c r="H1120" s="163"/>
      <c r="I1120" s="37"/>
      <c r="J1120" s="138">
        <f t="shared" si="89"/>
        <v>0.77968490742404351</v>
      </c>
      <c r="K1120" s="114"/>
      <c r="L1120" s="37">
        <v>19.460897505399998</v>
      </c>
      <c r="M1120" s="37" t="s">
        <v>142</v>
      </c>
      <c r="N1120" s="37">
        <v>771.6404230243902</v>
      </c>
      <c r="O1120" s="132">
        <f t="shared" si="90"/>
        <v>15016.815183501154</v>
      </c>
      <c r="P1120" s="134">
        <f t="shared" si="91"/>
        <v>11708.384156152068</v>
      </c>
      <c r="Q1120" s="261">
        <v>1</v>
      </c>
      <c r="R1120" s="94"/>
    </row>
    <row r="1121" spans="1:18" x14ac:dyDescent="0.25">
      <c r="A1121" s="367">
        <v>41816</v>
      </c>
      <c r="B1121" s="367" t="s">
        <v>279</v>
      </c>
      <c r="C1121" s="279" t="s">
        <v>624</v>
      </c>
      <c r="D1121" s="159" t="s">
        <v>1113</v>
      </c>
      <c r="E1121" s="45">
        <f t="shared" si="87"/>
        <v>41816</v>
      </c>
      <c r="F1121" s="148" t="str">
        <f t="shared" si="88"/>
        <v>2013-14</v>
      </c>
      <c r="G1121" s="1"/>
      <c r="H1121" s="163"/>
      <c r="I1121" s="37"/>
      <c r="J1121" s="138">
        <f t="shared" si="89"/>
        <v>0.77968490742404351</v>
      </c>
      <c r="K1121" s="114"/>
      <c r="L1121" s="37">
        <v>3.9996502685699999</v>
      </c>
      <c r="M1121" s="37" t="s">
        <v>142</v>
      </c>
      <c r="N1121" s="37">
        <v>771.6404230243902</v>
      </c>
      <c r="O1121" s="132">
        <f t="shared" si="90"/>
        <v>3086.2918251889705</v>
      </c>
      <c r="P1121" s="134">
        <f t="shared" si="91"/>
        <v>2406.3351560060446</v>
      </c>
      <c r="Q1121" s="261">
        <v>1</v>
      </c>
      <c r="R1121" s="94"/>
    </row>
    <row r="1122" spans="1:18" x14ac:dyDescent="0.25">
      <c r="A1122" s="367">
        <v>41816</v>
      </c>
      <c r="B1122" s="367" t="s">
        <v>279</v>
      </c>
      <c r="C1122" s="279" t="s">
        <v>624</v>
      </c>
      <c r="D1122" s="159" t="s">
        <v>1113</v>
      </c>
      <c r="E1122" s="45">
        <f t="shared" si="87"/>
        <v>41816</v>
      </c>
      <c r="F1122" s="148" t="str">
        <f t="shared" si="88"/>
        <v>2013-14</v>
      </c>
      <c r="G1122" s="1"/>
      <c r="H1122" s="163"/>
      <c r="I1122" s="37"/>
      <c r="J1122" s="138">
        <f t="shared" si="89"/>
        <v>0.77968490742404351</v>
      </c>
      <c r="K1122" s="114"/>
      <c r="L1122" s="37">
        <v>6.39880677848</v>
      </c>
      <c r="M1122" s="37" t="s">
        <v>142</v>
      </c>
      <c r="N1122" s="37">
        <v>696.6467060487804</v>
      </c>
      <c r="O1122" s="132">
        <f t="shared" si="90"/>
        <v>4457.7076648706998</v>
      </c>
      <c r="P1122" s="134">
        <f t="shared" si="91"/>
        <v>3475.6073880081608</v>
      </c>
      <c r="Q1122" s="261">
        <v>1</v>
      </c>
      <c r="R1122" s="94"/>
    </row>
    <row r="1123" spans="1:18" x14ac:dyDescent="0.25">
      <c r="A1123" s="367">
        <v>41816</v>
      </c>
      <c r="B1123" s="367" t="s">
        <v>279</v>
      </c>
      <c r="C1123" s="279" t="s">
        <v>624</v>
      </c>
      <c r="D1123" s="159" t="s">
        <v>1113</v>
      </c>
      <c r="E1123" s="45">
        <f t="shared" si="87"/>
        <v>41816</v>
      </c>
      <c r="F1123" s="148" t="str">
        <f t="shared" si="88"/>
        <v>2013-14</v>
      </c>
      <c r="G1123" s="1"/>
      <c r="H1123" s="163"/>
      <c r="I1123" s="37"/>
      <c r="J1123" s="138">
        <f t="shared" si="89"/>
        <v>0.77968490742404351</v>
      </c>
      <c r="K1123" s="114"/>
      <c r="L1123" s="37">
        <v>141.23746413999999</v>
      </c>
      <c r="M1123" s="37" t="s">
        <v>142</v>
      </c>
      <c r="N1123" s="37">
        <v>696.6467060487804</v>
      </c>
      <c r="O1123" s="132">
        <f t="shared" si="90"/>
        <v>98392.614163813734</v>
      </c>
      <c r="P1123" s="134">
        <f t="shared" si="91"/>
        <v>76715.236265522748</v>
      </c>
      <c r="Q1123" s="261">
        <v>1</v>
      </c>
      <c r="R1123" s="94"/>
    </row>
    <row r="1124" spans="1:18" x14ac:dyDescent="0.25">
      <c r="A1124" s="367">
        <v>41816</v>
      </c>
      <c r="B1124" s="367" t="s">
        <v>279</v>
      </c>
      <c r="C1124" s="279" t="s">
        <v>624</v>
      </c>
      <c r="D1124" s="159" t="s">
        <v>1113</v>
      </c>
      <c r="E1124" s="45">
        <f t="shared" si="87"/>
        <v>41816</v>
      </c>
      <c r="F1124" s="148" t="str">
        <f t="shared" si="88"/>
        <v>2013-14</v>
      </c>
      <c r="G1124" s="1"/>
      <c r="H1124" s="163"/>
      <c r="I1124" s="37"/>
      <c r="J1124" s="138">
        <f t="shared" si="89"/>
        <v>0.77968490742404351</v>
      </c>
      <c r="K1124" s="114"/>
      <c r="L1124" s="37">
        <v>93.504389559700002</v>
      </c>
      <c r="M1124" s="37" t="s">
        <v>142</v>
      </c>
      <c r="N1124" s="37">
        <v>696.6467060487804</v>
      </c>
      <c r="O1124" s="132">
        <f t="shared" si="90"/>
        <v>65139.524987866978</v>
      </c>
      <c r="P1124" s="134">
        <f t="shared" si="91"/>
        <v>50788.304509811234</v>
      </c>
      <c r="Q1124" s="261">
        <v>1</v>
      </c>
      <c r="R1124" s="94"/>
    </row>
    <row r="1125" spans="1:18" x14ac:dyDescent="0.25">
      <c r="A1125" s="367">
        <v>41816</v>
      </c>
      <c r="B1125" s="367" t="s">
        <v>279</v>
      </c>
      <c r="C1125" s="279" t="s">
        <v>624</v>
      </c>
      <c r="D1125" s="159" t="s">
        <v>1113</v>
      </c>
      <c r="E1125" s="45">
        <f t="shared" si="87"/>
        <v>41816</v>
      </c>
      <c r="F1125" s="148" t="str">
        <f t="shared" si="88"/>
        <v>2013-14</v>
      </c>
      <c r="G1125" s="1"/>
      <c r="H1125" s="163"/>
      <c r="I1125" s="37"/>
      <c r="J1125" s="138">
        <f t="shared" si="89"/>
        <v>0.77968490742404351</v>
      </c>
      <c r="K1125" s="114"/>
      <c r="L1125" s="37">
        <v>15.2331204366</v>
      </c>
      <c r="M1125" s="37" t="s">
        <v>142</v>
      </c>
      <c r="N1125" s="37">
        <v>696.6467060487804</v>
      </c>
      <c r="O1125" s="132">
        <f t="shared" si="90"/>
        <v>10612.10317500175</v>
      </c>
      <c r="P1125" s="134">
        <f t="shared" si="91"/>
        <v>8274.0966815756383</v>
      </c>
      <c r="Q1125" s="261">
        <v>1</v>
      </c>
      <c r="R1125" s="94"/>
    </row>
    <row r="1126" spans="1:18" x14ac:dyDescent="0.25">
      <c r="A1126" s="367">
        <v>41816</v>
      </c>
      <c r="B1126" s="367" t="s">
        <v>279</v>
      </c>
      <c r="C1126" s="279" t="s">
        <v>624</v>
      </c>
      <c r="D1126" s="159" t="s">
        <v>1113</v>
      </c>
      <c r="E1126" s="45">
        <f t="shared" si="87"/>
        <v>41816</v>
      </c>
      <c r="F1126" s="148" t="str">
        <f t="shared" si="88"/>
        <v>2013-14</v>
      </c>
      <c r="G1126" s="1"/>
      <c r="H1126" s="163"/>
      <c r="I1126" s="37"/>
      <c r="J1126" s="138">
        <f t="shared" si="89"/>
        <v>0.77968490742404351</v>
      </c>
      <c r="K1126" s="114"/>
      <c r="L1126" s="37">
        <v>18.6300703472</v>
      </c>
      <c r="M1126" s="37" t="s">
        <v>142</v>
      </c>
      <c r="N1126" s="37">
        <v>696.6467060487804</v>
      </c>
      <c r="O1126" s="132">
        <f t="shared" si="90"/>
        <v>12978.577140833939</v>
      </c>
      <c r="P1126" s="134">
        <f t="shared" si="91"/>
        <v>10119.200716546917</v>
      </c>
      <c r="Q1126" s="261">
        <v>1</v>
      </c>
      <c r="R1126" s="94"/>
    </row>
    <row r="1127" spans="1:18" x14ac:dyDescent="0.25">
      <c r="A1127" s="367">
        <v>41816</v>
      </c>
      <c r="B1127" s="367" t="s">
        <v>279</v>
      </c>
      <c r="C1127" s="279" t="s">
        <v>624</v>
      </c>
      <c r="D1127" s="159" t="s">
        <v>1113</v>
      </c>
      <c r="E1127" s="45">
        <f t="shared" si="87"/>
        <v>41816</v>
      </c>
      <c r="F1127" s="148" t="str">
        <f t="shared" si="88"/>
        <v>2013-14</v>
      </c>
      <c r="G1127" s="1"/>
      <c r="H1127" s="163"/>
      <c r="I1127" s="37"/>
      <c r="J1127" s="138">
        <f t="shared" si="89"/>
        <v>0.77968490742404351</v>
      </c>
      <c r="K1127" s="114"/>
      <c r="L1127" s="37">
        <v>1.5003376286700001</v>
      </c>
      <c r="M1127" s="37" t="s">
        <v>142</v>
      </c>
      <c r="N1127" s="37">
        <v>696.6467060487804</v>
      </c>
      <c r="O1127" s="132">
        <f t="shared" si="90"/>
        <v>1045.2052669739937</v>
      </c>
      <c r="P1127" s="134">
        <f t="shared" si="91"/>
        <v>814.93077181974093</v>
      </c>
      <c r="Q1127" s="261">
        <v>1</v>
      </c>
      <c r="R1127" s="94"/>
    </row>
    <row r="1128" spans="1:18" x14ac:dyDescent="0.25">
      <c r="A1128" s="367">
        <v>41816</v>
      </c>
      <c r="B1128" s="367" t="s">
        <v>279</v>
      </c>
      <c r="C1128" s="279" t="s">
        <v>624</v>
      </c>
      <c r="D1128" s="159" t="s">
        <v>1113</v>
      </c>
      <c r="E1128" s="45">
        <f t="shared" si="87"/>
        <v>41816</v>
      </c>
      <c r="F1128" s="148" t="str">
        <f t="shared" si="88"/>
        <v>2013-14</v>
      </c>
      <c r="G1128" s="1"/>
      <c r="H1128" s="163"/>
      <c r="I1128" s="37"/>
      <c r="J1128" s="138">
        <f t="shared" si="89"/>
        <v>0.77968490742404351</v>
      </c>
      <c r="K1128" s="114"/>
      <c r="L1128" s="37">
        <v>3.4991538523800001</v>
      </c>
      <c r="M1128" s="37" t="s">
        <v>142</v>
      </c>
      <c r="N1128" s="37">
        <v>696.6467060487804</v>
      </c>
      <c r="O1128" s="132">
        <f t="shared" si="90"/>
        <v>2437.6740052184273</v>
      </c>
      <c r="P1128" s="134">
        <f t="shared" si="91"/>
        <v>1900.6176310887267</v>
      </c>
      <c r="Q1128" s="261">
        <v>1</v>
      </c>
      <c r="R1128" s="94"/>
    </row>
    <row r="1129" spans="1:18" x14ac:dyDescent="0.25">
      <c r="A1129" s="367">
        <v>41816</v>
      </c>
      <c r="B1129" s="367" t="s">
        <v>279</v>
      </c>
      <c r="C1129" s="279" t="s">
        <v>624</v>
      </c>
      <c r="D1129" s="159" t="s">
        <v>1113</v>
      </c>
      <c r="E1129" s="45">
        <f t="shared" si="87"/>
        <v>41816</v>
      </c>
      <c r="F1129" s="148" t="str">
        <f t="shared" si="88"/>
        <v>2013-14</v>
      </c>
      <c r="G1129" s="1"/>
      <c r="H1129" s="163"/>
      <c r="I1129" s="37"/>
      <c r="J1129" s="138">
        <f t="shared" si="89"/>
        <v>0.77968490742404351</v>
      </c>
      <c r="K1129" s="114"/>
      <c r="L1129" s="37">
        <v>351.83059295999999</v>
      </c>
      <c r="M1129" s="37" t="s">
        <v>142</v>
      </c>
      <c r="N1129" s="37">
        <v>771.6404230243902</v>
      </c>
      <c r="O1129" s="132">
        <f t="shared" si="90"/>
        <v>271486.70758457645</v>
      </c>
      <c r="P1129" s="134">
        <f t="shared" si="91"/>
        <v>211674.08846993887</v>
      </c>
      <c r="Q1129" s="261">
        <v>1</v>
      </c>
      <c r="R1129" s="94"/>
    </row>
    <row r="1130" spans="1:18" x14ac:dyDescent="0.25">
      <c r="A1130" s="367">
        <v>41816</v>
      </c>
      <c r="B1130" s="367" t="s">
        <v>279</v>
      </c>
      <c r="C1130" s="279" t="s">
        <v>624</v>
      </c>
      <c r="D1130" s="159" t="s">
        <v>1113</v>
      </c>
      <c r="E1130" s="45">
        <f t="shared" si="87"/>
        <v>41816</v>
      </c>
      <c r="F1130" s="148" t="str">
        <f t="shared" si="88"/>
        <v>2013-14</v>
      </c>
      <c r="G1130" s="1"/>
      <c r="H1130" s="163"/>
      <c r="I1130" s="37"/>
      <c r="J1130" s="138">
        <f t="shared" si="89"/>
        <v>0.77968490742404351</v>
      </c>
      <c r="K1130" s="114"/>
      <c r="L1130" s="37">
        <v>3.6713154318300001</v>
      </c>
      <c r="M1130" s="37" t="s">
        <v>142</v>
      </c>
      <c r="N1130" s="37">
        <v>696.6467060487804</v>
      </c>
      <c r="O1130" s="132">
        <f t="shared" si="90"/>
        <v>2557.6098024504254</v>
      </c>
      <c r="P1130" s="134">
        <f t="shared" si="91"/>
        <v>1994.129762050386</v>
      </c>
      <c r="Q1130" s="261">
        <v>1</v>
      </c>
      <c r="R1130" s="94"/>
    </row>
    <row r="1131" spans="1:18" x14ac:dyDescent="0.25">
      <c r="A1131" s="367">
        <v>39326</v>
      </c>
      <c r="B1131" s="367" t="s">
        <v>279</v>
      </c>
      <c r="C1131" s="279" t="s">
        <v>625</v>
      </c>
      <c r="D1131" s="159" t="s">
        <v>1114</v>
      </c>
      <c r="E1131" s="45">
        <f t="shared" si="87"/>
        <v>39326</v>
      </c>
      <c r="F1131" s="148" t="str">
        <f t="shared" si="88"/>
        <v>2007-08</v>
      </c>
      <c r="G1131" s="1"/>
      <c r="H1131" s="163"/>
      <c r="I1131" s="37"/>
      <c r="J1131" s="138">
        <f t="shared" si="89"/>
        <v>0.77968490742404351</v>
      </c>
      <c r="K1131" s="114"/>
      <c r="L1131" s="37">
        <v>225.82356897599999</v>
      </c>
      <c r="M1131" s="37" t="s">
        <v>142</v>
      </c>
      <c r="N1131" s="37">
        <v>696.6467060487804</v>
      </c>
      <c r="O1131" s="132">
        <f t="shared" si="90"/>
        <v>157319.24547530996</v>
      </c>
      <c r="P1131" s="134">
        <f t="shared" si="91"/>
        <v>122659.44134443742</v>
      </c>
      <c r="Q1131" s="261">
        <v>1</v>
      </c>
      <c r="R1131" s="94"/>
    </row>
    <row r="1132" spans="1:18" x14ac:dyDescent="0.25">
      <c r="A1132" s="367">
        <v>39326</v>
      </c>
      <c r="B1132" s="367" t="s">
        <v>279</v>
      </c>
      <c r="C1132" s="279" t="s">
        <v>625</v>
      </c>
      <c r="D1132" s="159" t="s">
        <v>1114</v>
      </c>
      <c r="E1132" s="45">
        <f t="shared" si="87"/>
        <v>39326</v>
      </c>
      <c r="F1132" s="148" t="str">
        <f t="shared" si="88"/>
        <v>2007-08</v>
      </c>
      <c r="G1132" s="1"/>
      <c r="H1132" s="163"/>
      <c r="I1132" s="37"/>
      <c r="J1132" s="138">
        <f t="shared" si="89"/>
        <v>0.77968490742404351</v>
      </c>
      <c r="K1132" s="114"/>
      <c r="L1132" s="37">
        <v>3.6017280574699999</v>
      </c>
      <c r="M1132" s="37" t="s">
        <v>142</v>
      </c>
      <c r="N1132" s="37">
        <v>696.6467060487804</v>
      </c>
      <c r="O1132" s="132">
        <f t="shared" si="90"/>
        <v>2509.1319873199477</v>
      </c>
      <c r="P1132" s="134">
        <f t="shared" si="91"/>
        <v>1956.3323412482598</v>
      </c>
      <c r="Q1132" s="261">
        <v>1</v>
      </c>
      <c r="R1132" s="94"/>
    </row>
    <row r="1133" spans="1:18" x14ac:dyDescent="0.25">
      <c r="A1133" s="367">
        <v>39326</v>
      </c>
      <c r="B1133" s="367" t="s">
        <v>279</v>
      </c>
      <c r="C1133" s="279" t="s">
        <v>625</v>
      </c>
      <c r="D1133" s="159" t="s">
        <v>1114</v>
      </c>
      <c r="E1133" s="45">
        <f t="shared" si="87"/>
        <v>39326</v>
      </c>
      <c r="F1133" s="148" t="str">
        <f t="shared" si="88"/>
        <v>2007-08</v>
      </c>
      <c r="G1133" s="1"/>
      <c r="H1133" s="163"/>
      <c r="I1133" s="37"/>
      <c r="J1133" s="138">
        <f t="shared" si="89"/>
        <v>0.77968490742404351</v>
      </c>
      <c r="K1133" s="114"/>
      <c r="L1133" s="37">
        <v>2.6862529415099998</v>
      </c>
      <c r="M1133" s="37" t="s">
        <v>142</v>
      </c>
      <c r="N1133" s="37">
        <v>696.6467060487804</v>
      </c>
      <c r="O1133" s="132">
        <f t="shared" si="90"/>
        <v>1871.3692633167886</v>
      </c>
      <c r="P1133" s="134">
        <f t="shared" si="91"/>
        <v>1459.0783708253509</v>
      </c>
      <c r="Q1133" s="261">
        <v>1</v>
      </c>
      <c r="R1133" s="94"/>
    </row>
    <row r="1134" spans="1:18" x14ac:dyDescent="0.25">
      <c r="A1134" s="367">
        <v>40615</v>
      </c>
      <c r="B1134" s="367" t="s">
        <v>279</v>
      </c>
      <c r="C1134" s="279" t="s">
        <v>618</v>
      </c>
      <c r="D1134" s="159" t="s">
        <v>1110</v>
      </c>
      <c r="E1134" s="45">
        <f t="shared" si="87"/>
        <v>40615</v>
      </c>
      <c r="F1134" s="148" t="str">
        <f t="shared" si="88"/>
        <v>2010-11</v>
      </c>
      <c r="G1134" s="1"/>
      <c r="H1134" s="163"/>
      <c r="I1134" s="37"/>
      <c r="J1134" s="138">
        <f t="shared" si="89"/>
        <v>0.77968490742404351</v>
      </c>
      <c r="K1134" s="114"/>
      <c r="L1134" s="37">
        <v>195.437305678</v>
      </c>
      <c r="M1134" s="37" t="s">
        <v>142</v>
      </c>
      <c r="N1134" s="37">
        <v>1047.4028947317072</v>
      </c>
      <c r="O1134" s="132">
        <f t="shared" si="90"/>
        <v>204701.59970570271</v>
      </c>
      <c r="P1134" s="134">
        <f t="shared" si="91"/>
        <v>159602.74781609443</v>
      </c>
      <c r="Q1134" s="261">
        <v>1</v>
      </c>
      <c r="R1134" s="94"/>
    </row>
    <row r="1135" spans="1:18" x14ac:dyDescent="0.25">
      <c r="A1135" s="367">
        <v>41494</v>
      </c>
      <c r="B1135" s="367" t="s">
        <v>279</v>
      </c>
      <c r="C1135" s="279" t="s">
        <v>621</v>
      </c>
      <c r="D1135" s="159" t="s">
        <v>1110</v>
      </c>
      <c r="E1135" s="45">
        <f t="shared" si="87"/>
        <v>41494</v>
      </c>
      <c r="F1135" s="148" t="str">
        <f t="shared" si="88"/>
        <v>2013-14</v>
      </c>
      <c r="G1135" s="1"/>
      <c r="H1135" s="163"/>
      <c r="I1135" s="37"/>
      <c r="J1135" s="138">
        <f t="shared" si="89"/>
        <v>0.77968490742404351</v>
      </c>
      <c r="K1135" s="114"/>
      <c r="L1135" s="37">
        <v>55.1290645367</v>
      </c>
      <c r="M1135" s="37" t="s">
        <v>142</v>
      </c>
      <c r="N1135" s="37">
        <v>1327.9990486829267</v>
      </c>
      <c r="O1135" s="132">
        <f t="shared" si="90"/>
        <v>73211.345259517271</v>
      </c>
      <c r="P1135" s="134">
        <f t="shared" si="91"/>
        <v>57081.780951056411</v>
      </c>
      <c r="Q1135" s="261">
        <v>1</v>
      </c>
      <c r="R1135" s="94"/>
    </row>
    <row r="1136" spans="1:18" x14ac:dyDescent="0.25">
      <c r="A1136" s="367">
        <v>41494</v>
      </c>
      <c r="B1136" s="367" t="s">
        <v>279</v>
      </c>
      <c r="C1136" s="279" t="s">
        <v>621</v>
      </c>
      <c r="D1136" s="159" t="s">
        <v>1110</v>
      </c>
      <c r="E1136" s="45">
        <f t="shared" si="87"/>
        <v>41494</v>
      </c>
      <c r="F1136" s="148" t="str">
        <f t="shared" si="88"/>
        <v>2013-14</v>
      </c>
      <c r="G1136" s="1"/>
      <c r="H1136" s="163"/>
      <c r="I1136" s="37"/>
      <c r="J1136" s="138">
        <f t="shared" si="89"/>
        <v>0.77968490742404351</v>
      </c>
      <c r="K1136" s="114"/>
      <c r="L1136" s="37">
        <v>7.0141744539299999</v>
      </c>
      <c r="M1136" s="37" t="s">
        <v>142</v>
      </c>
      <c r="N1136" s="37">
        <v>1327.9990486829267</v>
      </c>
      <c r="O1136" s="132">
        <f t="shared" si="90"/>
        <v>9314.8170021151273</v>
      </c>
      <c r="P1136" s="134">
        <f t="shared" si="91"/>
        <v>7262.6222319660392</v>
      </c>
      <c r="Q1136" s="261">
        <v>1</v>
      </c>
      <c r="R1136" s="94"/>
    </row>
    <row r="1137" spans="1:18" x14ac:dyDescent="0.25">
      <c r="A1137" s="367">
        <v>41494</v>
      </c>
      <c r="B1137" s="367" t="s">
        <v>279</v>
      </c>
      <c r="C1137" s="279" t="s">
        <v>621</v>
      </c>
      <c r="D1137" s="159" t="s">
        <v>1110</v>
      </c>
      <c r="E1137" s="45">
        <f t="shared" si="87"/>
        <v>41494</v>
      </c>
      <c r="F1137" s="148" t="str">
        <f t="shared" si="88"/>
        <v>2013-14</v>
      </c>
      <c r="G1137" s="1"/>
      <c r="H1137" s="163"/>
      <c r="I1137" s="37"/>
      <c r="J1137" s="138">
        <f t="shared" si="89"/>
        <v>0.77968490742404351</v>
      </c>
      <c r="K1137" s="114"/>
      <c r="L1137" s="37">
        <v>0.75026661927600002</v>
      </c>
      <c r="M1137" s="37" t="s">
        <v>142</v>
      </c>
      <c r="N1137" s="37">
        <v>1327.9990486829267</v>
      </c>
      <c r="O1137" s="132">
        <f t="shared" si="90"/>
        <v>996.35335665708362</v>
      </c>
      <c r="P1137" s="134">
        <f t="shared" si="91"/>
        <v>776.8416746468132</v>
      </c>
      <c r="Q1137" s="261">
        <v>1</v>
      </c>
      <c r="R1137" s="94"/>
    </row>
    <row r="1138" spans="1:18" x14ac:dyDescent="0.25">
      <c r="A1138" s="367">
        <v>40615</v>
      </c>
      <c r="B1138" s="367" t="s">
        <v>279</v>
      </c>
      <c r="C1138" s="279" t="s">
        <v>618</v>
      </c>
      <c r="D1138" s="159" t="s">
        <v>1110</v>
      </c>
      <c r="E1138" s="45">
        <f t="shared" si="87"/>
        <v>40615</v>
      </c>
      <c r="F1138" s="148" t="str">
        <f t="shared" si="88"/>
        <v>2010-11</v>
      </c>
      <c r="G1138" s="1"/>
      <c r="H1138" s="163"/>
      <c r="I1138" s="37"/>
      <c r="J1138" s="138">
        <f t="shared" si="89"/>
        <v>0.77968490742404351</v>
      </c>
      <c r="K1138" s="114"/>
      <c r="L1138" s="37">
        <v>5.0995031746699997</v>
      </c>
      <c r="M1138" s="37" t="s">
        <v>142</v>
      </c>
      <c r="N1138" s="37">
        <v>1047.4028947317072</v>
      </c>
      <c r="O1138" s="132">
        <f t="shared" si="90"/>
        <v>5341.2343868428879</v>
      </c>
      <c r="P1138" s="134">
        <f t="shared" si="91"/>
        <v>4164.4798384357146</v>
      </c>
      <c r="Q1138" s="261">
        <v>1</v>
      </c>
      <c r="R1138" s="94"/>
    </row>
    <row r="1139" spans="1:18" x14ac:dyDescent="0.25">
      <c r="A1139" s="367">
        <v>43831</v>
      </c>
      <c r="B1139" s="367" t="s">
        <v>279</v>
      </c>
      <c r="C1139" s="279"/>
      <c r="D1139" s="159" t="s">
        <v>1115</v>
      </c>
      <c r="E1139" s="45">
        <f t="shared" si="87"/>
        <v>43831</v>
      </c>
      <c r="F1139" s="148" t="str">
        <f t="shared" si="88"/>
        <v>2019-20</v>
      </c>
      <c r="G1139" s="1"/>
      <c r="H1139" s="163"/>
      <c r="I1139" s="37"/>
      <c r="J1139" s="138">
        <f t="shared" si="89"/>
        <v>0.77968490742404351</v>
      </c>
      <c r="K1139" s="114"/>
      <c r="L1139" s="37">
        <v>0.50035387477299997</v>
      </c>
      <c r="M1139" s="37" t="s">
        <v>142</v>
      </c>
      <c r="N1139" s="37">
        <v>1047.4028947317072</v>
      </c>
      <c r="O1139" s="132">
        <f t="shared" si="90"/>
        <v>524.07209682746634</v>
      </c>
      <c r="P1139" s="134">
        <f t="shared" si="91"/>
        <v>408.61110429844746</v>
      </c>
      <c r="Q1139" s="261">
        <v>1</v>
      </c>
      <c r="R1139" s="94"/>
    </row>
    <row r="1140" spans="1:18" x14ac:dyDescent="0.25">
      <c r="A1140" s="367">
        <v>42985</v>
      </c>
      <c r="B1140" s="367" t="s">
        <v>279</v>
      </c>
      <c r="C1140" s="279" t="s">
        <v>626</v>
      </c>
      <c r="D1140" s="159" t="s">
        <v>1116</v>
      </c>
      <c r="E1140" s="45">
        <f t="shared" si="87"/>
        <v>42985</v>
      </c>
      <c r="F1140" s="148" t="str">
        <f t="shared" si="88"/>
        <v>2017-18</v>
      </c>
      <c r="G1140" s="1"/>
      <c r="H1140" s="163"/>
      <c r="I1140" s="37"/>
      <c r="J1140" s="138">
        <f t="shared" si="89"/>
        <v>0.77968490742404351</v>
      </c>
      <c r="K1140" s="114"/>
      <c r="L1140" s="37">
        <v>28.291248191899999</v>
      </c>
      <c r="M1140" s="37" t="s">
        <v>142</v>
      </c>
      <c r="N1140" s="37">
        <v>1327.9990486829267</v>
      </c>
      <c r="O1140" s="132">
        <f t="shared" si="90"/>
        <v>37570.750684895771</v>
      </c>
      <c r="P1140" s="134">
        <f t="shared" si="91"/>
        <v>29293.347269604779</v>
      </c>
      <c r="Q1140" s="261">
        <v>1</v>
      </c>
      <c r="R1140" s="94"/>
    </row>
    <row r="1141" spans="1:18" x14ac:dyDescent="0.25">
      <c r="A1141" s="367">
        <v>41437</v>
      </c>
      <c r="B1141" s="367" t="s">
        <v>279</v>
      </c>
      <c r="C1141" s="279" t="s">
        <v>627</v>
      </c>
      <c r="D1141" s="159" t="s">
        <v>1117</v>
      </c>
      <c r="E1141" s="45">
        <f t="shared" si="87"/>
        <v>41437</v>
      </c>
      <c r="F1141" s="148" t="str">
        <f t="shared" si="88"/>
        <v>2012-13</v>
      </c>
      <c r="G1141" s="1"/>
      <c r="H1141" s="163"/>
      <c r="I1141" s="37"/>
      <c r="J1141" s="138">
        <f t="shared" si="89"/>
        <v>0.77968490742404351</v>
      </c>
      <c r="K1141" s="114"/>
      <c r="L1141" s="37">
        <v>4.0992318518899999</v>
      </c>
      <c r="M1141" s="37" t="s">
        <v>142</v>
      </c>
      <c r="N1141" s="37">
        <v>936.5640883902438</v>
      </c>
      <c r="O1141" s="132">
        <f t="shared" si="90"/>
        <v>3839.1933424656086</v>
      </c>
      <c r="P1141" s="134">
        <f t="shared" si="91"/>
        <v>2993.3611058033021</v>
      </c>
      <c r="Q1141" s="261">
        <v>1</v>
      </c>
      <c r="R1141" s="94"/>
    </row>
    <row r="1142" spans="1:18" x14ac:dyDescent="0.25">
      <c r="A1142" s="367">
        <v>39937</v>
      </c>
      <c r="B1142" s="367" t="s">
        <v>279</v>
      </c>
      <c r="C1142" s="279" t="s">
        <v>628</v>
      </c>
      <c r="D1142" s="159" t="s">
        <v>1117</v>
      </c>
      <c r="E1142" s="45">
        <f t="shared" si="87"/>
        <v>39937</v>
      </c>
      <c r="F1142" s="148" t="str">
        <f t="shared" si="88"/>
        <v>2008-09</v>
      </c>
      <c r="G1142" s="1"/>
      <c r="H1142" s="163"/>
      <c r="I1142" s="37"/>
      <c r="J1142" s="138">
        <f t="shared" si="89"/>
        <v>0.77968490742404351</v>
      </c>
      <c r="K1142" s="114"/>
      <c r="L1142" s="37">
        <v>12.967628040599999</v>
      </c>
      <c r="M1142" s="37" t="s">
        <v>142</v>
      </c>
      <c r="N1142" s="37">
        <v>936.5640883902438</v>
      </c>
      <c r="O1142" s="132">
        <f t="shared" si="90"/>
        <v>12145.014734428301</v>
      </c>
      <c r="P1142" s="134">
        <f t="shared" si="91"/>
        <v>9469.2846888763743</v>
      </c>
      <c r="Q1142" s="261">
        <v>1</v>
      </c>
      <c r="R1142" s="94"/>
    </row>
    <row r="1143" spans="1:18" x14ac:dyDescent="0.25">
      <c r="A1143" s="367">
        <v>42683</v>
      </c>
      <c r="B1143" s="367" t="s">
        <v>279</v>
      </c>
      <c r="C1143" s="279" t="s">
        <v>629</v>
      </c>
      <c r="D1143" s="159" t="s">
        <v>1116</v>
      </c>
      <c r="E1143" s="45">
        <f t="shared" si="87"/>
        <v>42683</v>
      </c>
      <c r="F1143" s="148" t="str">
        <f t="shared" si="88"/>
        <v>2016-17</v>
      </c>
      <c r="G1143" s="1"/>
      <c r="H1143" s="163"/>
      <c r="I1143" s="37"/>
      <c r="J1143" s="138">
        <f t="shared" si="89"/>
        <v>0.77968490742404351</v>
      </c>
      <c r="K1143" s="114"/>
      <c r="L1143" s="37">
        <v>16.907805528000001</v>
      </c>
      <c r="M1143" s="37" t="s">
        <v>142</v>
      </c>
      <c r="N1143" s="37">
        <v>1047.4028947317072</v>
      </c>
      <c r="O1143" s="132">
        <f t="shared" si="90"/>
        <v>17709.284453587963</v>
      </c>
      <c r="P1143" s="134">
        <f t="shared" si="91"/>
        <v>13807.661809741783</v>
      </c>
      <c r="Q1143" s="261">
        <v>1</v>
      </c>
      <c r="R1143" s="94"/>
    </row>
    <row r="1144" spans="1:18" x14ac:dyDescent="0.25">
      <c r="A1144" s="367">
        <v>42618</v>
      </c>
      <c r="B1144" s="367" t="s">
        <v>279</v>
      </c>
      <c r="C1144" s="279" t="s">
        <v>630</v>
      </c>
      <c r="D1144" s="159" t="s">
        <v>1109</v>
      </c>
      <c r="E1144" s="45">
        <f t="shared" si="87"/>
        <v>42618</v>
      </c>
      <c r="F1144" s="148" t="str">
        <f t="shared" si="88"/>
        <v>2016-17</v>
      </c>
      <c r="G1144" s="1"/>
      <c r="H1144" s="163"/>
      <c r="I1144" s="37"/>
      <c r="J1144" s="138">
        <f t="shared" si="89"/>
        <v>0.77968490742404351</v>
      </c>
      <c r="K1144" s="114"/>
      <c r="L1144" s="37">
        <v>2.2955862743300002</v>
      </c>
      <c r="M1144" s="37" t="s">
        <v>142</v>
      </c>
      <c r="N1144" s="37">
        <v>1047.4028947317072</v>
      </c>
      <c r="O1144" s="132">
        <f t="shared" si="90"/>
        <v>2404.4037088396171</v>
      </c>
      <c r="P1144" s="134">
        <f t="shared" si="91"/>
        <v>1874.6772831366438</v>
      </c>
      <c r="Q1144" s="261">
        <v>1</v>
      </c>
      <c r="R1144" s="94"/>
    </row>
    <row r="1145" spans="1:18" x14ac:dyDescent="0.25">
      <c r="A1145" s="367">
        <v>42618</v>
      </c>
      <c r="B1145" s="367" t="s">
        <v>279</v>
      </c>
      <c r="C1145" s="279" t="s">
        <v>630</v>
      </c>
      <c r="D1145" s="159" t="s">
        <v>1109</v>
      </c>
      <c r="E1145" s="45">
        <f t="shared" si="87"/>
        <v>42618</v>
      </c>
      <c r="F1145" s="148" t="str">
        <f t="shared" si="88"/>
        <v>2016-17</v>
      </c>
      <c r="G1145" s="1"/>
      <c r="H1145" s="163"/>
      <c r="I1145" s="37"/>
      <c r="J1145" s="138">
        <f t="shared" si="89"/>
        <v>0.77968490742404351</v>
      </c>
      <c r="K1145" s="114"/>
      <c r="L1145" s="37">
        <v>0.99957841113099999</v>
      </c>
      <c r="M1145" s="37" t="s">
        <v>142</v>
      </c>
      <c r="N1145" s="37">
        <v>1047.4028947317072</v>
      </c>
      <c r="O1145" s="132">
        <f t="shared" si="90"/>
        <v>1046.9613213299299</v>
      </c>
      <c r="P1145" s="134">
        <f t="shared" si="91"/>
        <v>816.2999408976807</v>
      </c>
      <c r="Q1145" s="261">
        <v>1</v>
      </c>
      <c r="R1145" s="94"/>
    </row>
    <row r="1146" spans="1:18" x14ac:dyDescent="0.25">
      <c r="A1146" s="367">
        <v>42618</v>
      </c>
      <c r="B1146" s="367" t="s">
        <v>279</v>
      </c>
      <c r="C1146" s="279" t="s">
        <v>630</v>
      </c>
      <c r="D1146" s="159" t="s">
        <v>1109</v>
      </c>
      <c r="E1146" s="45">
        <f t="shared" si="87"/>
        <v>42618</v>
      </c>
      <c r="F1146" s="148" t="str">
        <f t="shared" si="88"/>
        <v>2016-17</v>
      </c>
      <c r="G1146" s="1"/>
      <c r="H1146" s="163"/>
      <c r="I1146" s="37"/>
      <c r="J1146" s="138">
        <f t="shared" si="89"/>
        <v>0.77968490742404351</v>
      </c>
      <c r="K1146" s="114"/>
      <c r="L1146" s="37">
        <v>14.104991846100001</v>
      </c>
      <c r="M1146" s="37" t="s">
        <v>142</v>
      </c>
      <c r="N1146" s="37">
        <v>1327.9990486829267</v>
      </c>
      <c r="O1146" s="132">
        <f t="shared" si="90"/>
        <v>18731.41575330124</v>
      </c>
      <c r="P1146" s="134">
        <f t="shared" si="91"/>
        <v>14604.602157533947</v>
      </c>
      <c r="Q1146" s="261">
        <v>1</v>
      </c>
      <c r="R1146" s="94"/>
    </row>
    <row r="1147" spans="1:18" x14ac:dyDescent="0.25">
      <c r="A1147" s="367">
        <v>42618</v>
      </c>
      <c r="B1147" s="367" t="s">
        <v>279</v>
      </c>
      <c r="C1147" s="279" t="s">
        <v>630</v>
      </c>
      <c r="D1147" s="159" t="s">
        <v>1109</v>
      </c>
      <c r="E1147" s="45">
        <f t="shared" si="87"/>
        <v>42618</v>
      </c>
      <c r="F1147" s="148" t="str">
        <f t="shared" si="88"/>
        <v>2016-17</v>
      </c>
      <c r="G1147" s="1"/>
      <c r="H1147" s="163"/>
      <c r="I1147" s="37"/>
      <c r="J1147" s="138">
        <f t="shared" si="89"/>
        <v>0.77968490742404351</v>
      </c>
      <c r="K1147" s="114"/>
      <c r="L1147" s="37">
        <v>1.19977125805</v>
      </c>
      <c r="M1147" s="37" t="s">
        <v>142</v>
      </c>
      <c r="N1147" s="37">
        <v>1196.8811692682925</v>
      </c>
      <c r="O1147" s="132">
        <f t="shared" si="90"/>
        <v>1435.9836261893743</v>
      </c>
      <c r="P1147" s="134">
        <f t="shared" si="91"/>
        <v>1119.6147606479046</v>
      </c>
      <c r="Q1147" s="261">
        <v>1</v>
      </c>
      <c r="R1147" s="94"/>
    </row>
    <row r="1148" spans="1:18" x14ac:dyDescent="0.25">
      <c r="A1148" s="367">
        <v>42618</v>
      </c>
      <c r="B1148" s="367" t="s">
        <v>279</v>
      </c>
      <c r="C1148" s="279" t="s">
        <v>630</v>
      </c>
      <c r="D1148" s="159" t="s">
        <v>1109</v>
      </c>
      <c r="E1148" s="45">
        <f t="shared" si="87"/>
        <v>42618</v>
      </c>
      <c r="F1148" s="148" t="str">
        <f t="shared" si="88"/>
        <v>2016-17</v>
      </c>
      <c r="G1148" s="1"/>
      <c r="H1148" s="163"/>
      <c r="I1148" s="37"/>
      <c r="J1148" s="138">
        <f t="shared" si="89"/>
        <v>0.77968490742404351</v>
      </c>
      <c r="K1148" s="114"/>
      <c r="L1148" s="37">
        <v>1.31026447712</v>
      </c>
      <c r="M1148" s="37" t="s">
        <v>142</v>
      </c>
      <c r="N1148" s="37">
        <v>1047.4028947317072</v>
      </c>
      <c r="O1148" s="132">
        <f t="shared" si="90"/>
        <v>1372.3748061996148</v>
      </c>
      <c r="P1148" s="134">
        <f t="shared" si="91"/>
        <v>1070.0199237228362</v>
      </c>
      <c r="Q1148" s="261">
        <v>1</v>
      </c>
      <c r="R1148" s="94"/>
    </row>
    <row r="1149" spans="1:18" x14ac:dyDescent="0.25">
      <c r="A1149" s="367">
        <v>42618</v>
      </c>
      <c r="B1149" s="367" t="s">
        <v>279</v>
      </c>
      <c r="C1149" s="279" t="s">
        <v>630</v>
      </c>
      <c r="D1149" s="159" t="s">
        <v>1109</v>
      </c>
      <c r="E1149" s="45">
        <f t="shared" si="87"/>
        <v>42618</v>
      </c>
      <c r="F1149" s="148" t="str">
        <f t="shared" si="88"/>
        <v>2016-17</v>
      </c>
      <c r="G1149" s="1"/>
      <c r="H1149" s="163"/>
      <c r="I1149" s="37"/>
      <c r="J1149" s="138">
        <f t="shared" si="89"/>
        <v>0.77968490742404351</v>
      </c>
      <c r="K1149" s="114"/>
      <c r="L1149" s="37">
        <v>0.87941457800099998</v>
      </c>
      <c r="M1149" s="37" t="s">
        <v>142</v>
      </c>
      <c r="N1149" s="37">
        <v>1047.4028947317072</v>
      </c>
      <c r="O1149" s="132">
        <f t="shared" si="90"/>
        <v>921.10137466751007</v>
      </c>
      <c r="P1149" s="134">
        <f t="shared" si="91"/>
        <v>718.16884003579685</v>
      </c>
      <c r="Q1149" s="261">
        <v>1</v>
      </c>
      <c r="R1149" s="94"/>
    </row>
    <row r="1150" spans="1:18" x14ac:dyDescent="0.25">
      <c r="A1150" s="367">
        <v>42618</v>
      </c>
      <c r="B1150" s="367" t="s">
        <v>279</v>
      </c>
      <c r="C1150" s="279" t="s">
        <v>630</v>
      </c>
      <c r="D1150" s="159" t="s">
        <v>1109</v>
      </c>
      <c r="E1150" s="45">
        <f t="shared" si="87"/>
        <v>42618</v>
      </c>
      <c r="F1150" s="148" t="str">
        <f t="shared" si="88"/>
        <v>2016-17</v>
      </c>
      <c r="G1150" s="1"/>
      <c r="H1150" s="163"/>
      <c r="I1150" s="37"/>
      <c r="J1150" s="138">
        <f t="shared" si="89"/>
        <v>0.77968490742404351</v>
      </c>
      <c r="K1150" s="114"/>
      <c r="L1150" s="37">
        <v>2.1914974356200001</v>
      </c>
      <c r="M1150" s="37" t="s">
        <v>142</v>
      </c>
      <c r="N1150" s="37">
        <v>1196.8811692682925</v>
      </c>
      <c r="O1150" s="132">
        <f t="shared" si="90"/>
        <v>2622.9620131933302</v>
      </c>
      <c r="P1150" s="134">
        <f t="shared" si="91"/>
        <v>2045.0838944334243</v>
      </c>
      <c r="Q1150" s="261">
        <v>1</v>
      </c>
      <c r="R1150" s="94"/>
    </row>
    <row r="1151" spans="1:18" x14ac:dyDescent="0.25">
      <c r="A1151" s="367">
        <v>42086</v>
      </c>
      <c r="B1151" s="367" t="s">
        <v>279</v>
      </c>
      <c r="C1151" s="279" t="s">
        <v>631</v>
      </c>
      <c r="D1151" s="159" t="s">
        <v>1118</v>
      </c>
      <c r="E1151" s="45">
        <f t="shared" si="87"/>
        <v>42086</v>
      </c>
      <c r="F1151" s="148" t="str">
        <f t="shared" si="88"/>
        <v>2014-15</v>
      </c>
      <c r="G1151" s="1"/>
      <c r="H1151" s="163"/>
      <c r="I1151" s="37"/>
      <c r="J1151" s="138">
        <f t="shared" si="89"/>
        <v>0.77968490742404351</v>
      </c>
      <c r="K1151" s="114"/>
      <c r="L1151" s="37">
        <v>126.19309770700001</v>
      </c>
      <c r="M1151" s="37" t="s">
        <v>142</v>
      </c>
      <c r="N1151" s="37">
        <v>1512.3336585365851</v>
      </c>
      <c r="O1151" s="132">
        <f t="shared" si="90"/>
        <v>190846.06913729207</v>
      </c>
      <c r="P1151" s="134">
        <f t="shared" si="91"/>
        <v>148799.79974755217</v>
      </c>
      <c r="Q1151" s="261">
        <v>1</v>
      </c>
      <c r="R1151" s="94"/>
    </row>
    <row r="1152" spans="1:18" x14ac:dyDescent="0.25">
      <c r="A1152" s="367">
        <v>42086</v>
      </c>
      <c r="B1152" s="367" t="s">
        <v>279</v>
      </c>
      <c r="C1152" s="279" t="s">
        <v>631</v>
      </c>
      <c r="D1152" s="159" t="s">
        <v>1118</v>
      </c>
      <c r="E1152" s="45">
        <f t="shared" si="87"/>
        <v>42086</v>
      </c>
      <c r="F1152" s="148" t="str">
        <f t="shared" si="88"/>
        <v>2014-15</v>
      </c>
      <c r="G1152" s="1"/>
      <c r="H1152" s="163"/>
      <c r="I1152" s="37"/>
      <c r="J1152" s="138">
        <f t="shared" si="89"/>
        <v>0.77968490742404351</v>
      </c>
      <c r="K1152" s="114"/>
      <c r="L1152" s="37">
        <v>37.835375166200002</v>
      </c>
      <c r="M1152" s="37" t="s">
        <v>142</v>
      </c>
      <c r="N1152" s="37">
        <v>1181.2618378536583</v>
      </c>
      <c r="O1152" s="132">
        <f t="shared" si="90"/>
        <v>44693.484804708081</v>
      </c>
      <c r="P1152" s="134">
        <f t="shared" si="91"/>
        <v>34846.835562416716</v>
      </c>
      <c r="Q1152" s="261">
        <v>1</v>
      </c>
      <c r="R1152" s="94"/>
    </row>
    <row r="1153" spans="1:18" x14ac:dyDescent="0.25">
      <c r="A1153" s="367">
        <v>43611</v>
      </c>
      <c r="B1153" s="367" t="s">
        <v>279</v>
      </c>
      <c r="C1153" s="279" t="s">
        <v>632</v>
      </c>
      <c r="D1153" s="159" t="s">
        <v>1109</v>
      </c>
      <c r="E1153" s="45">
        <f t="shared" si="87"/>
        <v>43611</v>
      </c>
      <c r="F1153" s="148" t="str">
        <f t="shared" si="88"/>
        <v>2018-19</v>
      </c>
      <c r="G1153" s="1"/>
      <c r="H1153" s="163"/>
      <c r="I1153" s="37"/>
      <c r="J1153" s="138">
        <f t="shared" si="89"/>
        <v>0.77968490742404351</v>
      </c>
      <c r="K1153" s="114"/>
      <c r="L1153" s="37">
        <v>79.916277796700001</v>
      </c>
      <c r="M1153" s="37" t="s">
        <v>142</v>
      </c>
      <c r="N1153" s="37">
        <v>1196.8811692682925</v>
      </c>
      <c r="O1153" s="132">
        <f t="shared" si="90"/>
        <v>95650.288012883975</v>
      </c>
      <c r="P1153" s="134">
        <f t="shared" si="91"/>
        <v>74577.08595440854</v>
      </c>
      <c r="Q1153" s="261">
        <v>1</v>
      </c>
      <c r="R1153" s="94"/>
    </row>
    <row r="1154" spans="1:18" x14ac:dyDescent="0.25">
      <c r="A1154" s="367">
        <v>42993</v>
      </c>
      <c r="B1154" s="367" t="s">
        <v>279</v>
      </c>
      <c r="C1154" s="279" t="s">
        <v>633</v>
      </c>
      <c r="D1154" s="159" t="s">
        <v>1109</v>
      </c>
      <c r="E1154" s="45">
        <f t="shared" si="87"/>
        <v>42993</v>
      </c>
      <c r="F1154" s="148" t="str">
        <f t="shared" si="88"/>
        <v>2017-18</v>
      </c>
      <c r="G1154" s="1"/>
      <c r="H1154" s="163"/>
      <c r="I1154" s="37"/>
      <c r="J1154" s="138">
        <f t="shared" si="89"/>
        <v>0.77968490742404351</v>
      </c>
      <c r="K1154" s="114"/>
      <c r="L1154" s="37">
        <v>0.99800450900799997</v>
      </c>
      <c r="M1154" s="37" t="s">
        <v>142</v>
      </c>
      <c r="N1154" s="37">
        <v>1047.4028947317072</v>
      </c>
      <c r="O1154" s="132">
        <f t="shared" si="90"/>
        <v>1045.3128116902753</v>
      </c>
      <c r="P1154" s="134">
        <f t="shared" si="91"/>
        <v>815.0146228118989</v>
      </c>
      <c r="Q1154" s="261">
        <v>1</v>
      </c>
      <c r="R1154" s="94"/>
    </row>
    <row r="1155" spans="1:18" x14ac:dyDescent="0.25">
      <c r="A1155" s="367">
        <v>42993</v>
      </c>
      <c r="B1155" s="367" t="s">
        <v>279</v>
      </c>
      <c r="C1155" s="279" t="s">
        <v>633</v>
      </c>
      <c r="D1155" s="159" t="s">
        <v>1109</v>
      </c>
      <c r="E1155" s="45">
        <f t="shared" si="87"/>
        <v>42993</v>
      </c>
      <c r="F1155" s="148" t="str">
        <f t="shared" si="88"/>
        <v>2017-18</v>
      </c>
      <c r="G1155" s="1"/>
      <c r="H1155" s="163"/>
      <c r="I1155" s="37"/>
      <c r="J1155" s="138">
        <f t="shared" si="89"/>
        <v>0.77968490742404351</v>
      </c>
      <c r="K1155" s="114"/>
      <c r="L1155" s="37">
        <v>6.9097827751700001</v>
      </c>
      <c r="M1155" s="37" t="s">
        <v>142</v>
      </c>
      <c r="N1155" s="37">
        <v>2676.2485135609754</v>
      </c>
      <c r="O1155" s="132">
        <f t="shared" si="90"/>
        <v>18492.295881077946</v>
      </c>
      <c r="P1155" s="134">
        <f t="shared" si="91"/>
        <v>14418.164002096279</v>
      </c>
      <c r="Q1155" s="261">
        <v>1</v>
      </c>
      <c r="R1155" s="94"/>
    </row>
    <row r="1156" spans="1:18" x14ac:dyDescent="0.25">
      <c r="A1156" s="367">
        <v>42993</v>
      </c>
      <c r="B1156" s="367" t="s">
        <v>279</v>
      </c>
      <c r="C1156" s="279" t="s">
        <v>633</v>
      </c>
      <c r="D1156" s="159" t="s">
        <v>1109</v>
      </c>
      <c r="E1156" s="45">
        <f t="shared" si="87"/>
        <v>42993</v>
      </c>
      <c r="F1156" s="148" t="str">
        <f t="shared" si="88"/>
        <v>2017-18</v>
      </c>
      <c r="G1156" s="1"/>
      <c r="H1156" s="163"/>
      <c r="I1156" s="37"/>
      <c r="J1156" s="138">
        <f t="shared" si="89"/>
        <v>0.77968490742404351</v>
      </c>
      <c r="K1156" s="114"/>
      <c r="L1156" s="37">
        <v>0.79631275262900003</v>
      </c>
      <c r="M1156" s="37" t="s">
        <v>142</v>
      </c>
      <c r="N1156" s="37">
        <v>2455.9619512195122</v>
      </c>
      <c r="O1156" s="132">
        <f t="shared" si="90"/>
        <v>1955.7138217276997</v>
      </c>
      <c r="P1156" s="134">
        <f t="shared" si="91"/>
        <v>1524.8405500416839</v>
      </c>
      <c r="Q1156" s="261">
        <v>1</v>
      </c>
      <c r="R1156" s="94"/>
    </row>
    <row r="1157" spans="1:18" x14ac:dyDescent="0.25">
      <c r="A1157" s="367">
        <v>42993</v>
      </c>
      <c r="B1157" s="367" t="s">
        <v>279</v>
      </c>
      <c r="C1157" s="279" t="s">
        <v>633</v>
      </c>
      <c r="D1157" s="159" t="s">
        <v>1109</v>
      </c>
      <c r="E1157" s="45">
        <f t="shared" si="87"/>
        <v>42993</v>
      </c>
      <c r="F1157" s="148" t="str">
        <f t="shared" si="88"/>
        <v>2017-18</v>
      </c>
      <c r="G1157" s="1"/>
      <c r="H1157" s="163"/>
      <c r="I1157" s="37"/>
      <c r="J1157" s="138">
        <f t="shared" si="89"/>
        <v>0.77968490742404351</v>
      </c>
      <c r="K1157" s="114"/>
      <c r="L1157" s="37">
        <v>0.63669458926599998</v>
      </c>
      <c r="M1157" s="37" t="s">
        <v>142</v>
      </c>
      <c r="N1157" s="37">
        <v>1047.4028947317072</v>
      </c>
      <c r="O1157" s="132">
        <f t="shared" si="90"/>
        <v>666.87575585722368</v>
      </c>
      <c r="P1157" s="134">
        <f t="shared" si="91"/>
        <v>519.95296196887853</v>
      </c>
      <c r="Q1157" s="261">
        <v>1</v>
      </c>
      <c r="R1157" s="94"/>
    </row>
    <row r="1158" spans="1:18" x14ac:dyDescent="0.25">
      <c r="A1158" s="367">
        <v>42993</v>
      </c>
      <c r="B1158" s="367" t="s">
        <v>279</v>
      </c>
      <c r="C1158" s="279" t="s">
        <v>633</v>
      </c>
      <c r="D1158" s="159" t="s">
        <v>1109</v>
      </c>
      <c r="E1158" s="45">
        <f t="shared" si="87"/>
        <v>42993</v>
      </c>
      <c r="F1158" s="148" t="str">
        <f t="shared" si="88"/>
        <v>2017-18</v>
      </c>
      <c r="G1158" s="1"/>
      <c r="H1158" s="163"/>
      <c r="I1158" s="37"/>
      <c r="J1158" s="138">
        <f t="shared" si="89"/>
        <v>0.77968490742404351</v>
      </c>
      <c r="K1158" s="114"/>
      <c r="L1158" s="37">
        <v>12.0030216453</v>
      </c>
      <c r="M1158" s="37" t="s">
        <v>142</v>
      </c>
      <c r="N1158" s="37">
        <v>1327.9990486829267</v>
      </c>
      <c r="O1158" s="132">
        <f t="shared" si="90"/>
        <v>15940.001326278978</v>
      </c>
      <c r="P1158" s="134">
        <f t="shared" si="91"/>
        <v>12428.178458418955</v>
      </c>
      <c r="Q1158" s="261">
        <v>1</v>
      </c>
      <c r="R1158" s="94"/>
    </row>
    <row r="1159" spans="1:18" x14ac:dyDescent="0.25">
      <c r="A1159" s="367">
        <v>42993</v>
      </c>
      <c r="B1159" s="367" t="s">
        <v>279</v>
      </c>
      <c r="C1159" s="279" t="s">
        <v>633</v>
      </c>
      <c r="D1159" s="159" t="s">
        <v>1109</v>
      </c>
      <c r="E1159" s="45">
        <f t="shared" si="87"/>
        <v>42993</v>
      </c>
      <c r="F1159" s="148" t="str">
        <f t="shared" si="88"/>
        <v>2017-18</v>
      </c>
      <c r="G1159" s="1"/>
      <c r="H1159" s="163"/>
      <c r="I1159" s="37"/>
      <c r="J1159" s="138">
        <f t="shared" si="89"/>
        <v>0.77968490742404351</v>
      </c>
      <c r="K1159" s="114"/>
      <c r="L1159" s="37">
        <v>13.4721629795</v>
      </c>
      <c r="M1159" s="37" t="s">
        <v>142</v>
      </c>
      <c r="N1159" s="37">
        <v>1327.9990486829267</v>
      </c>
      <c r="O1159" s="132">
        <f t="shared" si="90"/>
        <v>17891.019620477346</v>
      </c>
      <c r="P1159" s="134">
        <f t="shared" si="91"/>
        <v>13949.357976513626</v>
      </c>
      <c r="Q1159" s="261">
        <v>1</v>
      </c>
      <c r="R1159" s="94"/>
    </row>
    <row r="1160" spans="1:18" x14ac:dyDescent="0.25">
      <c r="A1160" s="367">
        <v>42993</v>
      </c>
      <c r="B1160" s="367" t="s">
        <v>279</v>
      </c>
      <c r="C1160" s="279" t="s">
        <v>633</v>
      </c>
      <c r="D1160" s="159" t="s">
        <v>1109</v>
      </c>
      <c r="E1160" s="45">
        <f t="shared" si="87"/>
        <v>42993</v>
      </c>
      <c r="F1160" s="148" t="str">
        <f t="shared" si="88"/>
        <v>2017-18</v>
      </c>
      <c r="G1160" s="1"/>
      <c r="H1160" s="163"/>
      <c r="I1160" s="37"/>
      <c r="J1160" s="138">
        <f t="shared" si="89"/>
        <v>0.77968490742404351</v>
      </c>
      <c r="K1160" s="114"/>
      <c r="L1160" s="37">
        <v>0.61229486360700003</v>
      </c>
      <c r="M1160" s="37" t="s">
        <v>142</v>
      </c>
      <c r="N1160" s="37">
        <v>1047.4028947317072</v>
      </c>
      <c r="O1160" s="132">
        <f t="shared" si="90"/>
        <v>641.31941257132769</v>
      </c>
      <c r="P1160" s="134">
        <f t="shared" si="91"/>
        <v>500.02706681991759</v>
      </c>
      <c r="Q1160" s="261">
        <v>1</v>
      </c>
      <c r="R1160" s="94"/>
    </row>
    <row r="1161" spans="1:18" x14ac:dyDescent="0.25">
      <c r="A1161" s="367">
        <v>42993</v>
      </c>
      <c r="B1161" s="367" t="s">
        <v>279</v>
      </c>
      <c r="C1161" s="279" t="s">
        <v>633</v>
      </c>
      <c r="D1161" s="159" t="s">
        <v>1109</v>
      </c>
      <c r="E1161" s="45">
        <f t="shared" si="87"/>
        <v>42993</v>
      </c>
      <c r="F1161" s="148" t="str">
        <f t="shared" si="88"/>
        <v>2017-18</v>
      </c>
      <c r="G1161" s="1"/>
      <c r="H1161" s="163"/>
      <c r="I1161" s="37"/>
      <c r="J1161" s="138">
        <f t="shared" si="89"/>
        <v>0.77968490742404351</v>
      </c>
      <c r="K1161" s="114"/>
      <c r="L1161" s="37">
        <v>7.3640783861900001</v>
      </c>
      <c r="M1161" s="37" t="s">
        <v>142</v>
      </c>
      <c r="N1161" s="37">
        <v>2455.9619512195122</v>
      </c>
      <c r="O1161" s="132">
        <f t="shared" si="90"/>
        <v>18085.896322280631</v>
      </c>
      <c r="P1161" s="134">
        <f t="shared" si="91"/>
        <v>14101.300399718222</v>
      </c>
      <c r="Q1161" s="261">
        <v>1</v>
      </c>
      <c r="R1161" s="94"/>
    </row>
    <row r="1162" spans="1:18" x14ac:dyDescent="0.25">
      <c r="A1162" s="367">
        <v>42993</v>
      </c>
      <c r="B1162" s="367" t="s">
        <v>279</v>
      </c>
      <c r="C1162" s="279" t="s">
        <v>633</v>
      </c>
      <c r="D1162" s="159" t="s">
        <v>1109</v>
      </c>
      <c r="E1162" s="45">
        <f t="shared" si="87"/>
        <v>42993</v>
      </c>
      <c r="F1162" s="148" t="str">
        <f t="shared" si="88"/>
        <v>2017-18</v>
      </c>
      <c r="G1162" s="1"/>
      <c r="H1162" s="163"/>
      <c r="I1162" s="37"/>
      <c r="J1162" s="138">
        <f t="shared" si="89"/>
        <v>0.77968490742404351</v>
      </c>
      <c r="K1162" s="114"/>
      <c r="L1162" s="37">
        <v>0.45848991264799999</v>
      </c>
      <c r="M1162" s="37" t="s">
        <v>142</v>
      </c>
      <c r="N1162" s="37">
        <v>2261.9112195121947</v>
      </c>
      <c r="O1162" s="132">
        <f t="shared" si="90"/>
        <v>1037.0634774516773</v>
      </c>
      <c r="P1162" s="134">
        <f t="shared" si="91"/>
        <v>808.58274140976766</v>
      </c>
      <c r="Q1162" s="261">
        <v>1</v>
      </c>
      <c r="R1162" s="94"/>
    </row>
    <row r="1163" spans="1:18" x14ac:dyDescent="0.25">
      <c r="A1163" s="367">
        <v>42993</v>
      </c>
      <c r="B1163" s="367" t="s">
        <v>279</v>
      </c>
      <c r="C1163" s="279" t="s">
        <v>633</v>
      </c>
      <c r="D1163" s="159" t="s">
        <v>1109</v>
      </c>
      <c r="E1163" s="45">
        <f t="shared" si="87"/>
        <v>42993</v>
      </c>
      <c r="F1163" s="148" t="str">
        <f t="shared" si="88"/>
        <v>2017-18</v>
      </c>
      <c r="G1163" s="1"/>
      <c r="H1163" s="163"/>
      <c r="I1163" s="37"/>
      <c r="J1163" s="138">
        <f t="shared" si="89"/>
        <v>0.77968490742404351</v>
      </c>
      <c r="K1163" s="114"/>
      <c r="L1163" s="37">
        <v>0.61371654695</v>
      </c>
      <c r="M1163" s="37" t="s">
        <v>142</v>
      </c>
      <c r="N1163" s="37">
        <v>1047.4028947317072</v>
      </c>
      <c r="O1163" s="132">
        <f t="shared" si="90"/>
        <v>642.80848782017767</v>
      </c>
      <c r="P1163" s="134">
        <f t="shared" si="91"/>
        <v>501.18807631746461</v>
      </c>
      <c r="Q1163" s="261">
        <v>1</v>
      </c>
      <c r="R1163" s="94"/>
    </row>
    <row r="1164" spans="1:18" x14ac:dyDescent="0.25">
      <c r="A1164" s="367">
        <v>42993</v>
      </c>
      <c r="B1164" s="367" t="s">
        <v>279</v>
      </c>
      <c r="C1164" s="279" t="s">
        <v>503</v>
      </c>
      <c r="D1164" s="159" t="s">
        <v>1116</v>
      </c>
      <c r="E1164" s="45">
        <f t="shared" si="87"/>
        <v>42993</v>
      </c>
      <c r="F1164" s="148" t="str">
        <f t="shared" si="88"/>
        <v>2017-18</v>
      </c>
      <c r="G1164" s="1"/>
      <c r="H1164" s="163"/>
      <c r="I1164" s="37"/>
      <c r="J1164" s="138">
        <f t="shared" si="89"/>
        <v>0.77968490742404351</v>
      </c>
      <c r="K1164" s="114"/>
      <c r="L1164" s="37">
        <v>1.1627815788</v>
      </c>
      <c r="M1164" s="37" t="s">
        <v>142</v>
      </c>
      <c r="N1164" s="37">
        <v>1047.4028947317072</v>
      </c>
      <c r="O1164" s="132">
        <f t="shared" si="90"/>
        <v>1217.9007915758248</v>
      </c>
      <c r="P1164" s="134">
        <f t="shared" si="91"/>
        <v>949.57886593146623</v>
      </c>
      <c r="Q1164" s="261">
        <v>1</v>
      </c>
      <c r="R1164" s="94"/>
    </row>
    <row r="1165" spans="1:18" x14ac:dyDescent="0.25">
      <c r="A1165" s="367">
        <v>42993</v>
      </c>
      <c r="B1165" s="367" t="s">
        <v>279</v>
      </c>
      <c r="C1165" s="279" t="s">
        <v>503</v>
      </c>
      <c r="D1165" s="159" t="s">
        <v>1116</v>
      </c>
      <c r="E1165" s="45">
        <f t="shared" si="87"/>
        <v>42993</v>
      </c>
      <c r="F1165" s="148" t="str">
        <f t="shared" si="88"/>
        <v>2017-18</v>
      </c>
      <c r="G1165" s="1"/>
      <c r="H1165" s="163"/>
      <c r="I1165" s="37"/>
      <c r="J1165" s="138">
        <f t="shared" si="89"/>
        <v>0.77968490742404351</v>
      </c>
      <c r="K1165" s="114"/>
      <c r="L1165" s="37">
        <v>11.4214229441</v>
      </c>
      <c r="M1165" s="37" t="s">
        <v>142</v>
      </c>
      <c r="N1165" s="37">
        <v>1327.9990486829267</v>
      </c>
      <c r="O1165" s="132">
        <f t="shared" si="90"/>
        <v>15167.638804370152</v>
      </c>
      <c r="P1165" s="134">
        <f t="shared" si="91"/>
        <v>11825.979057026672</v>
      </c>
      <c r="Q1165" s="261">
        <v>1</v>
      </c>
      <c r="R1165" s="94"/>
    </row>
    <row r="1166" spans="1:18" x14ac:dyDescent="0.25">
      <c r="A1166" s="367">
        <v>42993</v>
      </c>
      <c r="B1166" s="367" t="s">
        <v>279</v>
      </c>
      <c r="C1166" s="279" t="s">
        <v>503</v>
      </c>
      <c r="D1166" s="159" t="s">
        <v>1116</v>
      </c>
      <c r="E1166" s="45">
        <f t="shared" si="87"/>
        <v>42993</v>
      </c>
      <c r="F1166" s="148" t="str">
        <f t="shared" si="88"/>
        <v>2017-18</v>
      </c>
      <c r="G1166" s="1"/>
      <c r="H1166" s="163"/>
      <c r="I1166" s="37"/>
      <c r="J1166" s="138">
        <f t="shared" si="89"/>
        <v>0.77968490742404351</v>
      </c>
      <c r="K1166" s="114"/>
      <c r="L1166" s="37">
        <v>0.56671421369200004</v>
      </c>
      <c r="M1166" s="37" t="s">
        <v>142</v>
      </c>
      <c r="N1166" s="37">
        <v>1047.4028947317072</v>
      </c>
      <c r="O1166" s="132">
        <f t="shared" si="90"/>
        <v>593.57810790660415</v>
      </c>
      <c r="P1166" s="134">
        <f t="shared" si="91"/>
        <v>462.80389211209956</v>
      </c>
      <c r="Q1166" s="261">
        <v>1</v>
      </c>
      <c r="R1166" s="94"/>
    </row>
    <row r="1167" spans="1:18" x14ac:dyDescent="0.25">
      <c r="A1167" s="367">
        <v>43611</v>
      </c>
      <c r="B1167" s="367" t="s">
        <v>279</v>
      </c>
      <c r="C1167" s="279" t="s">
        <v>632</v>
      </c>
      <c r="D1167" s="159" t="s">
        <v>1118</v>
      </c>
      <c r="E1167" s="45">
        <f t="shared" si="87"/>
        <v>43611</v>
      </c>
      <c r="F1167" s="148" t="str">
        <f t="shared" si="88"/>
        <v>2018-19</v>
      </c>
      <c r="G1167" s="1"/>
      <c r="H1167" s="163"/>
      <c r="I1167" s="37"/>
      <c r="J1167" s="138">
        <f t="shared" si="89"/>
        <v>0.77968490742404351</v>
      </c>
      <c r="K1167" s="114"/>
      <c r="L1167" s="37">
        <v>9.5079509137800002</v>
      </c>
      <c r="M1167" s="37" t="s">
        <v>142</v>
      </c>
      <c r="N1167" s="37">
        <v>771.6404230243902</v>
      </c>
      <c r="O1167" s="132">
        <f t="shared" si="90"/>
        <v>7336.7192652043368</v>
      </c>
      <c r="P1167" s="134">
        <f t="shared" si="91"/>
        <v>5720.3292810870398</v>
      </c>
      <c r="Q1167" s="261">
        <v>1</v>
      </c>
      <c r="R1167" s="94"/>
    </row>
    <row r="1168" spans="1:18" x14ac:dyDescent="0.25">
      <c r="A1168" s="367">
        <v>43611</v>
      </c>
      <c r="B1168" s="367" t="s">
        <v>279</v>
      </c>
      <c r="C1168" s="279" t="s">
        <v>632</v>
      </c>
      <c r="D1168" s="159" t="s">
        <v>1118</v>
      </c>
      <c r="E1168" s="45">
        <f t="shared" si="87"/>
        <v>43611</v>
      </c>
      <c r="F1168" s="148" t="str">
        <f t="shared" si="88"/>
        <v>2018-19</v>
      </c>
      <c r="G1168" s="1"/>
      <c r="H1168" s="163"/>
      <c r="I1168" s="37"/>
      <c r="J1168" s="138">
        <f t="shared" si="89"/>
        <v>0.77968490742404351</v>
      </c>
      <c r="K1168" s="114"/>
      <c r="L1168" s="37">
        <v>2.83513985546</v>
      </c>
      <c r="M1168" s="37" t="s">
        <v>142</v>
      </c>
      <c r="N1168" s="37">
        <v>771.6404230243902</v>
      </c>
      <c r="O1168" s="132">
        <f t="shared" si="90"/>
        <v>2187.7085174004628</v>
      </c>
      <c r="P1168" s="134">
        <f t="shared" si="91"/>
        <v>1705.7233128601713</v>
      </c>
      <c r="Q1168" s="261">
        <v>1</v>
      </c>
      <c r="R1168" s="94"/>
    </row>
    <row r="1169" spans="1:18" x14ac:dyDescent="0.25">
      <c r="A1169" s="367">
        <v>43611</v>
      </c>
      <c r="B1169" s="367" t="s">
        <v>279</v>
      </c>
      <c r="C1169" s="279" t="s">
        <v>632</v>
      </c>
      <c r="D1169" s="159" t="s">
        <v>1118</v>
      </c>
      <c r="E1169" s="45">
        <f t="shared" si="87"/>
        <v>43611</v>
      </c>
      <c r="F1169" s="148" t="str">
        <f t="shared" si="88"/>
        <v>2018-19</v>
      </c>
      <c r="G1169" s="1"/>
      <c r="H1169" s="163"/>
      <c r="I1169" s="37"/>
      <c r="J1169" s="138">
        <f t="shared" si="89"/>
        <v>0.77968490742404351</v>
      </c>
      <c r="K1169" s="114"/>
      <c r="L1169" s="37">
        <v>3.6032666091999999</v>
      </c>
      <c r="M1169" s="37" t="s">
        <v>142</v>
      </c>
      <c r="N1169" s="37">
        <v>771.6404230243902</v>
      </c>
      <c r="O1169" s="132">
        <f t="shared" si="90"/>
        <v>2780.4261705927479</v>
      </c>
      <c r="P1169" s="134">
        <f t="shared" si="91"/>
        <v>2167.8563214179944</v>
      </c>
      <c r="Q1169" s="261">
        <v>1</v>
      </c>
      <c r="R1169" s="94"/>
    </row>
    <row r="1170" spans="1:18" x14ac:dyDescent="0.25">
      <c r="A1170" s="367">
        <v>41348</v>
      </c>
      <c r="B1170" s="367" t="s">
        <v>279</v>
      </c>
      <c r="C1170" s="279" t="s">
        <v>634</v>
      </c>
      <c r="D1170" s="159" t="s">
        <v>1119</v>
      </c>
      <c r="E1170" s="45">
        <f t="shared" si="87"/>
        <v>41348</v>
      </c>
      <c r="F1170" s="148" t="str">
        <f t="shared" si="88"/>
        <v>2012-13</v>
      </c>
      <c r="G1170" s="1"/>
      <c r="H1170" s="163"/>
      <c r="I1170" s="37"/>
      <c r="J1170" s="138">
        <f t="shared" si="89"/>
        <v>0.77968490742404351</v>
      </c>
      <c r="K1170" s="114"/>
      <c r="L1170" s="37">
        <v>14.599711345899999</v>
      </c>
      <c r="M1170" s="37" t="s">
        <v>142</v>
      </c>
      <c r="N1170" s="37">
        <v>771.6404230243902</v>
      </c>
      <c r="O1170" s="132">
        <f t="shared" si="90"/>
        <v>11265.727438984264</v>
      </c>
      <c r="P1170" s="134">
        <f t="shared" si="91"/>
        <v>8783.7176553289519</v>
      </c>
      <c r="Q1170" s="261">
        <v>1</v>
      </c>
      <c r="R1170" s="94"/>
    </row>
    <row r="1171" spans="1:18" x14ac:dyDescent="0.25">
      <c r="A1171" s="367">
        <v>41348</v>
      </c>
      <c r="B1171" s="367" t="s">
        <v>279</v>
      </c>
      <c r="C1171" s="279" t="s">
        <v>634</v>
      </c>
      <c r="D1171" s="159" t="s">
        <v>1119</v>
      </c>
      <c r="E1171" s="45">
        <f t="shared" si="87"/>
        <v>41348</v>
      </c>
      <c r="F1171" s="148" t="str">
        <f t="shared" si="88"/>
        <v>2012-13</v>
      </c>
      <c r="G1171" s="1"/>
      <c r="H1171" s="163"/>
      <c r="I1171" s="37"/>
      <c r="J1171" s="138">
        <f t="shared" si="89"/>
        <v>0.77968490742404351</v>
      </c>
      <c r="K1171" s="114"/>
      <c r="L1171" s="37">
        <v>3.81589216305</v>
      </c>
      <c r="M1171" s="37" t="s">
        <v>142</v>
      </c>
      <c r="N1171" s="37">
        <v>1128.7084557073169</v>
      </c>
      <c r="O1171" s="132">
        <f t="shared" si="90"/>
        <v>4307.0297505018189</v>
      </c>
      <c r="P1171" s="134">
        <f t="shared" si="91"/>
        <v>3358.1260922926117</v>
      </c>
      <c r="Q1171" s="261">
        <v>1</v>
      </c>
      <c r="R1171" s="94"/>
    </row>
    <row r="1172" spans="1:18" x14ac:dyDescent="0.25">
      <c r="A1172" s="367">
        <v>41348</v>
      </c>
      <c r="B1172" s="367" t="s">
        <v>279</v>
      </c>
      <c r="C1172" s="279" t="s">
        <v>634</v>
      </c>
      <c r="D1172" s="159" t="s">
        <v>1119</v>
      </c>
      <c r="E1172" s="45">
        <f t="shared" si="87"/>
        <v>41348</v>
      </c>
      <c r="F1172" s="148" t="str">
        <f t="shared" si="88"/>
        <v>2012-13</v>
      </c>
      <c r="G1172" s="1"/>
      <c r="H1172" s="163"/>
      <c r="I1172" s="37"/>
      <c r="J1172" s="138">
        <f t="shared" si="89"/>
        <v>0.77968490742404351</v>
      </c>
      <c r="K1172" s="114"/>
      <c r="L1172" s="37">
        <v>6.4919199009200002</v>
      </c>
      <c r="M1172" s="37" t="s">
        <v>142</v>
      </c>
      <c r="N1172" s="37">
        <v>1128.7084557073169</v>
      </c>
      <c r="O1172" s="132">
        <f t="shared" si="90"/>
        <v>7327.4848859430112</v>
      </c>
      <c r="P1172" s="134">
        <f t="shared" si="91"/>
        <v>5713.1293749475544</v>
      </c>
      <c r="Q1172" s="261">
        <v>1</v>
      </c>
      <c r="R1172" s="94"/>
    </row>
    <row r="1173" spans="1:18" x14ac:dyDescent="0.25">
      <c r="A1173" s="367">
        <v>43611</v>
      </c>
      <c r="B1173" s="367" t="s">
        <v>279</v>
      </c>
      <c r="C1173" s="279" t="s">
        <v>632</v>
      </c>
      <c r="D1173" s="159" t="s">
        <v>1118</v>
      </c>
      <c r="E1173" s="45">
        <f t="shared" si="87"/>
        <v>43611</v>
      </c>
      <c r="F1173" s="148" t="str">
        <f t="shared" si="88"/>
        <v>2018-19</v>
      </c>
      <c r="G1173" s="1"/>
      <c r="H1173" s="163"/>
      <c r="I1173" s="37"/>
      <c r="J1173" s="138">
        <f t="shared" si="89"/>
        <v>0.77968490742404351</v>
      </c>
      <c r="K1173" s="114"/>
      <c r="L1173" s="37">
        <v>8.5520098498999992</v>
      </c>
      <c r="M1173" s="37" t="s">
        <v>142</v>
      </c>
      <c r="N1173" s="37">
        <v>696.6467060487804</v>
      </c>
      <c r="O1173" s="132">
        <f t="shared" si="90"/>
        <v>5957.729492029559</v>
      </c>
      <c r="P1173" s="134">
        <f t="shared" si="91"/>
        <v>4645.1517674505603</v>
      </c>
      <c r="Q1173" s="261">
        <v>1</v>
      </c>
      <c r="R1173" s="94"/>
    </row>
    <row r="1174" spans="1:18" x14ac:dyDescent="0.25">
      <c r="A1174" s="367">
        <v>43611</v>
      </c>
      <c r="B1174" s="367" t="s">
        <v>279</v>
      </c>
      <c r="C1174" s="279" t="s">
        <v>632</v>
      </c>
      <c r="D1174" s="159" t="s">
        <v>1118</v>
      </c>
      <c r="E1174" s="45">
        <f t="shared" si="87"/>
        <v>43611</v>
      </c>
      <c r="F1174" s="148" t="str">
        <f t="shared" si="88"/>
        <v>2018-19</v>
      </c>
      <c r="G1174" s="1"/>
      <c r="H1174" s="163"/>
      <c r="I1174" s="37"/>
      <c r="J1174" s="138">
        <f t="shared" si="89"/>
        <v>0.77968490742404351</v>
      </c>
      <c r="K1174" s="114"/>
      <c r="L1174" s="37">
        <v>2.9819834003599999</v>
      </c>
      <c r="M1174" s="37" t="s">
        <v>142</v>
      </c>
      <c r="N1174" s="37">
        <v>771.6404230243902</v>
      </c>
      <c r="O1174" s="132">
        <f t="shared" si="90"/>
        <v>2301.0189325054998</v>
      </c>
      <c r="P1174" s="134">
        <f t="shared" si="91"/>
        <v>1794.069733371522</v>
      </c>
      <c r="Q1174" s="261">
        <v>1</v>
      </c>
      <c r="R1174" s="94"/>
    </row>
    <row r="1175" spans="1:18" x14ac:dyDescent="0.25">
      <c r="A1175" s="367">
        <v>43611</v>
      </c>
      <c r="B1175" s="367" t="s">
        <v>279</v>
      </c>
      <c r="C1175" s="279" t="s">
        <v>632</v>
      </c>
      <c r="D1175" s="159" t="s">
        <v>1118</v>
      </c>
      <c r="E1175" s="45">
        <f t="shared" ref="E1175:E1238" si="92">IF(A1175&lt;2022,DATEVALUE("30 Jun "&amp;A1175),A1175)</f>
        <v>43611</v>
      </c>
      <c r="F1175" s="148" t="str">
        <f t="shared" si="88"/>
        <v>2018-19</v>
      </c>
      <c r="G1175" s="1"/>
      <c r="H1175" s="163"/>
      <c r="I1175" s="37"/>
      <c r="J1175" s="138">
        <f t="shared" si="89"/>
        <v>0.77968490742404351</v>
      </c>
      <c r="K1175" s="114"/>
      <c r="L1175" s="37">
        <v>6.0366278648399998</v>
      </c>
      <c r="M1175" s="37" t="s">
        <v>142</v>
      </c>
      <c r="N1175" s="37">
        <v>696.6467060487804</v>
      </c>
      <c r="O1175" s="132">
        <f t="shared" si="90"/>
        <v>4205.3969176830678</v>
      </c>
      <c r="P1175" s="134">
        <f t="shared" si="91"/>
        <v>3278.8845064450807</v>
      </c>
      <c r="Q1175" s="261">
        <v>1</v>
      </c>
      <c r="R1175" s="94"/>
    </row>
    <row r="1176" spans="1:18" x14ac:dyDescent="0.25">
      <c r="A1176" s="367">
        <v>43611</v>
      </c>
      <c r="B1176" s="367" t="s">
        <v>279</v>
      </c>
      <c r="C1176" s="279" t="s">
        <v>632</v>
      </c>
      <c r="D1176" s="159" t="s">
        <v>1118</v>
      </c>
      <c r="E1176" s="45">
        <f t="shared" si="92"/>
        <v>43611</v>
      </c>
      <c r="F1176" s="148" t="str">
        <f t="shared" ref="F1176:F1233" si="93">IF(E1176="","-",IF(OR(E1176&lt;$E$15,E1176&gt;$E$16),"ERROR - date outside of range",IF(MONTH(E1176)&gt;=7,YEAR(E1176)&amp;"-"&amp;IF(YEAR(E1176)=1999,"00",IF(AND(YEAR(E1176)&gt;=2000,YEAR(E1176)&lt;2009),"0","")&amp;RIGHT(YEAR(E1176),2)+1),RIGHT(YEAR(E1176),4)-1&amp;"-"&amp;RIGHT(YEAR(E1176),2))))</f>
        <v>2018-19</v>
      </c>
      <c r="G1176" s="1"/>
      <c r="H1176" s="163"/>
      <c r="I1176" s="37"/>
      <c r="J1176" s="138">
        <f t="shared" ref="J1176:J1239" si="94">J1175</f>
        <v>0.77968490742404351</v>
      </c>
      <c r="K1176" s="114"/>
      <c r="L1176" s="37">
        <v>3.0904841044700002</v>
      </c>
      <c r="M1176" s="37" t="s">
        <v>142</v>
      </c>
      <c r="N1176" s="37">
        <v>771.6404230243902</v>
      </c>
      <c r="O1176" s="132">
        <f t="shared" si="90"/>
        <v>2384.7424617233846</v>
      </c>
      <c r="P1176" s="134">
        <f t="shared" si="91"/>
        <v>1859.3477054989828</v>
      </c>
      <c r="Q1176" s="261">
        <v>1</v>
      </c>
      <c r="R1176" s="94"/>
    </row>
    <row r="1177" spans="1:18" x14ac:dyDescent="0.25">
      <c r="A1177" s="367">
        <v>43611</v>
      </c>
      <c r="B1177" s="367" t="s">
        <v>279</v>
      </c>
      <c r="C1177" s="279" t="s">
        <v>632</v>
      </c>
      <c r="D1177" s="159" t="s">
        <v>1118</v>
      </c>
      <c r="E1177" s="45">
        <f t="shared" si="92"/>
        <v>43611</v>
      </c>
      <c r="F1177" s="148" t="str">
        <f t="shared" si="93"/>
        <v>2018-19</v>
      </c>
      <c r="G1177" s="1"/>
      <c r="H1177" s="163"/>
      <c r="I1177" s="37"/>
      <c r="J1177" s="138">
        <f t="shared" si="94"/>
        <v>0.77968490742404351</v>
      </c>
      <c r="K1177" s="114"/>
      <c r="L1177" s="37">
        <v>3.8262927227299999</v>
      </c>
      <c r="M1177" s="37" t="s">
        <v>142</v>
      </c>
      <c r="N1177" s="37">
        <v>771.6404230243902</v>
      </c>
      <c r="O1177" s="132">
        <f t="shared" si="90"/>
        <v>2952.522135182523</v>
      </c>
      <c r="P1177" s="134">
        <f t="shared" si="91"/>
        <v>2302.0369476372248</v>
      </c>
      <c r="Q1177" s="261">
        <v>1</v>
      </c>
      <c r="R1177" s="94"/>
    </row>
    <row r="1178" spans="1:18" x14ac:dyDescent="0.25">
      <c r="A1178" s="367">
        <v>41628</v>
      </c>
      <c r="B1178" s="367" t="s">
        <v>279</v>
      </c>
      <c r="C1178" s="279" t="s">
        <v>635</v>
      </c>
      <c r="D1178" s="159" t="s">
        <v>1120</v>
      </c>
      <c r="E1178" s="45">
        <f t="shared" si="92"/>
        <v>41628</v>
      </c>
      <c r="F1178" s="148" t="str">
        <f t="shared" si="93"/>
        <v>2013-14</v>
      </c>
      <c r="G1178" s="1"/>
      <c r="H1178" s="163"/>
      <c r="I1178" s="37"/>
      <c r="J1178" s="138">
        <f t="shared" si="94"/>
        <v>0.77968490742404351</v>
      </c>
      <c r="K1178" s="114"/>
      <c r="L1178" s="37">
        <v>47.387723150299998</v>
      </c>
      <c r="M1178" s="37" t="s">
        <v>142</v>
      </c>
      <c r="N1178" s="37">
        <v>696.6467060487804</v>
      </c>
      <c r="O1178" s="132">
        <f t="shared" si="90"/>
        <v>33012.501239808029</v>
      </c>
      <c r="P1178" s="134">
        <f t="shared" si="91"/>
        <v>25739.348972995846</v>
      </c>
      <c r="Q1178" s="261">
        <v>1</v>
      </c>
      <c r="R1178" s="94"/>
    </row>
    <row r="1179" spans="1:18" x14ac:dyDescent="0.25">
      <c r="A1179" s="367">
        <v>41628</v>
      </c>
      <c r="B1179" s="367" t="s">
        <v>279</v>
      </c>
      <c r="C1179" s="279" t="s">
        <v>635</v>
      </c>
      <c r="D1179" s="159" t="s">
        <v>1120</v>
      </c>
      <c r="E1179" s="45">
        <f t="shared" si="92"/>
        <v>41628</v>
      </c>
      <c r="F1179" s="148" t="str">
        <f t="shared" si="93"/>
        <v>2013-14</v>
      </c>
      <c r="G1179" s="1"/>
      <c r="H1179" s="163"/>
      <c r="I1179" s="37"/>
      <c r="J1179" s="138">
        <f t="shared" si="94"/>
        <v>0.77968490742404351</v>
      </c>
      <c r="K1179" s="114"/>
      <c r="L1179" s="37">
        <v>2.4994403373599998</v>
      </c>
      <c r="M1179" s="37" t="s">
        <v>142</v>
      </c>
      <c r="N1179" s="37">
        <v>696.6467060487804</v>
      </c>
      <c r="O1179" s="132">
        <f t="shared" si="90"/>
        <v>1741.2268779872963</v>
      </c>
      <c r="P1179" s="134">
        <f t="shared" si="91"/>
        <v>1357.6083171677815</v>
      </c>
      <c r="Q1179" s="261">
        <v>1</v>
      </c>
      <c r="R1179" s="94"/>
    </row>
    <row r="1180" spans="1:18" x14ac:dyDescent="0.25">
      <c r="A1180" s="367">
        <v>41628</v>
      </c>
      <c r="B1180" s="367" t="s">
        <v>279</v>
      </c>
      <c r="C1180" s="279" t="s">
        <v>635</v>
      </c>
      <c r="D1180" s="159" t="s">
        <v>1120</v>
      </c>
      <c r="E1180" s="45">
        <f t="shared" si="92"/>
        <v>41628</v>
      </c>
      <c r="F1180" s="148" t="str">
        <f t="shared" si="93"/>
        <v>2013-14</v>
      </c>
      <c r="G1180" s="1"/>
      <c r="H1180" s="163"/>
      <c r="I1180" s="37"/>
      <c r="J1180" s="138">
        <f t="shared" si="94"/>
        <v>0.77968490742404351</v>
      </c>
      <c r="K1180" s="114"/>
      <c r="L1180" s="37">
        <v>59.034179132600002</v>
      </c>
      <c r="M1180" s="37" t="s">
        <v>142</v>
      </c>
      <c r="N1180" s="37">
        <v>696.6467060487804</v>
      </c>
      <c r="O1180" s="132">
        <f t="shared" si="90"/>
        <v>41125.966437019437</v>
      </c>
      <c r="P1180" s="134">
        <f t="shared" si="91"/>
        <v>32065.29533417182</v>
      </c>
      <c r="Q1180" s="261">
        <v>1</v>
      </c>
      <c r="R1180" s="94"/>
    </row>
    <row r="1181" spans="1:18" x14ac:dyDescent="0.25">
      <c r="A1181" s="367">
        <v>41628</v>
      </c>
      <c r="B1181" s="367" t="s">
        <v>279</v>
      </c>
      <c r="C1181" s="279" t="s">
        <v>635</v>
      </c>
      <c r="D1181" s="159" t="s">
        <v>1120</v>
      </c>
      <c r="E1181" s="45">
        <f t="shared" si="92"/>
        <v>41628</v>
      </c>
      <c r="F1181" s="148" t="str">
        <f t="shared" si="93"/>
        <v>2013-14</v>
      </c>
      <c r="G1181" s="1"/>
      <c r="H1181" s="163"/>
      <c r="I1181" s="37"/>
      <c r="J1181" s="138">
        <f t="shared" si="94"/>
        <v>0.77968490742404351</v>
      </c>
      <c r="K1181" s="114"/>
      <c r="L1181" s="37">
        <v>0.85855285218800004</v>
      </c>
      <c r="M1181" s="37" t="s">
        <v>142</v>
      </c>
      <c r="N1181" s="37">
        <v>696.6467060487804</v>
      </c>
      <c r="O1181" s="132">
        <f t="shared" si="90"/>
        <v>598.10801644555568</v>
      </c>
      <c r="P1181" s="134">
        <f t="shared" si="91"/>
        <v>466.33579343193139</v>
      </c>
      <c r="Q1181" s="261">
        <v>1</v>
      </c>
      <c r="R1181" s="94"/>
    </row>
    <row r="1182" spans="1:18" x14ac:dyDescent="0.25">
      <c r="A1182" s="367">
        <v>41628</v>
      </c>
      <c r="B1182" s="367" t="s">
        <v>279</v>
      </c>
      <c r="C1182" s="279" t="s">
        <v>635</v>
      </c>
      <c r="D1182" s="159" t="s">
        <v>1120</v>
      </c>
      <c r="E1182" s="45">
        <f t="shared" si="92"/>
        <v>41628</v>
      </c>
      <c r="F1182" s="148" t="str">
        <f t="shared" si="93"/>
        <v>2013-14</v>
      </c>
      <c r="G1182" s="1"/>
      <c r="H1182" s="163"/>
      <c r="I1182" s="37"/>
      <c r="J1182" s="138">
        <f t="shared" si="94"/>
        <v>0.77968490742404351</v>
      </c>
      <c r="K1182" s="114"/>
      <c r="L1182" s="37">
        <v>1.10623370044</v>
      </c>
      <c r="M1182" s="37" t="s">
        <v>142</v>
      </c>
      <c r="N1182" s="37">
        <v>1003.0093919999996</v>
      </c>
      <c r="O1182" s="132">
        <f t="shared" ref="O1182:O1233" si="95">IF(N1182="","-",L1182*N1182)</f>
        <v>1109.5627912882342</v>
      </c>
      <c r="P1182" s="134">
        <f t="shared" ref="P1182:P1233" si="96">IF(O1182="-","-",IF(OR(E1182&lt;$E$15,E1182&gt;$E$16),0,O1182*J1182))*Q1182</f>
        <v>865.10936220673011</v>
      </c>
      <c r="Q1182" s="261">
        <v>1</v>
      </c>
      <c r="R1182" s="94"/>
    </row>
    <row r="1183" spans="1:18" x14ac:dyDescent="0.25">
      <c r="A1183" s="367">
        <v>41628</v>
      </c>
      <c r="B1183" s="367" t="s">
        <v>279</v>
      </c>
      <c r="C1183" s="279" t="s">
        <v>635</v>
      </c>
      <c r="D1183" s="159" t="s">
        <v>1120</v>
      </c>
      <c r="E1183" s="45">
        <f t="shared" si="92"/>
        <v>41628</v>
      </c>
      <c r="F1183" s="148" t="str">
        <f t="shared" si="93"/>
        <v>2013-14</v>
      </c>
      <c r="G1183" s="1"/>
      <c r="H1183" s="163"/>
      <c r="I1183" s="37"/>
      <c r="J1183" s="138">
        <f t="shared" si="94"/>
        <v>0.77968490742404351</v>
      </c>
      <c r="K1183" s="114"/>
      <c r="L1183" s="37">
        <v>3.6243553909599999</v>
      </c>
      <c r="M1183" s="37" t="s">
        <v>142</v>
      </c>
      <c r="N1183" s="37">
        <v>1003.0093919999996</v>
      </c>
      <c r="O1183" s="132">
        <f t="shared" si="95"/>
        <v>3635.2624970787106</v>
      </c>
      <c r="P1183" s="134">
        <f t="shared" si="96"/>
        <v>2834.3593034969117</v>
      </c>
      <c r="Q1183" s="261">
        <v>1</v>
      </c>
      <c r="R1183" s="94"/>
    </row>
    <row r="1184" spans="1:18" x14ac:dyDescent="0.25">
      <c r="A1184" s="367">
        <v>42977</v>
      </c>
      <c r="B1184" s="367" t="s">
        <v>279</v>
      </c>
      <c r="C1184" s="279" t="s">
        <v>504</v>
      </c>
      <c r="D1184" s="159" t="s">
        <v>1121</v>
      </c>
      <c r="E1184" s="45">
        <f t="shared" si="92"/>
        <v>42977</v>
      </c>
      <c r="F1184" s="148" t="str">
        <f t="shared" si="93"/>
        <v>2017-18</v>
      </c>
      <c r="G1184" s="1"/>
      <c r="H1184" s="163"/>
      <c r="I1184" s="37"/>
      <c r="J1184" s="138">
        <f t="shared" si="94"/>
        <v>0.77968490742404351</v>
      </c>
      <c r="K1184" s="114"/>
      <c r="L1184" s="37">
        <v>16.208026354499999</v>
      </c>
      <c r="M1184" s="37" t="s">
        <v>142</v>
      </c>
      <c r="N1184" s="37">
        <v>1003.0093919999996</v>
      </c>
      <c r="O1184" s="132">
        <f t="shared" si="95"/>
        <v>16256.802659347015</v>
      </c>
      <c r="P1184" s="134">
        <f t="shared" si="96"/>
        <v>12675.183676463921</v>
      </c>
      <c r="Q1184" s="261">
        <v>1</v>
      </c>
      <c r="R1184" s="94"/>
    </row>
    <row r="1185" spans="1:18" x14ac:dyDescent="0.25">
      <c r="A1185" s="367">
        <v>43220</v>
      </c>
      <c r="B1185" s="367" t="s">
        <v>279</v>
      </c>
      <c r="C1185" s="279" t="s">
        <v>636</v>
      </c>
      <c r="D1185" s="159" t="s">
        <v>1118</v>
      </c>
      <c r="E1185" s="45">
        <f t="shared" si="92"/>
        <v>43220</v>
      </c>
      <c r="F1185" s="148" t="str">
        <f t="shared" si="93"/>
        <v>2017-18</v>
      </c>
      <c r="G1185" s="1"/>
      <c r="H1185" s="163"/>
      <c r="I1185" s="37"/>
      <c r="J1185" s="138">
        <f t="shared" si="94"/>
        <v>0.77968490742404351</v>
      </c>
      <c r="K1185" s="114"/>
      <c r="L1185" s="37">
        <v>9.9579487847599992</v>
      </c>
      <c r="M1185" s="37" t="s">
        <v>142</v>
      </c>
      <c r="N1185" s="37">
        <v>1003.0093919999996</v>
      </c>
      <c r="O1185" s="132">
        <f t="shared" si="95"/>
        <v>9987.9161561692617</v>
      </c>
      <c r="P1185" s="134">
        <f t="shared" si="96"/>
        <v>7787.4274835819397</v>
      </c>
      <c r="Q1185" s="261">
        <v>1</v>
      </c>
      <c r="R1185" s="94"/>
    </row>
    <row r="1186" spans="1:18" x14ac:dyDescent="0.25">
      <c r="A1186" s="367">
        <v>43220</v>
      </c>
      <c r="B1186" s="367" t="s">
        <v>279</v>
      </c>
      <c r="C1186" s="279" t="s">
        <v>636</v>
      </c>
      <c r="D1186" s="159" t="s">
        <v>1118</v>
      </c>
      <c r="E1186" s="45">
        <f t="shared" si="92"/>
        <v>43220</v>
      </c>
      <c r="F1186" s="148" t="str">
        <f t="shared" si="93"/>
        <v>2017-18</v>
      </c>
      <c r="G1186" s="1"/>
      <c r="H1186" s="163"/>
      <c r="I1186" s="37"/>
      <c r="J1186" s="138">
        <f t="shared" si="94"/>
        <v>0.77968490742404351</v>
      </c>
      <c r="K1186" s="114"/>
      <c r="L1186" s="37">
        <v>0.59937383993600002</v>
      </c>
      <c r="M1186" s="37" t="s">
        <v>142</v>
      </c>
      <c r="N1186" s="37">
        <v>696.6467060487804</v>
      </c>
      <c r="O1186" s="132">
        <f t="shared" si="95"/>
        <v>417.55181128322334</v>
      </c>
      <c r="P1186" s="134">
        <f t="shared" si="96"/>
        <v>325.55884532510169</v>
      </c>
      <c r="Q1186" s="261">
        <v>1</v>
      </c>
      <c r="R1186" s="94"/>
    </row>
    <row r="1187" spans="1:18" x14ac:dyDescent="0.25">
      <c r="A1187" s="367">
        <v>43220</v>
      </c>
      <c r="B1187" s="367" t="s">
        <v>279</v>
      </c>
      <c r="C1187" s="279" t="s">
        <v>636</v>
      </c>
      <c r="D1187" s="159" t="s">
        <v>1118</v>
      </c>
      <c r="E1187" s="45">
        <f t="shared" si="92"/>
        <v>43220</v>
      </c>
      <c r="F1187" s="148" t="str">
        <f t="shared" si="93"/>
        <v>2017-18</v>
      </c>
      <c r="G1187" s="1"/>
      <c r="H1187" s="163"/>
      <c r="I1187" s="37"/>
      <c r="J1187" s="138">
        <f t="shared" si="94"/>
        <v>0.77968490742404351</v>
      </c>
      <c r="K1187" s="114"/>
      <c r="L1187" s="37">
        <v>0.59937383993600002</v>
      </c>
      <c r="M1187" s="37" t="s">
        <v>142</v>
      </c>
      <c r="N1187" s="37">
        <v>696.6467060487804</v>
      </c>
      <c r="O1187" s="132">
        <f t="shared" si="95"/>
        <v>417.55181128322334</v>
      </c>
      <c r="P1187" s="134">
        <f t="shared" si="96"/>
        <v>325.55884532510169</v>
      </c>
      <c r="Q1187" s="261">
        <v>1</v>
      </c>
      <c r="R1187" s="94"/>
    </row>
    <row r="1188" spans="1:18" x14ac:dyDescent="0.25">
      <c r="A1188" s="367">
        <v>41348</v>
      </c>
      <c r="B1188" s="367" t="s">
        <v>279</v>
      </c>
      <c r="C1188" s="279" t="s">
        <v>634</v>
      </c>
      <c r="D1188" s="159" t="s">
        <v>1119</v>
      </c>
      <c r="E1188" s="45">
        <f t="shared" si="92"/>
        <v>41348</v>
      </c>
      <c r="F1188" s="148" t="str">
        <f t="shared" si="93"/>
        <v>2012-13</v>
      </c>
      <c r="G1188" s="1"/>
      <c r="H1188" s="163"/>
      <c r="I1188" s="37"/>
      <c r="J1188" s="138">
        <f t="shared" si="94"/>
        <v>0.77968490742404351</v>
      </c>
      <c r="K1188" s="114"/>
      <c r="L1188" s="37">
        <v>53.530860781999998</v>
      </c>
      <c r="M1188" s="37" t="s">
        <v>142</v>
      </c>
      <c r="N1188" s="37">
        <v>771.6404230243902</v>
      </c>
      <c r="O1188" s="132">
        <f t="shared" si="95"/>
        <v>41306.576058682214</v>
      </c>
      <c r="P1188" s="134">
        <f t="shared" si="96"/>
        <v>32206.113930317853</v>
      </c>
      <c r="Q1188" s="261">
        <v>1</v>
      </c>
      <c r="R1188" s="94"/>
    </row>
    <row r="1189" spans="1:18" x14ac:dyDescent="0.25">
      <c r="A1189" s="367">
        <v>41348</v>
      </c>
      <c r="B1189" s="367" t="s">
        <v>279</v>
      </c>
      <c r="C1189" s="279" t="s">
        <v>634</v>
      </c>
      <c r="D1189" s="159" t="s">
        <v>1119</v>
      </c>
      <c r="E1189" s="45">
        <f t="shared" si="92"/>
        <v>41348</v>
      </c>
      <c r="F1189" s="148" t="str">
        <f t="shared" si="93"/>
        <v>2012-13</v>
      </c>
      <c r="G1189" s="1"/>
      <c r="H1189" s="163"/>
      <c r="I1189" s="37"/>
      <c r="J1189" s="138">
        <f t="shared" si="94"/>
        <v>0.77968490742404351</v>
      </c>
      <c r="K1189" s="114"/>
      <c r="L1189" s="37">
        <v>3.9994761539199999</v>
      </c>
      <c r="M1189" s="37" t="s">
        <v>142</v>
      </c>
      <c r="N1189" s="37">
        <v>771.6404230243902</v>
      </c>
      <c r="O1189" s="132">
        <f t="shared" si="95"/>
        <v>3086.15747128679</v>
      </c>
      <c r="P1189" s="134">
        <f t="shared" si="96"/>
        <v>2406.2304022962612</v>
      </c>
      <c r="Q1189" s="261">
        <v>1</v>
      </c>
      <c r="R1189" s="94"/>
    </row>
    <row r="1190" spans="1:18" x14ac:dyDescent="0.25">
      <c r="A1190" s="367">
        <v>40158</v>
      </c>
      <c r="B1190" s="367" t="s">
        <v>279</v>
      </c>
      <c r="C1190" s="279" t="s">
        <v>614</v>
      </c>
      <c r="D1190" s="159" t="s">
        <v>1122</v>
      </c>
      <c r="E1190" s="45">
        <f t="shared" si="92"/>
        <v>40158</v>
      </c>
      <c r="F1190" s="148" t="str">
        <f t="shared" si="93"/>
        <v>2009-10</v>
      </c>
      <c r="G1190" s="1"/>
      <c r="H1190" s="163"/>
      <c r="I1190" s="37"/>
      <c r="J1190" s="138">
        <f t="shared" si="94"/>
        <v>0.77968490742404351</v>
      </c>
      <c r="K1190" s="114"/>
      <c r="L1190" s="37">
        <v>4.5000040714300003</v>
      </c>
      <c r="M1190" s="37" t="s">
        <v>142</v>
      </c>
      <c r="N1190" s="37">
        <v>1422.8419512195119</v>
      </c>
      <c r="O1190" s="132">
        <f t="shared" si="95"/>
        <v>6402.7945734892091</v>
      </c>
      <c r="P1190" s="134">
        <f t="shared" si="96"/>
        <v>4992.1622942861022</v>
      </c>
      <c r="Q1190" s="261">
        <v>1</v>
      </c>
      <c r="R1190" s="94"/>
    </row>
    <row r="1191" spans="1:18" x14ac:dyDescent="0.25">
      <c r="A1191" s="367">
        <v>40158</v>
      </c>
      <c r="B1191" s="367" t="s">
        <v>279</v>
      </c>
      <c r="C1191" s="279" t="s">
        <v>614</v>
      </c>
      <c r="D1191" s="159" t="s">
        <v>1122</v>
      </c>
      <c r="E1191" s="45">
        <f t="shared" si="92"/>
        <v>40158</v>
      </c>
      <c r="F1191" s="148" t="str">
        <f t="shared" si="93"/>
        <v>2009-10</v>
      </c>
      <c r="G1191" s="1"/>
      <c r="H1191" s="163"/>
      <c r="I1191" s="37"/>
      <c r="J1191" s="138">
        <f t="shared" si="94"/>
        <v>0.77968490742404351</v>
      </c>
      <c r="K1191" s="114"/>
      <c r="L1191" s="37">
        <v>1.3000015384600001</v>
      </c>
      <c r="M1191" s="37" t="s">
        <v>142</v>
      </c>
      <c r="N1191" s="37">
        <v>1422.8419512195119</v>
      </c>
      <c r="O1191" s="132">
        <f t="shared" si="95"/>
        <v>1849.6967255707939</v>
      </c>
      <c r="P1191" s="134">
        <f t="shared" si="96"/>
        <v>1442.1806202392208</v>
      </c>
      <c r="Q1191" s="261">
        <v>1</v>
      </c>
      <c r="R1191" s="94"/>
    </row>
    <row r="1192" spans="1:18" x14ac:dyDescent="0.25">
      <c r="A1192" s="367">
        <v>39508</v>
      </c>
      <c r="B1192" s="367" t="s">
        <v>279</v>
      </c>
      <c r="C1192" s="279" t="s">
        <v>637</v>
      </c>
      <c r="D1192" s="159" t="s">
        <v>1122</v>
      </c>
      <c r="E1192" s="45">
        <f t="shared" si="92"/>
        <v>39508</v>
      </c>
      <c r="F1192" s="148" t="str">
        <f t="shared" si="93"/>
        <v>2007-08</v>
      </c>
      <c r="G1192" s="1"/>
      <c r="H1192" s="163"/>
      <c r="I1192" s="37"/>
      <c r="J1192" s="138">
        <f t="shared" si="94"/>
        <v>0.77968490742404351</v>
      </c>
      <c r="K1192" s="114"/>
      <c r="L1192" s="37">
        <v>4.10007997595</v>
      </c>
      <c r="M1192" s="37" t="s">
        <v>142</v>
      </c>
      <c r="N1192" s="37">
        <v>936.5640883902438</v>
      </c>
      <c r="O1192" s="132">
        <f t="shared" si="95"/>
        <v>3839.9876650027045</v>
      </c>
      <c r="P1192" s="134">
        <f t="shared" si="96"/>
        <v>2993.9804270971026</v>
      </c>
      <c r="Q1192" s="261">
        <v>1</v>
      </c>
      <c r="R1192" s="94"/>
    </row>
    <row r="1193" spans="1:18" x14ac:dyDescent="0.25">
      <c r="A1193" s="367">
        <v>39508</v>
      </c>
      <c r="B1193" s="367" t="s">
        <v>279</v>
      </c>
      <c r="C1193" s="279" t="s">
        <v>637</v>
      </c>
      <c r="D1193" s="159" t="s">
        <v>1122</v>
      </c>
      <c r="E1193" s="45">
        <f t="shared" si="92"/>
        <v>39508</v>
      </c>
      <c r="F1193" s="148" t="str">
        <f t="shared" si="93"/>
        <v>2007-08</v>
      </c>
      <c r="G1193" s="1"/>
      <c r="H1193" s="163"/>
      <c r="I1193" s="37"/>
      <c r="J1193" s="138">
        <f t="shared" si="94"/>
        <v>0.77968490742404351</v>
      </c>
      <c r="K1193" s="114"/>
      <c r="L1193" s="37">
        <v>0.60016331110800003</v>
      </c>
      <c r="M1193" s="37" t="s">
        <v>142</v>
      </c>
      <c r="N1193" s="37">
        <v>936.5640883902438</v>
      </c>
      <c r="O1193" s="132">
        <f t="shared" si="95"/>
        <v>562.09140435313429</v>
      </c>
      <c r="P1193" s="134">
        <f t="shared" si="96"/>
        <v>438.2541845669241</v>
      </c>
      <c r="Q1193" s="261">
        <v>1</v>
      </c>
      <c r="R1193" s="94"/>
    </row>
    <row r="1194" spans="1:18" x14ac:dyDescent="0.25">
      <c r="A1194" s="367">
        <v>39937</v>
      </c>
      <c r="B1194" s="367" t="s">
        <v>279</v>
      </c>
      <c r="C1194" s="279" t="s">
        <v>628</v>
      </c>
      <c r="D1194" s="159" t="s">
        <v>1117</v>
      </c>
      <c r="E1194" s="45">
        <f t="shared" si="92"/>
        <v>39937</v>
      </c>
      <c r="F1194" s="148" t="str">
        <f t="shared" si="93"/>
        <v>2008-09</v>
      </c>
      <c r="G1194" s="1"/>
      <c r="H1194" s="163"/>
      <c r="I1194" s="37"/>
      <c r="J1194" s="138">
        <f t="shared" si="94"/>
        <v>0.77968490742404351</v>
      </c>
      <c r="K1194" s="114"/>
      <c r="L1194" s="37">
        <v>174.52262073399999</v>
      </c>
      <c r="M1194" s="37" t="s">
        <v>142</v>
      </c>
      <c r="N1194" s="37">
        <v>771.6404230243902</v>
      </c>
      <c r="O1194" s="132">
        <f t="shared" si="95"/>
        <v>134668.70889050895</v>
      </c>
      <c r="P1194" s="134">
        <f t="shared" si="96"/>
        <v>104999.15982421194</v>
      </c>
      <c r="Q1194" s="261">
        <v>1</v>
      </c>
      <c r="R1194" s="94"/>
    </row>
    <row r="1195" spans="1:18" x14ac:dyDescent="0.25">
      <c r="A1195" s="367">
        <v>39937</v>
      </c>
      <c r="B1195" s="367" t="s">
        <v>279</v>
      </c>
      <c r="C1195" s="279" t="s">
        <v>628</v>
      </c>
      <c r="D1195" s="159" t="s">
        <v>1117</v>
      </c>
      <c r="E1195" s="45">
        <f t="shared" si="92"/>
        <v>39937</v>
      </c>
      <c r="F1195" s="148" t="str">
        <f t="shared" si="93"/>
        <v>2008-09</v>
      </c>
      <c r="G1195" s="1"/>
      <c r="H1195" s="163"/>
      <c r="I1195" s="37"/>
      <c r="J1195" s="138">
        <f t="shared" si="94"/>
        <v>0.77968490742404351</v>
      </c>
      <c r="K1195" s="114"/>
      <c r="L1195" s="37">
        <v>36.168841894899998</v>
      </c>
      <c r="M1195" s="37" t="s">
        <v>142</v>
      </c>
      <c r="N1195" s="37">
        <v>771.6404230243902</v>
      </c>
      <c r="O1195" s="132">
        <f t="shared" si="95"/>
        <v>27909.34046008292</v>
      </c>
      <c r="P1195" s="134">
        <f t="shared" si="96"/>
        <v>21760.491532885862</v>
      </c>
      <c r="Q1195" s="261">
        <v>1</v>
      </c>
      <c r="R1195" s="94"/>
    </row>
    <row r="1196" spans="1:18" x14ac:dyDescent="0.25">
      <c r="A1196" s="367">
        <v>39937</v>
      </c>
      <c r="B1196" s="367" t="s">
        <v>279</v>
      </c>
      <c r="C1196" s="279" t="s">
        <v>628</v>
      </c>
      <c r="D1196" s="159" t="s">
        <v>1117</v>
      </c>
      <c r="E1196" s="45">
        <f t="shared" si="92"/>
        <v>39937</v>
      </c>
      <c r="F1196" s="148" t="str">
        <f t="shared" si="93"/>
        <v>2008-09</v>
      </c>
      <c r="G1196" s="1"/>
      <c r="H1196" s="163"/>
      <c r="I1196" s="37"/>
      <c r="J1196" s="138">
        <f t="shared" si="94"/>
        <v>0.77968490742404351</v>
      </c>
      <c r="K1196" s="114"/>
      <c r="L1196" s="37">
        <v>6.6981742907099999</v>
      </c>
      <c r="M1196" s="37" t="s">
        <v>142</v>
      </c>
      <c r="N1196" s="37">
        <v>696.6467060487804</v>
      </c>
      <c r="O1196" s="132">
        <f t="shared" si="95"/>
        <v>4666.2610561637475</v>
      </c>
      <c r="P1196" s="134">
        <f t="shared" si="96"/>
        <v>3638.2133195914512</v>
      </c>
      <c r="Q1196" s="261">
        <v>1</v>
      </c>
      <c r="R1196" s="94"/>
    </row>
    <row r="1197" spans="1:18" x14ac:dyDescent="0.25">
      <c r="A1197" s="367">
        <v>39937</v>
      </c>
      <c r="B1197" s="367" t="s">
        <v>279</v>
      </c>
      <c r="C1197" s="279" t="s">
        <v>628</v>
      </c>
      <c r="D1197" s="159" t="s">
        <v>1117</v>
      </c>
      <c r="E1197" s="45">
        <f t="shared" si="92"/>
        <v>39937</v>
      </c>
      <c r="F1197" s="148" t="str">
        <f t="shared" si="93"/>
        <v>2008-09</v>
      </c>
      <c r="G1197" s="1"/>
      <c r="H1197" s="163"/>
      <c r="I1197" s="37"/>
      <c r="J1197" s="138">
        <f t="shared" si="94"/>
        <v>0.77968490742404351</v>
      </c>
      <c r="K1197" s="114"/>
      <c r="L1197" s="37">
        <v>1.99924510753</v>
      </c>
      <c r="M1197" s="37" t="s">
        <v>142</v>
      </c>
      <c r="N1197" s="37">
        <v>1128.7084557073169</v>
      </c>
      <c r="O1197" s="132">
        <f t="shared" si="95"/>
        <v>2256.5648579005951</v>
      </c>
      <c r="P1197" s="134">
        <f t="shared" si="96"/>
        <v>1759.4095623285755</v>
      </c>
      <c r="Q1197" s="261">
        <v>1</v>
      </c>
      <c r="R1197" s="94"/>
    </row>
    <row r="1198" spans="1:18" x14ac:dyDescent="0.25">
      <c r="A1198" s="367">
        <v>39937</v>
      </c>
      <c r="B1198" s="367" t="s">
        <v>279</v>
      </c>
      <c r="C1198" s="279" t="s">
        <v>628</v>
      </c>
      <c r="D1198" s="159" t="s">
        <v>1117</v>
      </c>
      <c r="E1198" s="45">
        <f t="shared" si="92"/>
        <v>39937</v>
      </c>
      <c r="F1198" s="148" t="str">
        <f t="shared" si="93"/>
        <v>2008-09</v>
      </c>
      <c r="G1198" s="1"/>
      <c r="H1198" s="163"/>
      <c r="I1198" s="37"/>
      <c r="J1198" s="138">
        <f t="shared" si="94"/>
        <v>0.77968490742404351</v>
      </c>
      <c r="K1198" s="114"/>
      <c r="L1198" s="37">
        <v>2.0001444283600001</v>
      </c>
      <c r="M1198" s="37" t="s">
        <v>142</v>
      </c>
      <c r="N1198" s="37">
        <v>696.6467060487804</v>
      </c>
      <c r="O1198" s="132">
        <f t="shared" si="95"/>
        <v>1393.3940276388148</v>
      </c>
      <c r="P1198" s="134">
        <f t="shared" si="96"/>
        <v>1086.4082934447845</v>
      </c>
      <c r="Q1198" s="261">
        <v>1</v>
      </c>
      <c r="R1198" s="94"/>
    </row>
    <row r="1199" spans="1:18" x14ac:dyDescent="0.25">
      <c r="A1199" s="367">
        <v>39937</v>
      </c>
      <c r="B1199" s="367" t="s">
        <v>279</v>
      </c>
      <c r="C1199" s="279" t="s">
        <v>628</v>
      </c>
      <c r="D1199" s="159" t="s">
        <v>1117</v>
      </c>
      <c r="E1199" s="45">
        <f t="shared" si="92"/>
        <v>39937</v>
      </c>
      <c r="F1199" s="148" t="str">
        <f t="shared" si="93"/>
        <v>2008-09</v>
      </c>
      <c r="G1199" s="1"/>
      <c r="H1199" s="163"/>
      <c r="I1199" s="37"/>
      <c r="J1199" s="138">
        <f t="shared" si="94"/>
        <v>0.77968490742404351</v>
      </c>
      <c r="K1199" s="114"/>
      <c r="L1199" s="37">
        <v>1.40035178992</v>
      </c>
      <c r="M1199" s="37" t="s">
        <v>142</v>
      </c>
      <c r="N1199" s="37">
        <v>696.6467060487804</v>
      </c>
      <c r="O1199" s="132">
        <f t="shared" si="95"/>
        <v>975.55046175728171</v>
      </c>
      <c r="P1199" s="134">
        <f t="shared" si="96"/>
        <v>760.6219714627091</v>
      </c>
      <c r="Q1199" s="261">
        <v>1</v>
      </c>
      <c r="R1199" s="94"/>
    </row>
    <row r="1200" spans="1:18" x14ac:dyDescent="0.25">
      <c r="A1200" s="367">
        <v>39937</v>
      </c>
      <c r="B1200" s="367" t="s">
        <v>279</v>
      </c>
      <c r="C1200" s="279" t="s">
        <v>628</v>
      </c>
      <c r="D1200" s="159" t="s">
        <v>1117</v>
      </c>
      <c r="E1200" s="45">
        <f t="shared" si="92"/>
        <v>39937</v>
      </c>
      <c r="F1200" s="148" t="str">
        <f t="shared" si="93"/>
        <v>2008-09</v>
      </c>
      <c r="G1200" s="1"/>
      <c r="H1200" s="163"/>
      <c r="I1200" s="37"/>
      <c r="J1200" s="138">
        <f t="shared" si="94"/>
        <v>0.77968490742404351</v>
      </c>
      <c r="K1200" s="114"/>
      <c r="L1200" s="37">
        <v>0.49919134607900001</v>
      </c>
      <c r="M1200" s="37" t="s">
        <v>142</v>
      </c>
      <c r="N1200" s="37">
        <v>696.6467060487804</v>
      </c>
      <c r="O1200" s="132">
        <f t="shared" si="95"/>
        <v>347.76000693399214</v>
      </c>
      <c r="P1200" s="134">
        <f t="shared" si="96"/>
        <v>271.14322881211439</v>
      </c>
      <c r="Q1200" s="261">
        <v>1</v>
      </c>
      <c r="R1200" s="94"/>
    </row>
    <row r="1201" spans="1:18" x14ac:dyDescent="0.25">
      <c r="A1201" s="367">
        <v>39937</v>
      </c>
      <c r="B1201" s="367" t="s">
        <v>279</v>
      </c>
      <c r="C1201" s="279" t="s">
        <v>628</v>
      </c>
      <c r="D1201" s="159" t="s">
        <v>1117</v>
      </c>
      <c r="E1201" s="45">
        <f t="shared" si="92"/>
        <v>39937</v>
      </c>
      <c r="F1201" s="148" t="str">
        <f t="shared" si="93"/>
        <v>2008-09</v>
      </c>
      <c r="G1201" s="1"/>
      <c r="H1201" s="163"/>
      <c r="I1201" s="37"/>
      <c r="J1201" s="138">
        <f t="shared" si="94"/>
        <v>0.77968490742404351</v>
      </c>
      <c r="K1201" s="114"/>
      <c r="L1201" s="37">
        <v>0.59970742866799998</v>
      </c>
      <c r="M1201" s="37" t="s">
        <v>142</v>
      </c>
      <c r="N1201" s="37">
        <v>696.6467060487804</v>
      </c>
      <c r="O1201" s="132">
        <f t="shared" si="95"/>
        <v>417.78420477454614</v>
      </c>
      <c r="P1201" s="134">
        <f t="shared" si="96"/>
        <v>325.74003902286967</v>
      </c>
      <c r="Q1201" s="261">
        <v>1</v>
      </c>
      <c r="R1201" s="94"/>
    </row>
    <row r="1202" spans="1:18" x14ac:dyDescent="0.25">
      <c r="A1202" s="367">
        <v>39937</v>
      </c>
      <c r="B1202" s="367" t="s">
        <v>279</v>
      </c>
      <c r="C1202" s="279" t="s">
        <v>628</v>
      </c>
      <c r="D1202" s="159" t="s">
        <v>1123</v>
      </c>
      <c r="E1202" s="45">
        <f t="shared" si="92"/>
        <v>39937</v>
      </c>
      <c r="F1202" s="148" t="str">
        <f t="shared" si="93"/>
        <v>2008-09</v>
      </c>
      <c r="G1202" s="1"/>
      <c r="H1202" s="163"/>
      <c r="I1202" s="37"/>
      <c r="J1202" s="138">
        <f t="shared" si="94"/>
        <v>0.77968490742404351</v>
      </c>
      <c r="K1202" s="114"/>
      <c r="L1202" s="37">
        <v>2.1996829317</v>
      </c>
      <c r="M1202" s="37" t="s">
        <v>142</v>
      </c>
      <c r="N1202" s="37">
        <v>1128.7084557073169</v>
      </c>
      <c r="O1202" s="132">
        <f t="shared" si="95"/>
        <v>2482.8007248848503</v>
      </c>
      <c r="P1202" s="134">
        <f t="shared" si="96"/>
        <v>1935.8022533341925</v>
      </c>
      <c r="Q1202" s="261">
        <v>1</v>
      </c>
      <c r="R1202" s="94"/>
    </row>
    <row r="1203" spans="1:18" x14ac:dyDescent="0.25">
      <c r="A1203" s="367">
        <v>39937</v>
      </c>
      <c r="B1203" s="367" t="s">
        <v>279</v>
      </c>
      <c r="C1203" s="279" t="s">
        <v>628</v>
      </c>
      <c r="D1203" s="159" t="s">
        <v>1123</v>
      </c>
      <c r="E1203" s="45">
        <f t="shared" si="92"/>
        <v>39937</v>
      </c>
      <c r="F1203" s="148" t="str">
        <f t="shared" si="93"/>
        <v>2008-09</v>
      </c>
      <c r="G1203" s="1"/>
      <c r="H1203" s="163"/>
      <c r="I1203" s="37"/>
      <c r="J1203" s="138">
        <f t="shared" si="94"/>
        <v>0.77968490742404351</v>
      </c>
      <c r="K1203" s="114"/>
      <c r="L1203" s="37">
        <v>2.1991475621199998</v>
      </c>
      <c r="M1203" s="37" t="s">
        <v>142</v>
      </c>
      <c r="N1203" s="37">
        <v>1128.7084557073169</v>
      </c>
      <c r="O1203" s="132">
        <f t="shared" si="95"/>
        <v>2482.1964487129758</v>
      </c>
      <c r="P1203" s="134">
        <f t="shared" si="96"/>
        <v>1935.331108323066</v>
      </c>
      <c r="Q1203" s="261">
        <v>1</v>
      </c>
      <c r="R1203" s="94"/>
    </row>
    <row r="1204" spans="1:18" x14ac:dyDescent="0.25">
      <c r="A1204" s="367">
        <v>39937</v>
      </c>
      <c r="B1204" s="367" t="s">
        <v>279</v>
      </c>
      <c r="C1204" s="279" t="s">
        <v>628</v>
      </c>
      <c r="D1204" s="159" t="s">
        <v>1123</v>
      </c>
      <c r="E1204" s="45">
        <f t="shared" si="92"/>
        <v>39937</v>
      </c>
      <c r="F1204" s="148" t="str">
        <f t="shared" si="93"/>
        <v>2008-09</v>
      </c>
      <c r="G1204" s="1"/>
      <c r="H1204" s="163"/>
      <c r="I1204" s="37"/>
      <c r="J1204" s="138">
        <f t="shared" si="94"/>
        <v>0.77968490742404351</v>
      </c>
      <c r="K1204" s="114"/>
      <c r="L1204" s="37">
        <v>3.3412496907200002</v>
      </c>
      <c r="M1204" s="37" t="s">
        <v>142</v>
      </c>
      <c r="N1204" s="37">
        <v>771.6404230243902</v>
      </c>
      <c r="O1204" s="132">
        <f t="shared" si="95"/>
        <v>2578.2433247772938</v>
      </c>
      <c r="P1204" s="134">
        <f t="shared" si="96"/>
        <v>2010.2174079956424</v>
      </c>
      <c r="Q1204" s="261">
        <v>1</v>
      </c>
      <c r="R1204" s="94"/>
    </row>
    <row r="1205" spans="1:18" x14ac:dyDescent="0.25">
      <c r="A1205" s="367">
        <v>39937</v>
      </c>
      <c r="B1205" s="367" t="s">
        <v>279</v>
      </c>
      <c r="C1205" s="279" t="s">
        <v>628</v>
      </c>
      <c r="D1205" s="159" t="s">
        <v>1123</v>
      </c>
      <c r="E1205" s="45">
        <f t="shared" si="92"/>
        <v>39937</v>
      </c>
      <c r="F1205" s="148" t="str">
        <f t="shared" si="93"/>
        <v>2008-09</v>
      </c>
      <c r="G1205" s="1"/>
      <c r="H1205" s="163"/>
      <c r="I1205" s="37"/>
      <c r="J1205" s="138">
        <f t="shared" si="94"/>
        <v>0.77968490742404351</v>
      </c>
      <c r="K1205" s="114"/>
      <c r="L1205" s="37">
        <v>0.75036657578599997</v>
      </c>
      <c r="M1205" s="37" t="s">
        <v>142</v>
      </c>
      <c r="N1205" s="37">
        <v>771.6404230243902</v>
      </c>
      <c r="O1205" s="132">
        <f t="shared" si="95"/>
        <v>579.01318196287218</v>
      </c>
      <c r="P1205" s="134">
        <f t="shared" si="96"/>
        <v>451.44783917602285</v>
      </c>
      <c r="Q1205" s="261">
        <v>1</v>
      </c>
      <c r="R1205" s="94"/>
    </row>
    <row r="1206" spans="1:18" x14ac:dyDescent="0.25">
      <c r="A1206" s="367">
        <v>39937</v>
      </c>
      <c r="B1206" s="367" t="s">
        <v>279</v>
      </c>
      <c r="C1206" s="279" t="s">
        <v>628</v>
      </c>
      <c r="D1206" s="159" t="s">
        <v>1123</v>
      </c>
      <c r="E1206" s="45">
        <f t="shared" si="92"/>
        <v>39937</v>
      </c>
      <c r="F1206" s="148" t="str">
        <f t="shared" si="93"/>
        <v>2008-09</v>
      </c>
      <c r="G1206" s="1"/>
      <c r="H1206" s="163"/>
      <c r="I1206" s="37"/>
      <c r="J1206" s="138">
        <f t="shared" si="94"/>
        <v>0.77968490742404351</v>
      </c>
      <c r="K1206" s="114"/>
      <c r="L1206" s="37">
        <v>4.0004410948200002</v>
      </c>
      <c r="M1206" s="37" t="s">
        <v>142</v>
      </c>
      <c r="N1206" s="37">
        <v>1181.2618378536583</v>
      </c>
      <c r="O1206" s="132">
        <f t="shared" si="95"/>
        <v>4725.5683998923741</v>
      </c>
      <c r="P1206" s="134">
        <f t="shared" si="96"/>
        <v>3684.454360396071</v>
      </c>
      <c r="Q1206" s="261">
        <v>1</v>
      </c>
      <c r="R1206" s="94"/>
    </row>
    <row r="1207" spans="1:18" x14ac:dyDescent="0.25">
      <c r="A1207" s="367">
        <v>39718</v>
      </c>
      <c r="B1207" s="367" t="s">
        <v>279</v>
      </c>
      <c r="C1207" s="279" t="s">
        <v>638</v>
      </c>
      <c r="D1207" s="159" t="s">
        <v>1117</v>
      </c>
      <c r="E1207" s="45">
        <f t="shared" si="92"/>
        <v>39718</v>
      </c>
      <c r="F1207" s="148" t="str">
        <f t="shared" si="93"/>
        <v>2008-09</v>
      </c>
      <c r="G1207" s="1"/>
      <c r="H1207" s="163"/>
      <c r="I1207" s="37"/>
      <c r="J1207" s="138">
        <f t="shared" si="94"/>
        <v>0.77968490742404351</v>
      </c>
      <c r="K1207" s="114"/>
      <c r="L1207" s="37">
        <v>25.721342327999999</v>
      </c>
      <c r="M1207" s="37" t="s">
        <v>142</v>
      </c>
      <c r="N1207" s="37">
        <v>696.6467060487804</v>
      </c>
      <c r="O1207" s="132">
        <f t="shared" si="95"/>
        <v>17918.688407954269</v>
      </c>
      <c r="P1207" s="134">
        <f t="shared" si="96"/>
        <v>13970.930912516105</v>
      </c>
      <c r="Q1207" s="261">
        <v>1</v>
      </c>
      <c r="R1207" s="94"/>
    </row>
    <row r="1208" spans="1:18" x14ac:dyDescent="0.25">
      <c r="A1208" s="367">
        <v>39718</v>
      </c>
      <c r="B1208" s="367" t="s">
        <v>279</v>
      </c>
      <c r="C1208" s="279" t="s">
        <v>638</v>
      </c>
      <c r="D1208" s="159" t="s">
        <v>1117</v>
      </c>
      <c r="E1208" s="45">
        <f t="shared" si="92"/>
        <v>39718</v>
      </c>
      <c r="F1208" s="148" t="str">
        <f t="shared" si="93"/>
        <v>2008-09</v>
      </c>
      <c r="G1208" s="1"/>
      <c r="H1208" s="163"/>
      <c r="I1208" s="37"/>
      <c r="J1208" s="138">
        <f t="shared" si="94"/>
        <v>0.77968490742404351</v>
      </c>
      <c r="K1208" s="114"/>
      <c r="L1208" s="37">
        <v>1.70039171958</v>
      </c>
      <c r="M1208" s="37" t="s">
        <v>142</v>
      </c>
      <c r="N1208" s="37">
        <v>696.6467060487804</v>
      </c>
      <c r="O1208" s="132">
        <f t="shared" si="95"/>
        <v>1184.5722904380284</v>
      </c>
      <c r="P1208" s="134">
        <f t="shared" si="96"/>
        <v>923.59313660726139</v>
      </c>
      <c r="Q1208" s="261">
        <v>1</v>
      </c>
      <c r="R1208" s="94"/>
    </row>
    <row r="1209" spans="1:18" x14ac:dyDescent="0.25">
      <c r="A1209" s="367">
        <v>39937</v>
      </c>
      <c r="B1209" s="367" t="s">
        <v>279</v>
      </c>
      <c r="C1209" s="279" t="s">
        <v>628</v>
      </c>
      <c r="D1209" s="159" t="s">
        <v>1123</v>
      </c>
      <c r="E1209" s="45">
        <f t="shared" si="92"/>
        <v>39937</v>
      </c>
      <c r="F1209" s="148" t="str">
        <f t="shared" si="93"/>
        <v>2008-09</v>
      </c>
      <c r="G1209" s="1"/>
      <c r="H1209" s="163"/>
      <c r="I1209" s="37"/>
      <c r="J1209" s="138">
        <f t="shared" si="94"/>
        <v>0.77968490742404351</v>
      </c>
      <c r="K1209" s="114"/>
      <c r="L1209" s="37">
        <v>156.49347506699999</v>
      </c>
      <c r="M1209" s="37" t="s">
        <v>142</v>
      </c>
      <c r="N1209" s="37">
        <v>771.6404230243902</v>
      </c>
      <c r="O1209" s="132">
        <f t="shared" si="95"/>
        <v>120756.69130125674</v>
      </c>
      <c r="P1209" s="134">
        <f t="shared" si="96"/>
        <v>94152.169678054153</v>
      </c>
      <c r="Q1209" s="261">
        <v>1</v>
      </c>
      <c r="R1209" s="94"/>
    </row>
    <row r="1210" spans="1:18" x14ac:dyDescent="0.25">
      <c r="A1210" s="367">
        <v>39937</v>
      </c>
      <c r="B1210" s="367" t="s">
        <v>279</v>
      </c>
      <c r="C1210" s="279" t="s">
        <v>628</v>
      </c>
      <c r="D1210" s="159" t="s">
        <v>1123</v>
      </c>
      <c r="E1210" s="45">
        <f t="shared" si="92"/>
        <v>39937</v>
      </c>
      <c r="F1210" s="148" t="str">
        <f t="shared" si="93"/>
        <v>2008-09</v>
      </c>
      <c r="G1210" s="1"/>
      <c r="H1210" s="163"/>
      <c r="I1210" s="37"/>
      <c r="J1210" s="138">
        <f t="shared" si="94"/>
        <v>0.77968490742404351</v>
      </c>
      <c r="K1210" s="114"/>
      <c r="L1210" s="37">
        <v>6.4895899716400001</v>
      </c>
      <c r="M1210" s="37" t="s">
        <v>142</v>
      </c>
      <c r="N1210" s="37">
        <v>696.6467060487804</v>
      </c>
      <c r="O1210" s="132">
        <f t="shared" si="95"/>
        <v>4520.9514773502042</v>
      </c>
      <c r="P1210" s="134">
        <f t="shared" si="96"/>
        <v>3524.9176340863864</v>
      </c>
      <c r="Q1210" s="261">
        <v>1</v>
      </c>
      <c r="R1210" s="94"/>
    </row>
    <row r="1211" spans="1:18" x14ac:dyDescent="0.25">
      <c r="A1211" s="367">
        <v>39937</v>
      </c>
      <c r="B1211" s="367" t="s">
        <v>279</v>
      </c>
      <c r="C1211" s="279" t="s">
        <v>628</v>
      </c>
      <c r="D1211" s="159" t="s">
        <v>1123</v>
      </c>
      <c r="E1211" s="45">
        <f t="shared" si="92"/>
        <v>39937</v>
      </c>
      <c r="F1211" s="148" t="str">
        <f t="shared" si="93"/>
        <v>2008-09</v>
      </c>
      <c r="G1211" s="1"/>
      <c r="H1211" s="163"/>
      <c r="I1211" s="37"/>
      <c r="J1211" s="138">
        <f t="shared" si="94"/>
        <v>0.77968490742404351</v>
      </c>
      <c r="K1211" s="114"/>
      <c r="L1211" s="37">
        <v>5.2678346595200001</v>
      </c>
      <c r="M1211" s="37" t="s">
        <v>142</v>
      </c>
      <c r="N1211" s="37">
        <v>1003.0093919999996</v>
      </c>
      <c r="O1211" s="132">
        <f t="shared" si="95"/>
        <v>5283.6876390016805</v>
      </c>
      <c r="P1211" s="134">
        <f t="shared" si="96"/>
        <v>4119.6115076725882</v>
      </c>
      <c r="Q1211" s="261">
        <v>1</v>
      </c>
      <c r="R1211" s="94"/>
    </row>
    <row r="1212" spans="1:18" x14ac:dyDescent="0.25">
      <c r="A1212" s="367">
        <v>39937</v>
      </c>
      <c r="B1212" s="367" t="s">
        <v>279</v>
      </c>
      <c r="C1212" s="279" t="s">
        <v>628</v>
      </c>
      <c r="D1212" s="159" t="s">
        <v>1123</v>
      </c>
      <c r="E1212" s="45">
        <f t="shared" si="92"/>
        <v>39937</v>
      </c>
      <c r="F1212" s="148" t="str">
        <f t="shared" si="93"/>
        <v>2008-09</v>
      </c>
      <c r="G1212" s="1"/>
      <c r="H1212" s="163"/>
      <c r="I1212" s="37"/>
      <c r="J1212" s="138">
        <f t="shared" si="94"/>
        <v>0.77968490742404351</v>
      </c>
      <c r="K1212" s="114"/>
      <c r="L1212" s="37">
        <v>2.2319278268899998</v>
      </c>
      <c r="M1212" s="37" t="s">
        <v>142</v>
      </c>
      <c r="N1212" s="37">
        <v>696.6467060487804</v>
      </c>
      <c r="O1212" s="132">
        <f t="shared" si="95"/>
        <v>1554.8651687415309</v>
      </c>
      <c r="P1212" s="134">
        <f t="shared" si="96"/>
        <v>1212.3049051471103</v>
      </c>
      <c r="Q1212" s="261">
        <v>1</v>
      </c>
      <c r="R1212" s="94"/>
    </row>
    <row r="1213" spans="1:18" x14ac:dyDescent="0.25">
      <c r="A1213" s="367">
        <v>39937</v>
      </c>
      <c r="B1213" s="367" t="s">
        <v>279</v>
      </c>
      <c r="C1213" s="279" t="s">
        <v>628</v>
      </c>
      <c r="D1213" s="159" t="s">
        <v>1123</v>
      </c>
      <c r="E1213" s="45">
        <f t="shared" si="92"/>
        <v>39937</v>
      </c>
      <c r="F1213" s="148" t="str">
        <f t="shared" si="93"/>
        <v>2008-09</v>
      </c>
      <c r="G1213" s="1"/>
      <c r="H1213" s="163"/>
      <c r="I1213" s="37"/>
      <c r="J1213" s="138">
        <f t="shared" si="94"/>
        <v>0.77968490742404351</v>
      </c>
      <c r="K1213" s="114"/>
      <c r="L1213" s="37">
        <v>0.49932153969199999</v>
      </c>
      <c r="M1213" s="37" t="s">
        <v>142</v>
      </c>
      <c r="N1213" s="37">
        <v>696.6467060487804</v>
      </c>
      <c r="O1213" s="132">
        <f t="shared" si="95"/>
        <v>347.85070588563718</v>
      </c>
      <c r="P1213" s="134">
        <f t="shared" si="96"/>
        <v>271.21394541583123</v>
      </c>
      <c r="Q1213" s="261">
        <v>1</v>
      </c>
      <c r="R1213" s="94"/>
    </row>
    <row r="1214" spans="1:18" x14ac:dyDescent="0.25">
      <c r="A1214" s="367">
        <v>43090</v>
      </c>
      <c r="B1214" s="367" t="s">
        <v>279</v>
      </c>
      <c r="C1214" s="279" t="s">
        <v>588</v>
      </c>
      <c r="D1214" s="159" t="s">
        <v>1123</v>
      </c>
      <c r="E1214" s="45">
        <f t="shared" si="92"/>
        <v>43090</v>
      </c>
      <c r="F1214" s="148" t="str">
        <f t="shared" si="93"/>
        <v>2017-18</v>
      </c>
      <c r="G1214" s="1"/>
      <c r="H1214" s="163"/>
      <c r="I1214" s="37"/>
      <c r="J1214" s="138">
        <f t="shared" si="94"/>
        <v>0.77968490742404351</v>
      </c>
      <c r="K1214" s="114"/>
      <c r="L1214" s="37">
        <v>25.503019829900001</v>
      </c>
      <c r="M1214" s="37" t="s">
        <v>142</v>
      </c>
      <c r="N1214" s="37">
        <v>936.5640883902438</v>
      </c>
      <c r="O1214" s="132">
        <f t="shared" si="95"/>
        <v>23885.212518188604</v>
      </c>
      <c r="P1214" s="134">
        <f t="shared" si="96"/>
        <v>18622.939711047486</v>
      </c>
      <c r="Q1214" s="261">
        <v>1</v>
      </c>
      <c r="R1214" s="94"/>
    </row>
    <row r="1215" spans="1:18" x14ac:dyDescent="0.25">
      <c r="A1215" s="367">
        <v>39937</v>
      </c>
      <c r="B1215" s="367" t="s">
        <v>279</v>
      </c>
      <c r="C1215" s="279" t="s">
        <v>628</v>
      </c>
      <c r="D1215" s="159" t="s">
        <v>1123</v>
      </c>
      <c r="E1215" s="45">
        <f t="shared" si="92"/>
        <v>39937</v>
      </c>
      <c r="F1215" s="148" t="str">
        <f t="shared" si="93"/>
        <v>2008-09</v>
      </c>
      <c r="G1215" s="1"/>
      <c r="H1215" s="163"/>
      <c r="I1215" s="37"/>
      <c r="J1215" s="138">
        <f t="shared" si="94"/>
        <v>0.77968490742404351</v>
      </c>
      <c r="K1215" s="114"/>
      <c r="L1215" s="37">
        <v>157.55551380099999</v>
      </c>
      <c r="M1215" s="37" t="s">
        <v>142</v>
      </c>
      <c r="N1215" s="37">
        <v>771.6404230243902</v>
      </c>
      <c r="O1215" s="132">
        <f t="shared" si="95"/>
        <v>121576.20331922878</v>
      </c>
      <c r="P1215" s="134">
        <f t="shared" si="96"/>
        <v>94791.130829919581</v>
      </c>
      <c r="Q1215" s="261">
        <v>1</v>
      </c>
      <c r="R1215" s="94"/>
    </row>
    <row r="1216" spans="1:18" x14ac:dyDescent="0.25">
      <c r="A1216" s="367">
        <v>39937</v>
      </c>
      <c r="B1216" s="367" t="s">
        <v>279</v>
      </c>
      <c r="C1216" s="279" t="s">
        <v>628</v>
      </c>
      <c r="D1216" s="159" t="s">
        <v>1123</v>
      </c>
      <c r="E1216" s="45">
        <f t="shared" si="92"/>
        <v>39937</v>
      </c>
      <c r="F1216" s="148" t="str">
        <f t="shared" si="93"/>
        <v>2008-09</v>
      </c>
      <c r="G1216" s="1"/>
      <c r="H1216" s="163"/>
      <c r="I1216" s="37"/>
      <c r="J1216" s="138">
        <f t="shared" si="94"/>
        <v>0.77968490742404351</v>
      </c>
      <c r="K1216" s="114"/>
      <c r="L1216" s="37">
        <v>1.49988966261</v>
      </c>
      <c r="M1216" s="37" t="s">
        <v>142</v>
      </c>
      <c r="N1216" s="37">
        <v>771.6404230243902</v>
      </c>
      <c r="O1216" s="132">
        <f t="shared" si="95"/>
        <v>1157.3754937462902</v>
      </c>
      <c r="P1216" s="134">
        <f t="shared" si="96"/>
        <v>902.38820469643292</v>
      </c>
      <c r="Q1216" s="261">
        <v>1</v>
      </c>
      <c r="R1216" s="94"/>
    </row>
    <row r="1217" spans="1:18" x14ac:dyDescent="0.25">
      <c r="A1217" s="367">
        <v>40421</v>
      </c>
      <c r="B1217" s="367" t="s">
        <v>279</v>
      </c>
      <c r="C1217" s="279" t="s">
        <v>639</v>
      </c>
      <c r="D1217" s="159" t="s">
        <v>1123</v>
      </c>
      <c r="E1217" s="45">
        <f t="shared" si="92"/>
        <v>40421</v>
      </c>
      <c r="F1217" s="148" t="str">
        <f t="shared" si="93"/>
        <v>2010-11</v>
      </c>
      <c r="G1217" s="1"/>
      <c r="H1217" s="163"/>
      <c r="I1217" s="37"/>
      <c r="J1217" s="138">
        <f t="shared" si="94"/>
        <v>0.77968490742404351</v>
      </c>
      <c r="K1217" s="114"/>
      <c r="L1217" s="37">
        <v>109.036808372</v>
      </c>
      <c r="M1217" s="37" t="s">
        <v>142</v>
      </c>
      <c r="N1217" s="37">
        <v>771.6404230243902</v>
      </c>
      <c r="O1217" s="132">
        <f t="shared" si="95"/>
        <v>84137.208937399453</v>
      </c>
      <c r="P1217" s="134">
        <f t="shared" si="96"/>
        <v>65600.511961273703</v>
      </c>
      <c r="Q1217" s="261">
        <v>1</v>
      </c>
      <c r="R1217" s="94"/>
    </row>
    <row r="1218" spans="1:18" x14ac:dyDescent="0.25">
      <c r="A1218" s="367">
        <v>40421</v>
      </c>
      <c r="B1218" s="367" t="s">
        <v>279</v>
      </c>
      <c r="C1218" s="279" t="s">
        <v>639</v>
      </c>
      <c r="D1218" s="159" t="s">
        <v>1123</v>
      </c>
      <c r="E1218" s="45">
        <f t="shared" si="92"/>
        <v>40421</v>
      </c>
      <c r="F1218" s="148" t="str">
        <f t="shared" si="93"/>
        <v>2010-11</v>
      </c>
      <c r="G1218" s="1"/>
      <c r="H1218" s="163"/>
      <c r="I1218" s="37"/>
      <c r="J1218" s="138">
        <f t="shared" si="94"/>
        <v>0.77968490742404351</v>
      </c>
      <c r="K1218" s="114"/>
      <c r="L1218" s="37">
        <v>10.5316228965</v>
      </c>
      <c r="M1218" s="37" t="s">
        <v>142</v>
      </c>
      <c r="N1218" s="37">
        <v>771.6404230243902</v>
      </c>
      <c r="O1218" s="132">
        <f t="shared" si="95"/>
        <v>8126.6259469886136</v>
      </c>
      <c r="P1218" s="134">
        <f t="shared" si="96"/>
        <v>6336.2075991476468</v>
      </c>
      <c r="Q1218" s="261">
        <v>1</v>
      </c>
      <c r="R1218" s="94"/>
    </row>
    <row r="1219" spans="1:18" x14ac:dyDescent="0.25">
      <c r="A1219" s="367">
        <v>40421</v>
      </c>
      <c r="B1219" s="367" t="s">
        <v>279</v>
      </c>
      <c r="C1219" s="279" t="s">
        <v>639</v>
      </c>
      <c r="D1219" s="159" t="s">
        <v>1123</v>
      </c>
      <c r="E1219" s="45">
        <f t="shared" si="92"/>
        <v>40421</v>
      </c>
      <c r="F1219" s="148" t="str">
        <f t="shared" si="93"/>
        <v>2010-11</v>
      </c>
      <c r="G1219" s="1"/>
      <c r="H1219" s="163"/>
      <c r="I1219" s="37"/>
      <c r="J1219" s="138">
        <f t="shared" si="94"/>
        <v>0.77968490742404351</v>
      </c>
      <c r="K1219" s="114"/>
      <c r="L1219" s="37">
        <v>93.322707729599998</v>
      </c>
      <c r="M1219" s="37" t="s">
        <v>142</v>
      </c>
      <c r="N1219" s="37">
        <v>771.6404230243902</v>
      </c>
      <c r="O1219" s="132">
        <f t="shared" si="95"/>
        <v>72011.573670250073</v>
      </c>
      <c r="P1219" s="134">
        <f t="shared" si="96"/>
        <v>56146.337150548614</v>
      </c>
      <c r="Q1219" s="261">
        <v>1</v>
      </c>
      <c r="R1219" s="94"/>
    </row>
    <row r="1220" spans="1:18" x14ac:dyDescent="0.25">
      <c r="A1220" s="367">
        <v>40421</v>
      </c>
      <c r="B1220" s="367" t="s">
        <v>279</v>
      </c>
      <c r="C1220" s="279" t="s">
        <v>639</v>
      </c>
      <c r="D1220" s="159" t="s">
        <v>1123</v>
      </c>
      <c r="E1220" s="45">
        <f t="shared" si="92"/>
        <v>40421</v>
      </c>
      <c r="F1220" s="148" t="str">
        <f t="shared" si="93"/>
        <v>2010-11</v>
      </c>
      <c r="G1220" s="1"/>
      <c r="H1220" s="163"/>
      <c r="I1220" s="37"/>
      <c r="J1220" s="138">
        <f t="shared" si="94"/>
        <v>0.77968490742404351</v>
      </c>
      <c r="K1220" s="114"/>
      <c r="L1220" s="37">
        <v>11.442533833500001</v>
      </c>
      <c r="M1220" s="37" t="s">
        <v>142</v>
      </c>
      <c r="N1220" s="37">
        <v>771.6404230243902</v>
      </c>
      <c r="O1220" s="132">
        <f t="shared" si="95"/>
        <v>8829.5216477528375</v>
      </c>
      <c r="P1220" s="134">
        <f t="shared" si="96"/>
        <v>6884.2447685267589</v>
      </c>
      <c r="Q1220" s="261">
        <v>1</v>
      </c>
      <c r="R1220" s="94"/>
    </row>
    <row r="1221" spans="1:18" x14ac:dyDescent="0.25">
      <c r="A1221" s="367">
        <v>40421</v>
      </c>
      <c r="B1221" s="367" t="s">
        <v>279</v>
      </c>
      <c r="C1221" s="279" t="s">
        <v>639</v>
      </c>
      <c r="D1221" s="159" t="s">
        <v>1123</v>
      </c>
      <c r="E1221" s="45">
        <f t="shared" si="92"/>
        <v>40421</v>
      </c>
      <c r="F1221" s="148" t="str">
        <f t="shared" si="93"/>
        <v>2010-11</v>
      </c>
      <c r="G1221" s="1"/>
      <c r="H1221" s="163"/>
      <c r="I1221" s="37"/>
      <c r="J1221" s="138">
        <f t="shared" si="94"/>
        <v>0.77968490742404351</v>
      </c>
      <c r="K1221" s="114"/>
      <c r="L1221" s="37">
        <v>15.179742279499999</v>
      </c>
      <c r="M1221" s="37" t="s">
        <v>142</v>
      </c>
      <c r="N1221" s="37">
        <v>771.6404230243902</v>
      </c>
      <c r="O1221" s="132">
        <f t="shared" si="95"/>
        <v>11713.3027539546</v>
      </c>
      <c r="P1221" s="134">
        <f t="shared" si="96"/>
        <v>9132.685373346887</v>
      </c>
      <c r="Q1221" s="261">
        <v>1</v>
      </c>
      <c r="R1221" s="94"/>
    </row>
    <row r="1222" spans="1:18" x14ac:dyDescent="0.25">
      <c r="A1222" s="367">
        <v>43024</v>
      </c>
      <c r="B1222" s="367" t="s">
        <v>279</v>
      </c>
      <c r="C1222" s="279" t="s">
        <v>640</v>
      </c>
      <c r="D1222" s="159" t="s">
        <v>1124</v>
      </c>
      <c r="E1222" s="45">
        <f t="shared" si="92"/>
        <v>43024</v>
      </c>
      <c r="F1222" s="148" t="str">
        <f t="shared" si="93"/>
        <v>2017-18</v>
      </c>
      <c r="G1222" s="1"/>
      <c r="H1222" s="163"/>
      <c r="I1222" s="37"/>
      <c r="J1222" s="138">
        <f t="shared" si="94"/>
        <v>0.77968490742404351</v>
      </c>
      <c r="K1222" s="114"/>
      <c r="L1222" s="37">
        <v>39.513357596600002</v>
      </c>
      <c r="M1222" s="37" t="s">
        <v>142</v>
      </c>
      <c r="N1222" s="37">
        <v>771.6404230243902</v>
      </c>
      <c r="O1222" s="132">
        <f t="shared" si="95"/>
        <v>30490.103970954427</v>
      </c>
      <c r="P1222" s="134">
        <f t="shared" si="96"/>
        <v>23772.673891943065</v>
      </c>
      <c r="Q1222" s="261">
        <v>1</v>
      </c>
      <c r="R1222" s="94"/>
    </row>
    <row r="1223" spans="1:18" x14ac:dyDescent="0.25">
      <c r="A1223" s="367">
        <v>43024</v>
      </c>
      <c r="B1223" s="367" t="s">
        <v>279</v>
      </c>
      <c r="C1223" s="279" t="s">
        <v>640</v>
      </c>
      <c r="D1223" s="159" t="s">
        <v>1124</v>
      </c>
      <c r="E1223" s="45">
        <f t="shared" si="92"/>
        <v>43024</v>
      </c>
      <c r="F1223" s="148" t="str">
        <f t="shared" si="93"/>
        <v>2017-18</v>
      </c>
      <c r="G1223" s="1"/>
      <c r="H1223" s="163"/>
      <c r="I1223" s="37"/>
      <c r="J1223" s="138">
        <f t="shared" si="94"/>
        <v>0.77968490742404351</v>
      </c>
      <c r="K1223" s="114"/>
      <c r="L1223" s="37">
        <v>37.757628248899998</v>
      </c>
      <c r="M1223" s="37" t="s">
        <v>142</v>
      </c>
      <c r="N1223" s="37">
        <v>771.6404230243902</v>
      </c>
      <c r="O1223" s="132">
        <f t="shared" si="95"/>
        <v>29135.31223437886</v>
      </c>
      <c r="P1223" s="134">
        <f t="shared" si="96"/>
        <v>22716.363222232285</v>
      </c>
      <c r="Q1223" s="261">
        <v>1</v>
      </c>
      <c r="R1223" s="94"/>
    </row>
    <row r="1224" spans="1:18" x14ac:dyDescent="0.25">
      <c r="A1224" s="367">
        <v>43024</v>
      </c>
      <c r="B1224" s="367" t="s">
        <v>279</v>
      </c>
      <c r="C1224" s="279" t="s">
        <v>640</v>
      </c>
      <c r="D1224" s="159" t="s">
        <v>1124</v>
      </c>
      <c r="E1224" s="45">
        <f t="shared" si="92"/>
        <v>43024</v>
      </c>
      <c r="F1224" s="148" t="str">
        <f t="shared" si="93"/>
        <v>2017-18</v>
      </c>
      <c r="G1224" s="1"/>
      <c r="H1224" s="163"/>
      <c r="I1224" s="37"/>
      <c r="J1224" s="138">
        <f t="shared" si="94"/>
        <v>0.77968490742404351</v>
      </c>
      <c r="K1224" s="114"/>
      <c r="L1224" s="37">
        <v>0.74968326645299999</v>
      </c>
      <c r="M1224" s="37" t="s">
        <v>142</v>
      </c>
      <c r="N1224" s="37">
        <v>696.6467060487804</v>
      </c>
      <c r="O1224" s="132">
        <f t="shared" si="95"/>
        <v>522.26437815437259</v>
      </c>
      <c r="P1224" s="134">
        <f t="shared" si="96"/>
        <v>407.20165333216767</v>
      </c>
      <c r="Q1224" s="261">
        <v>1</v>
      </c>
      <c r="R1224" s="94"/>
    </row>
    <row r="1225" spans="1:18" x14ac:dyDescent="0.25">
      <c r="A1225" s="367">
        <v>43024</v>
      </c>
      <c r="B1225" s="367" t="s">
        <v>279</v>
      </c>
      <c r="C1225" s="279" t="s">
        <v>640</v>
      </c>
      <c r="D1225" s="159" t="s">
        <v>1124</v>
      </c>
      <c r="E1225" s="45">
        <f t="shared" si="92"/>
        <v>43024</v>
      </c>
      <c r="F1225" s="148" t="str">
        <f t="shared" si="93"/>
        <v>2017-18</v>
      </c>
      <c r="G1225" s="1"/>
      <c r="H1225" s="163"/>
      <c r="I1225" s="37"/>
      <c r="J1225" s="138">
        <f t="shared" si="94"/>
        <v>0.77968490742404351</v>
      </c>
      <c r="K1225" s="114"/>
      <c r="L1225" s="37">
        <v>26.005260106400002</v>
      </c>
      <c r="M1225" s="37" t="s">
        <v>142</v>
      </c>
      <c r="N1225" s="37">
        <v>771.6404230243902</v>
      </c>
      <c r="O1225" s="132">
        <f t="shared" si="95"/>
        <v>20066.709909361794</v>
      </c>
      <c r="P1225" s="134">
        <f t="shared" si="96"/>
        <v>15645.710857985887</v>
      </c>
      <c r="Q1225" s="261">
        <v>1</v>
      </c>
      <c r="R1225" s="94"/>
    </row>
    <row r="1226" spans="1:18" x14ac:dyDescent="0.25">
      <c r="A1226" s="367">
        <v>43024</v>
      </c>
      <c r="B1226" s="367" t="s">
        <v>279</v>
      </c>
      <c r="C1226" s="279" t="s">
        <v>640</v>
      </c>
      <c r="D1226" s="159" t="s">
        <v>1124</v>
      </c>
      <c r="E1226" s="45">
        <f t="shared" si="92"/>
        <v>43024</v>
      </c>
      <c r="F1226" s="148" t="str">
        <f t="shared" si="93"/>
        <v>2017-18</v>
      </c>
      <c r="G1226" s="1"/>
      <c r="H1226" s="163"/>
      <c r="I1226" s="37"/>
      <c r="J1226" s="138">
        <f t="shared" si="94"/>
        <v>0.77968490742404351</v>
      </c>
      <c r="K1226" s="114"/>
      <c r="L1226" s="37">
        <v>6.8989852152299997</v>
      </c>
      <c r="M1226" s="37" t="s">
        <v>142</v>
      </c>
      <c r="N1226" s="37">
        <v>771.6404230243902</v>
      </c>
      <c r="O1226" s="132">
        <f t="shared" si="95"/>
        <v>5323.5358699190911</v>
      </c>
      <c r="P1226" s="134">
        <f t="shared" si="96"/>
        <v>4150.6805719064414</v>
      </c>
      <c r="Q1226" s="261">
        <v>1</v>
      </c>
      <c r="R1226" s="94"/>
    </row>
    <row r="1227" spans="1:18" x14ac:dyDescent="0.25">
      <c r="A1227" s="367">
        <v>43024</v>
      </c>
      <c r="B1227" s="367" t="s">
        <v>279</v>
      </c>
      <c r="C1227" s="279" t="s">
        <v>640</v>
      </c>
      <c r="D1227" s="159" t="s">
        <v>1124</v>
      </c>
      <c r="E1227" s="45">
        <f t="shared" si="92"/>
        <v>43024</v>
      </c>
      <c r="F1227" s="148" t="str">
        <f t="shared" si="93"/>
        <v>2017-18</v>
      </c>
      <c r="G1227" s="1"/>
      <c r="H1227" s="163"/>
      <c r="I1227" s="37"/>
      <c r="J1227" s="138">
        <f t="shared" si="94"/>
        <v>0.77968490742404351</v>
      </c>
      <c r="K1227" s="114"/>
      <c r="L1227" s="37">
        <v>10.931871293</v>
      </c>
      <c r="M1227" s="37" t="s">
        <v>142</v>
      </c>
      <c r="N1227" s="37">
        <v>771.6404230243902</v>
      </c>
      <c r="O1227" s="132">
        <f t="shared" si="95"/>
        <v>8435.4737889787084</v>
      </c>
      <c r="P1227" s="134">
        <f t="shared" si="96"/>
        <v>6577.0116002378099</v>
      </c>
      <c r="Q1227" s="261">
        <v>1</v>
      </c>
      <c r="R1227" s="94"/>
    </row>
    <row r="1228" spans="1:18" x14ac:dyDescent="0.25">
      <c r="A1228" s="367">
        <v>43024</v>
      </c>
      <c r="B1228" s="367" t="s">
        <v>279</v>
      </c>
      <c r="C1228" s="279" t="s">
        <v>640</v>
      </c>
      <c r="D1228" s="159" t="s">
        <v>1124</v>
      </c>
      <c r="E1228" s="45">
        <f t="shared" si="92"/>
        <v>43024</v>
      </c>
      <c r="F1228" s="148" t="str">
        <f t="shared" si="93"/>
        <v>2017-18</v>
      </c>
      <c r="G1228" s="1"/>
      <c r="H1228" s="163"/>
      <c r="I1228" s="37"/>
      <c r="J1228" s="138">
        <f t="shared" si="94"/>
        <v>0.77968490742404351</v>
      </c>
      <c r="K1228" s="114"/>
      <c r="L1228" s="37">
        <v>51.914584804299999</v>
      </c>
      <c r="M1228" s="37" t="s">
        <v>142</v>
      </c>
      <c r="N1228" s="37">
        <v>771.6404230243902</v>
      </c>
      <c r="O1228" s="132">
        <f t="shared" si="95"/>
        <v>40059.392179525632</v>
      </c>
      <c r="P1228" s="134">
        <f t="shared" si="96"/>
        <v>31233.703482956895</v>
      </c>
      <c r="Q1228" s="261">
        <v>1</v>
      </c>
      <c r="R1228" s="94"/>
    </row>
    <row r="1229" spans="1:18" x14ac:dyDescent="0.25">
      <c r="A1229" s="367">
        <v>43024</v>
      </c>
      <c r="B1229" s="367" t="s">
        <v>279</v>
      </c>
      <c r="C1229" s="279" t="s">
        <v>640</v>
      </c>
      <c r="D1229" s="159" t="s">
        <v>1124</v>
      </c>
      <c r="E1229" s="45">
        <f t="shared" si="92"/>
        <v>43024</v>
      </c>
      <c r="F1229" s="148" t="str">
        <f t="shared" si="93"/>
        <v>2017-18</v>
      </c>
      <c r="G1229" s="1"/>
      <c r="H1229" s="163"/>
      <c r="I1229" s="37"/>
      <c r="J1229" s="138">
        <f t="shared" si="94"/>
        <v>0.77968490742404351</v>
      </c>
      <c r="K1229" s="114"/>
      <c r="L1229" s="37">
        <v>5.0249538863999996</v>
      </c>
      <c r="M1229" s="37" t="s">
        <v>142</v>
      </c>
      <c r="N1229" s="37">
        <v>696.6467060487804</v>
      </c>
      <c r="O1229" s="132">
        <f t="shared" si="95"/>
        <v>3500.617573007577</v>
      </c>
      <c r="P1229" s="134">
        <f t="shared" si="96"/>
        <v>2729.3786883373923</v>
      </c>
      <c r="Q1229" s="261">
        <v>1</v>
      </c>
      <c r="R1229" s="94"/>
    </row>
    <row r="1230" spans="1:18" x14ac:dyDescent="0.25">
      <c r="A1230" s="367">
        <v>43024</v>
      </c>
      <c r="B1230" s="367" t="s">
        <v>279</v>
      </c>
      <c r="C1230" s="279" t="s">
        <v>640</v>
      </c>
      <c r="D1230" s="159" t="s">
        <v>1124</v>
      </c>
      <c r="E1230" s="45">
        <f t="shared" si="92"/>
        <v>43024</v>
      </c>
      <c r="F1230" s="148" t="str">
        <f t="shared" si="93"/>
        <v>2017-18</v>
      </c>
      <c r="G1230" s="1"/>
      <c r="H1230" s="163"/>
      <c r="I1230" s="37"/>
      <c r="J1230" s="138">
        <f t="shared" si="94"/>
        <v>0.77968490742404351</v>
      </c>
      <c r="K1230" s="114"/>
      <c r="L1230" s="37">
        <v>7.1996978408799999</v>
      </c>
      <c r="M1230" s="37" t="s">
        <v>142</v>
      </c>
      <c r="N1230" s="37">
        <v>771.6404230243902</v>
      </c>
      <c r="O1230" s="132">
        <f t="shared" si="95"/>
        <v>5555.5778875844317</v>
      </c>
      <c r="P1230" s="134">
        <f t="shared" si="96"/>
        <v>4331.6002309683308</v>
      </c>
      <c r="Q1230" s="261">
        <v>1</v>
      </c>
      <c r="R1230" s="94"/>
    </row>
    <row r="1231" spans="1:18" x14ac:dyDescent="0.25">
      <c r="A1231" s="367">
        <v>41628</v>
      </c>
      <c r="B1231" s="367" t="s">
        <v>279</v>
      </c>
      <c r="C1231" s="279" t="s">
        <v>635</v>
      </c>
      <c r="D1231" s="159" t="s">
        <v>1120</v>
      </c>
      <c r="E1231" s="45">
        <f t="shared" si="92"/>
        <v>41628</v>
      </c>
      <c r="F1231" s="148" t="str">
        <f t="shared" si="93"/>
        <v>2013-14</v>
      </c>
      <c r="G1231" s="1"/>
      <c r="H1231" s="163"/>
      <c r="I1231" s="37"/>
      <c r="J1231" s="138">
        <f t="shared" si="94"/>
        <v>0.77968490742404351</v>
      </c>
      <c r="K1231" s="114"/>
      <c r="L1231" s="37">
        <v>0.47475151395199999</v>
      </c>
      <c r="M1231" s="37" t="s">
        <v>142</v>
      </c>
      <c r="N1231" s="37">
        <v>696.6467060487804</v>
      </c>
      <c r="O1231" s="132">
        <f t="shared" si="95"/>
        <v>330.73407838633238</v>
      </c>
      <c r="P1231" s="134">
        <f t="shared" si="96"/>
        <v>257.86836928862391</v>
      </c>
      <c r="Q1231" s="261">
        <v>1</v>
      </c>
      <c r="R1231" s="94"/>
    </row>
    <row r="1232" spans="1:18" x14ac:dyDescent="0.25">
      <c r="A1232" s="367">
        <v>41628</v>
      </c>
      <c r="B1232" s="367" t="s">
        <v>279</v>
      </c>
      <c r="C1232" s="279" t="s">
        <v>635</v>
      </c>
      <c r="D1232" s="159" t="s">
        <v>1120</v>
      </c>
      <c r="E1232" s="45">
        <f t="shared" si="92"/>
        <v>41628</v>
      </c>
      <c r="F1232" s="148" t="str">
        <f t="shared" si="93"/>
        <v>2013-14</v>
      </c>
      <c r="G1232" s="1"/>
      <c r="H1232" s="163"/>
      <c r="I1232" s="37"/>
      <c r="J1232" s="138">
        <f t="shared" si="94"/>
        <v>0.77968490742404351</v>
      </c>
      <c r="K1232" s="114"/>
      <c r="L1232" s="37">
        <v>0.95073129747600005</v>
      </c>
      <c r="M1232" s="37" t="s">
        <v>142</v>
      </c>
      <c r="N1232" s="37">
        <v>1003.0093919999996</v>
      </c>
      <c r="O1232" s="132">
        <f t="shared" si="95"/>
        <v>953.59242063677357</v>
      </c>
      <c r="P1232" s="134">
        <f t="shared" si="96"/>
        <v>743.50161820445237</v>
      </c>
      <c r="Q1232" s="261">
        <v>1</v>
      </c>
      <c r="R1232" s="94"/>
    </row>
    <row r="1233" spans="1:18" x14ac:dyDescent="0.25">
      <c r="A1233" s="367">
        <v>40932</v>
      </c>
      <c r="B1233" s="367" t="s">
        <v>279</v>
      </c>
      <c r="C1233" s="279" t="s">
        <v>614</v>
      </c>
      <c r="D1233" s="159" t="s">
        <v>1124</v>
      </c>
      <c r="E1233" s="45">
        <f t="shared" si="92"/>
        <v>40932</v>
      </c>
      <c r="F1233" s="148" t="str">
        <f t="shared" si="93"/>
        <v>2011-12</v>
      </c>
      <c r="G1233" s="1"/>
      <c r="H1233" s="163"/>
      <c r="I1233" s="37"/>
      <c r="J1233" s="138">
        <f t="shared" si="94"/>
        <v>0.77968490742404351</v>
      </c>
      <c r="K1233" s="114"/>
      <c r="L1233" s="37">
        <v>2.0185812509700001</v>
      </c>
      <c r="M1233" s="37" t="s">
        <v>142</v>
      </c>
      <c r="N1233" s="37">
        <v>1422.8466506341463</v>
      </c>
      <c r="O1233" s="132">
        <f t="shared" si="95"/>
        <v>2872.1315719755498</v>
      </c>
      <c r="P1233" s="134">
        <f t="shared" si="96"/>
        <v>2239.3576388054289</v>
      </c>
      <c r="Q1233" s="261">
        <v>1</v>
      </c>
      <c r="R1233" s="94"/>
    </row>
    <row r="1234" spans="1:18" x14ac:dyDescent="0.25">
      <c r="A1234" s="367">
        <v>40932</v>
      </c>
      <c r="B1234" s="367" t="s">
        <v>279</v>
      </c>
      <c r="C1234" s="279" t="s">
        <v>614</v>
      </c>
      <c r="D1234" s="159" t="s">
        <v>1124</v>
      </c>
      <c r="E1234" s="45">
        <f t="shared" si="92"/>
        <v>40932</v>
      </c>
      <c r="F1234" s="148" t="str">
        <f t="shared" ref="F1234:F1297" si="97">IF(E1234="","-",IF(OR(E1234&lt;$E$15,E1234&gt;$E$16),"ERROR - date outside of range",IF(MONTH(E1234)&gt;=7,YEAR(E1234)&amp;"-"&amp;IF(YEAR(E1234)=1999,"00",IF(AND(YEAR(E1234)&gt;=2000,YEAR(E1234)&lt;2009),"0","")&amp;RIGHT(YEAR(E1234),2)+1),RIGHT(YEAR(E1234),4)-1&amp;"-"&amp;RIGHT(YEAR(E1234),2))))</f>
        <v>2011-12</v>
      </c>
      <c r="G1234" s="1"/>
      <c r="H1234" s="163"/>
      <c r="I1234" s="37"/>
      <c r="J1234" s="138">
        <f t="shared" si="94"/>
        <v>0.77968490742404351</v>
      </c>
      <c r="K1234" s="114"/>
      <c r="L1234" s="37">
        <v>0.72233302568799995</v>
      </c>
      <c r="M1234" s="37" t="s">
        <v>142</v>
      </c>
      <c r="N1234" s="37">
        <v>1422.8466506341463</v>
      </c>
      <c r="O1234" s="132">
        <f t="shared" ref="O1234:O1297" si="98">IF(N1234="","-",L1234*N1234)</f>
        <v>1027.7691262425994</v>
      </c>
      <c r="P1234" s="134">
        <f t="shared" ref="P1234:P1297" si="99">IF(O1234="-","-",IF(OR(E1234&lt;$E$15,E1234&gt;$E$16),0,O1234*J1234))*Q1234</f>
        <v>801.33607604775125</v>
      </c>
      <c r="Q1234" s="261">
        <v>1</v>
      </c>
      <c r="R1234" s="94"/>
    </row>
    <row r="1235" spans="1:18" x14ac:dyDescent="0.25">
      <c r="A1235" s="367">
        <v>40932</v>
      </c>
      <c r="B1235" s="367" t="s">
        <v>279</v>
      </c>
      <c r="C1235" s="279" t="s">
        <v>614</v>
      </c>
      <c r="D1235" s="159" t="s">
        <v>1124</v>
      </c>
      <c r="E1235" s="45">
        <f t="shared" si="92"/>
        <v>40932</v>
      </c>
      <c r="F1235" s="148" t="str">
        <f t="shared" si="97"/>
        <v>2011-12</v>
      </c>
      <c r="G1235" s="1"/>
      <c r="H1235" s="163"/>
      <c r="I1235" s="37"/>
      <c r="J1235" s="138">
        <f t="shared" si="94"/>
        <v>0.77968490742404351</v>
      </c>
      <c r="K1235" s="114"/>
      <c r="L1235" s="37">
        <v>1.0005583441300001</v>
      </c>
      <c r="M1235" s="37" t="s">
        <v>142</v>
      </c>
      <c r="N1235" s="37">
        <v>3608.7512195121944</v>
      </c>
      <c r="O1235" s="132">
        <f t="shared" si="98"/>
        <v>3610.7661445722397</v>
      </c>
      <c r="P1235" s="134">
        <f t="shared" si="99"/>
        <v>2815.259867160677</v>
      </c>
      <c r="Q1235" s="261">
        <v>1</v>
      </c>
      <c r="R1235" s="94"/>
    </row>
    <row r="1236" spans="1:18" x14ac:dyDescent="0.25">
      <c r="A1236" s="367">
        <v>40932</v>
      </c>
      <c r="B1236" s="367" t="s">
        <v>279</v>
      </c>
      <c r="C1236" s="279" t="s">
        <v>614</v>
      </c>
      <c r="D1236" s="159" t="s">
        <v>1124</v>
      </c>
      <c r="E1236" s="45">
        <f t="shared" si="92"/>
        <v>40932</v>
      </c>
      <c r="F1236" s="148" t="str">
        <f t="shared" si="97"/>
        <v>2011-12</v>
      </c>
      <c r="G1236" s="1"/>
      <c r="H1236" s="163"/>
      <c r="I1236" s="37"/>
      <c r="J1236" s="138">
        <f t="shared" si="94"/>
        <v>0.77968490742404351</v>
      </c>
      <c r="K1236" s="114"/>
      <c r="L1236" s="37">
        <v>1.40006035584</v>
      </c>
      <c r="M1236" s="37" t="s">
        <v>142</v>
      </c>
      <c r="N1236" s="37">
        <v>1422.8419512195119</v>
      </c>
      <c r="O1236" s="132">
        <f t="shared" si="98"/>
        <v>1992.0646085284698</v>
      </c>
      <c r="P1236" s="134">
        <f t="shared" si="99"/>
        <v>1553.1827098832334</v>
      </c>
      <c r="Q1236" s="261">
        <v>1</v>
      </c>
      <c r="R1236" s="94"/>
    </row>
    <row r="1237" spans="1:18" x14ac:dyDescent="0.25">
      <c r="A1237" s="367">
        <v>40932</v>
      </c>
      <c r="B1237" s="367" t="s">
        <v>279</v>
      </c>
      <c r="C1237" s="279" t="s">
        <v>614</v>
      </c>
      <c r="D1237" s="159" t="s">
        <v>1124</v>
      </c>
      <c r="E1237" s="45">
        <f t="shared" si="92"/>
        <v>40932</v>
      </c>
      <c r="F1237" s="148" t="str">
        <f t="shared" si="97"/>
        <v>2011-12</v>
      </c>
      <c r="G1237" s="1"/>
      <c r="H1237" s="163"/>
      <c r="I1237" s="37"/>
      <c r="J1237" s="138">
        <f t="shared" si="94"/>
        <v>0.77968490742404351</v>
      </c>
      <c r="K1237" s="114"/>
      <c r="L1237" s="37">
        <v>1.0027342619099999</v>
      </c>
      <c r="M1237" s="37" t="s">
        <v>142</v>
      </c>
      <c r="N1237" s="37">
        <v>3608.7512195121944</v>
      </c>
      <c r="O1237" s="132">
        <f t="shared" si="98"/>
        <v>3618.6184905143723</v>
      </c>
      <c r="P1237" s="134">
        <f t="shared" si="99"/>
        <v>2821.3822227796304</v>
      </c>
      <c r="Q1237" s="261">
        <v>1</v>
      </c>
      <c r="R1237" s="94"/>
    </row>
    <row r="1238" spans="1:18" x14ac:dyDescent="0.25">
      <c r="A1238" s="367">
        <v>40932</v>
      </c>
      <c r="B1238" s="367" t="s">
        <v>279</v>
      </c>
      <c r="C1238" s="279" t="s">
        <v>614</v>
      </c>
      <c r="D1238" s="159" t="s">
        <v>1124</v>
      </c>
      <c r="E1238" s="45">
        <f t="shared" si="92"/>
        <v>40932</v>
      </c>
      <c r="F1238" s="148" t="str">
        <f t="shared" si="97"/>
        <v>2011-12</v>
      </c>
      <c r="G1238" s="1"/>
      <c r="H1238" s="163"/>
      <c r="I1238" s="37"/>
      <c r="J1238" s="138">
        <f t="shared" si="94"/>
        <v>0.77968490742404351</v>
      </c>
      <c r="K1238" s="114"/>
      <c r="L1238" s="37">
        <v>1.4999786665099999</v>
      </c>
      <c r="M1238" s="37" t="s">
        <v>142</v>
      </c>
      <c r="N1238" s="37">
        <v>1422.8466506341463</v>
      </c>
      <c r="O1238" s="132">
        <f t="shared" si="98"/>
        <v>2134.2396216664265</v>
      </c>
      <c r="P1238" s="134">
        <f t="shared" si="99"/>
        <v>1664.0344218397133</v>
      </c>
      <c r="Q1238" s="261">
        <v>1</v>
      </c>
      <c r="R1238" s="94"/>
    </row>
    <row r="1239" spans="1:18" x14ac:dyDescent="0.25">
      <c r="A1239" s="367">
        <v>40932</v>
      </c>
      <c r="B1239" s="367" t="s">
        <v>279</v>
      </c>
      <c r="C1239" s="279" t="s">
        <v>614</v>
      </c>
      <c r="D1239" s="159" t="s">
        <v>1124</v>
      </c>
      <c r="E1239" s="45">
        <f t="shared" ref="E1239:E1302" si="100">IF(A1239&lt;2022,DATEVALUE("30 Jun "&amp;A1239),A1239)</f>
        <v>40932</v>
      </c>
      <c r="F1239" s="148" t="str">
        <f t="shared" si="97"/>
        <v>2011-12</v>
      </c>
      <c r="G1239" s="1"/>
      <c r="H1239" s="163"/>
      <c r="I1239" s="37"/>
      <c r="J1239" s="138">
        <f t="shared" si="94"/>
        <v>0.77968490742404351</v>
      </c>
      <c r="K1239" s="114"/>
      <c r="L1239" s="37">
        <v>1.4997496457699999</v>
      </c>
      <c r="M1239" s="37" t="s">
        <v>142</v>
      </c>
      <c r="N1239" s="37">
        <v>1422.8466506341463</v>
      </c>
      <c r="O1239" s="132">
        <f t="shared" si="98"/>
        <v>2133.9137602735918</v>
      </c>
      <c r="P1239" s="134">
        <f t="shared" si="99"/>
        <v>1663.780352629808</v>
      </c>
      <c r="Q1239" s="261">
        <v>1</v>
      </c>
      <c r="R1239" s="94"/>
    </row>
    <row r="1240" spans="1:18" x14ac:dyDescent="0.25">
      <c r="A1240" s="367">
        <v>40932</v>
      </c>
      <c r="B1240" s="367" t="s">
        <v>279</v>
      </c>
      <c r="C1240" s="279" t="s">
        <v>614</v>
      </c>
      <c r="D1240" s="159" t="s">
        <v>1124</v>
      </c>
      <c r="E1240" s="45">
        <f t="shared" si="100"/>
        <v>40932</v>
      </c>
      <c r="F1240" s="148" t="str">
        <f t="shared" si="97"/>
        <v>2011-12</v>
      </c>
      <c r="G1240" s="1"/>
      <c r="H1240" s="163"/>
      <c r="I1240" s="37"/>
      <c r="J1240" s="138">
        <f t="shared" ref="J1240:J1303" si="101">J1239</f>
        <v>0.77968490742404351</v>
      </c>
      <c r="K1240" s="114"/>
      <c r="L1240" s="37">
        <v>0.99981448279200003</v>
      </c>
      <c r="M1240" s="37" t="s">
        <v>142</v>
      </c>
      <c r="N1240" s="37">
        <v>3608.7512195121944</v>
      </c>
      <c r="O1240" s="132">
        <f t="shared" si="98"/>
        <v>3608.081734061584</v>
      </c>
      <c r="P1240" s="134">
        <f t="shared" si="99"/>
        <v>2813.1668728001887</v>
      </c>
      <c r="Q1240" s="261">
        <v>1</v>
      </c>
      <c r="R1240" s="94"/>
    </row>
    <row r="1241" spans="1:18" x14ac:dyDescent="0.25">
      <c r="A1241" s="367">
        <v>40932</v>
      </c>
      <c r="B1241" s="367" t="s">
        <v>279</v>
      </c>
      <c r="C1241" s="279" t="s">
        <v>614</v>
      </c>
      <c r="D1241" s="159" t="s">
        <v>1124</v>
      </c>
      <c r="E1241" s="45">
        <f t="shared" si="100"/>
        <v>40932</v>
      </c>
      <c r="F1241" s="148" t="str">
        <f t="shared" si="97"/>
        <v>2011-12</v>
      </c>
      <c r="G1241" s="1"/>
      <c r="H1241" s="163"/>
      <c r="I1241" s="37"/>
      <c r="J1241" s="138">
        <f t="shared" si="101"/>
        <v>0.77968490742404351</v>
      </c>
      <c r="K1241" s="114"/>
      <c r="L1241" s="37">
        <v>1.39496415725</v>
      </c>
      <c r="M1241" s="37" t="s">
        <v>142</v>
      </c>
      <c r="N1241" s="37">
        <v>1422.8419512195119</v>
      </c>
      <c r="O1241" s="132">
        <f t="shared" si="98"/>
        <v>1984.8135233828721</v>
      </c>
      <c r="P1241" s="134">
        <f t="shared" si="99"/>
        <v>1547.5291482327641</v>
      </c>
      <c r="Q1241" s="261">
        <v>1</v>
      </c>
      <c r="R1241" s="94"/>
    </row>
    <row r="1242" spans="1:18" x14ac:dyDescent="0.25">
      <c r="A1242" s="367">
        <v>40932</v>
      </c>
      <c r="B1242" s="367" t="s">
        <v>279</v>
      </c>
      <c r="C1242" s="279" t="s">
        <v>614</v>
      </c>
      <c r="D1242" s="159" t="s">
        <v>1124</v>
      </c>
      <c r="E1242" s="45">
        <f t="shared" si="100"/>
        <v>40932</v>
      </c>
      <c r="F1242" s="148" t="str">
        <f t="shared" si="97"/>
        <v>2011-12</v>
      </c>
      <c r="G1242" s="1"/>
      <c r="H1242" s="163"/>
      <c r="I1242" s="37"/>
      <c r="J1242" s="138">
        <f t="shared" si="101"/>
        <v>0.77968490742404351</v>
      </c>
      <c r="K1242" s="114"/>
      <c r="L1242" s="37">
        <v>0.99981448279200003</v>
      </c>
      <c r="M1242" s="37" t="s">
        <v>142</v>
      </c>
      <c r="N1242" s="37">
        <v>3608.7512195121944</v>
      </c>
      <c r="O1242" s="132">
        <f t="shared" si="98"/>
        <v>3608.081734061584</v>
      </c>
      <c r="P1242" s="134">
        <f t="shared" si="99"/>
        <v>2813.1668728001887</v>
      </c>
      <c r="Q1242" s="261">
        <v>1</v>
      </c>
      <c r="R1242" s="94"/>
    </row>
    <row r="1243" spans="1:18" x14ac:dyDescent="0.25">
      <c r="A1243" s="367">
        <v>40932</v>
      </c>
      <c r="B1243" s="367" t="s">
        <v>279</v>
      </c>
      <c r="C1243" s="279" t="s">
        <v>614</v>
      </c>
      <c r="D1243" s="159" t="s">
        <v>1124</v>
      </c>
      <c r="E1243" s="45">
        <f t="shared" si="100"/>
        <v>40932</v>
      </c>
      <c r="F1243" s="148" t="str">
        <f t="shared" si="97"/>
        <v>2011-12</v>
      </c>
      <c r="G1243" s="1"/>
      <c r="H1243" s="163"/>
      <c r="I1243" s="37"/>
      <c r="J1243" s="138">
        <f t="shared" si="101"/>
        <v>0.77968490742404351</v>
      </c>
      <c r="K1243" s="114"/>
      <c r="L1243" s="37">
        <v>0.80020622342000003</v>
      </c>
      <c r="M1243" s="37" t="s">
        <v>142</v>
      </c>
      <c r="N1243" s="37">
        <v>1422.8466506341463</v>
      </c>
      <c r="O1243" s="132">
        <f t="shared" si="98"/>
        <v>1138.5707448097464</v>
      </c>
      <c r="P1243" s="134">
        <f t="shared" si="99"/>
        <v>887.72642576271141</v>
      </c>
      <c r="Q1243" s="261">
        <v>1</v>
      </c>
      <c r="R1243" s="94"/>
    </row>
    <row r="1244" spans="1:18" x14ac:dyDescent="0.25">
      <c r="A1244" s="367">
        <v>40932</v>
      </c>
      <c r="B1244" s="367" t="s">
        <v>279</v>
      </c>
      <c r="C1244" s="279" t="s">
        <v>614</v>
      </c>
      <c r="D1244" s="159" t="s">
        <v>1124</v>
      </c>
      <c r="E1244" s="45">
        <f t="shared" si="100"/>
        <v>40932</v>
      </c>
      <c r="F1244" s="148" t="str">
        <f t="shared" si="97"/>
        <v>2011-12</v>
      </c>
      <c r="G1244" s="1"/>
      <c r="H1244" s="163"/>
      <c r="I1244" s="37"/>
      <c r="J1244" s="138">
        <f t="shared" si="101"/>
        <v>0.77968490742404351</v>
      </c>
      <c r="K1244" s="114"/>
      <c r="L1244" s="37">
        <v>2.0001434906600002</v>
      </c>
      <c r="M1244" s="37" t="s">
        <v>142</v>
      </c>
      <c r="N1244" s="37">
        <v>1422.8466506341463</v>
      </c>
      <c r="O1244" s="132">
        <f t="shared" si="98"/>
        <v>2845.8974664732709</v>
      </c>
      <c r="P1244" s="134">
        <f t="shared" si="99"/>
        <v>2218.9033026855323</v>
      </c>
      <c r="Q1244" s="261">
        <v>1</v>
      </c>
      <c r="R1244" s="94"/>
    </row>
    <row r="1245" spans="1:18" x14ac:dyDescent="0.25">
      <c r="A1245" s="367">
        <v>40332</v>
      </c>
      <c r="B1245" s="367" t="s">
        <v>279</v>
      </c>
      <c r="C1245" s="279" t="s">
        <v>641</v>
      </c>
      <c r="D1245" s="159" t="s">
        <v>1124</v>
      </c>
      <c r="E1245" s="45">
        <f t="shared" si="100"/>
        <v>40332</v>
      </c>
      <c r="F1245" s="148" t="str">
        <f t="shared" si="97"/>
        <v>2009-10</v>
      </c>
      <c r="G1245" s="1"/>
      <c r="H1245" s="163"/>
      <c r="I1245" s="37"/>
      <c r="J1245" s="138">
        <f t="shared" si="101"/>
        <v>0.77968490742404351</v>
      </c>
      <c r="K1245" s="114"/>
      <c r="L1245" s="37">
        <v>1.99856598538</v>
      </c>
      <c r="M1245" s="37" t="s">
        <v>142</v>
      </c>
      <c r="N1245" s="37">
        <v>696.6467060487804</v>
      </c>
      <c r="O1245" s="132">
        <f t="shared" si="98"/>
        <v>1392.2944105361121</v>
      </c>
      <c r="P1245" s="134">
        <f t="shared" si="99"/>
        <v>1085.5509385858618</v>
      </c>
      <c r="Q1245" s="261">
        <v>1</v>
      </c>
      <c r="R1245" s="94"/>
    </row>
    <row r="1246" spans="1:18" x14ac:dyDescent="0.25">
      <c r="A1246" s="367">
        <v>43278</v>
      </c>
      <c r="B1246" s="367" t="s">
        <v>279</v>
      </c>
      <c r="C1246" s="279" t="s">
        <v>642</v>
      </c>
      <c r="D1246" s="159" t="s">
        <v>1045</v>
      </c>
      <c r="E1246" s="45">
        <f t="shared" si="100"/>
        <v>43278</v>
      </c>
      <c r="F1246" s="148" t="str">
        <f t="shared" si="97"/>
        <v>2017-18</v>
      </c>
      <c r="G1246" s="1"/>
      <c r="H1246" s="163"/>
      <c r="I1246" s="37"/>
      <c r="J1246" s="138">
        <f t="shared" si="101"/>
        <v>0.77968490742404351</v>
      </c>
      <c r="K1246" s="114"/>
      <c r="L1246" s="37">
        <v>33.567891413200002</v>
      </c>
      <c r="M1246" s="37" t="s">
        <v>142</v>
      </c>
      <c r="N1246" s="37">
        <v>696.6467060487804</v>
      </c>
      <c r="O1246" s="132">
        <f t="shared" si="98"/>
        <v>23384.960982008921</v>
      </c>
      <c r="P1246" s="134">
        <f t="shared" si="99"/>
        <v>18232.901138372494</v>
      </c>
      <c r="Q1246" s="261">
        <v>1</v>
      </c>
      <c r="R1246" s="94"/>
    </row>
    <row r="1247" spans="1:18" x14ac:dyDescent="0.25">
      <c r="A1247" s="367">
        <v>43278</v>
      </c>
      <c r="B1247" s="367" t="s">
        <v>279</v>
      </c>
      <c r="C1247" s="279" t="s">
        <v>642</v>
      </c>
      <c r="D1247" s="159" t="s">
        <v>1045</v>
      </c>
      <c r="E1247" s="45">
        <f t="shared" si="100"/>
        <v>43278</v>
      </c>
      <c r="F1247" s="148" t="str">
        <f t="shared" si="97"/>
        <v>2017-18</v>
      </c>
      <c r="G1247" s="1"/>
      <c r="H1247" s="163"/>
      <c r="I1247" s="37"/>
      <c r="J1247" s="138">
        <f t="shared" si="101"/>
        <v>0.77968490742404351</v>
      </c>
      <c r="K1247" s="114"/>
      <c r="L1247" s="37">
        <v>4.8670645997399999</v>
      </c>
      <c r="M1247" s="37" t="s">
        <v>142</v>
      </c>
      <c r="N1247" s="37">
        <v>696.6467060487804</v>
      </c>
      <c r="O1247" s="132">
        <f t="shared" si="98"/>
        <v>3390.6245215354966</v>
      </c>
      <c r="P1247" s="134">
        <f t="shared" si="99"/>
        <v>2643.6187661830954</v>
      </c>
      <c r="Q1247" s="261">
        <v>1</v>
      </c>
      <c r="R1247" s="94"/>
    </row>
    <row r="1248" spans="1:18" x14ac:dyDescent="0.25">
      <c r="A1248" s="367">
        <v>43278</v>
      </c>
      <c r="B1248" s="367" t="s">
        <v>279</v>
      </c>
      <c r="C1248" s="279" t="s">
        <v>642</v>
      </c>
      <c r="D1248" s="159" t="s">
        <v>1045</v>
      </c>
      <c r="E1248" s="45">
        <f t="shared" si="100"/>
        <v>43278</v>
      </c>
      <c r="F1248" s="148" t="str">
        <f t="shared" si="97"/>
        <v>2017-18</v>
      </c>
      <c r="G1248" s="1"/>
      <c r="H1248" s="163"/>
      <c r="I1248" s="37"/>
      <c r="J1248" s="138">
        <f t="shared" si="101"/>
        <v>0.77968490742404351</v>
      </c>
      <c r="K1248" s="114"/>
      <c r="L1248" s="37">
        <v>2.4571595768700001</v>
      </c>
      <c r="M1248" s="37" t="s">
        <v>142</v>
      </c>
      <c r="N1248" s="37">
        <v>696.6467060487804</v>
      </c>
      <c r="O1248" s="132">
        <f t="shared" si="98"/>
        <v>1711.7721254627006</v>
      </c>
      <c r="P1248" s="134">
        <f t="shared" si="99"/>
        <v>1334.642891172444</v>
      </c>
      <c r="Q1248" s="261">
        <v>1</v>
      </c>
      <c r="R1248" s="94"/>
    </row>
    <row r="1249" spans="1:18" x14ac:dyDescent="0.25">
      <c r="A1249" s="367">
        <v>43278</v>
      </c>
      <c r="B1249" s="367" t="s">
        <v>279</v>
      </c>
      <c r="C1249" s="279" t="s">
        <v>642</v>
      </c>
      <c r="D1249" s="159" t="s">
        <v>1045</v>
      </c>
      <c r="E1249" s="45">
        <f t="shared" si="100"/>
        <v>43278</v>
      </c>
      <c r="F1249" s="148" t="str">
        <f t="shared" si="97"/>
        <v>2017-18</v>
      </c>
      <c r="G1249" s="1"/>
      <c r="H1249" s="163"/>
      <c r="I1249" s="37"/>
      <c r="J1249" s="138">
        <f t="shared" si="101"/>
        <v>0.77968490742404351</v>
      </c>
      <c r="K1249" s="114"/>
      <c r="L1249" s="37">
        <v>3.7602713197600002</v>
      </c>
      <c r="M1249" s="37" t="s">
        <v>142</v>
      </c>
      <c r="N1249" s="37">
        <v>696.6467060487804</v>
      </c>
      <c r="O1249" s="132">
        <f t="shared" si="98"/>
        <v>2619.5806287605042</v>
      </c>
      <c r="P1249" s="134">
        <f t="shared" si="99"/>
        <v>2042.4474800249513</v>
      </c>
      <c r="Q1249" s="261">
        <v>1</v>
      </c>
      <c r="R1249" s="94"/>
    </row>
    <row r="1250" spans="1:18" x14ac:dyDescent="0.25">
      <c r="A1250" s="367">
        <v>43416</v>
      </c>
      <c r="B1250" s="367" t="s">
        <v>279</v>
      </c>
      <c r="C1250" s="279" t="s">
        <v>643</v>
      </c>
      <c r="D1250" s="159" t="s">
        <v>1045</v>
      </c>
      <c r="E1250" s="45">
        <f t="shared" si="100"/>
        <v>43416</v>
      </c>
      <c r="F1250" s="148" t="str">
        <f t="shared" si="97"/>
        <v>2018-19</v>
      </c>
      <c r="G1250" s="1"/>
      <c r="H1250" s="163"/>
      <c r="I1250" s="37"/>
      <c r="J1250" s="138">
        <f t="shared" si="101"/>
        <v>0.77968490742404351</v>
      </c>
      <c r="K1250" s="114"/>
      <c r="L1250" s="37">
        <v>8.3146442838500008</v>
      </c>
      <c r="M1250" s="37" t="s">
        <v>142</v>
      </c>
      <c r="N1250" s="37">
        <v>696.6467060487804</v>
      </c>
      <c r="O1250" s="132">
        <f t="shared" si="98"/>
        <v>5792.3695523114238</v>
      </c>
      <c r="P1250" s="134">
        <f t="shared" si="99"/>
        <v>4516.2231181597808</v>
      </c>
      <c r="Q1250" s="261">
        <v>1</v>
      </c>
      <c r="R1250" s="94"/>
    </row>
    <row r="1251" spans="1:18" x14ac:dyDescent="0.25">
      <c r="A1251" s="367">
        <v>43416</v>
      </c>
      <c r="B1251" s="367" t="s">
        <v>279</v>
      </c>
      <c r="C1251" s="279" t="s">
        <v>643</v>
      </c>
      <c r="D1251" s="159" t="s">
        <v>1045</v>
      </c>
      <c r="E1251" s="45">
        <f t="shared" si="100"/>
        <v>43416</v>
      </c>
      <c r="F1251" s="148" t="str">
        <f t="shared" si="97"/>
        <v>2018-19</v>
      </c>
      <c r="G1251" s="1"/>
      <c r="H1251" s="163"/>
      <c r="I1251" s="37"/>
      <c r="J1251" s="138">
        <f t="shared" si="101"/>
        <v>0.77968490742404351</v>
      </c>
      <c r="K1251" s="114"/>
      <c r="L1251" s="37">
        <v>2.0349687103799998</v>
      </c>
      <c r="M1251" s="37" t="s">
        <v>142</v>
      </c>
      <c r="N1251" s="37">
        <v>696.6467060487804</v>
      </c>
      <c r="O1251" s="132">
        <f t="shared" si="98"/>
        <v>1417.6542489985616</v>
      </c>
      <c r="P1251" s="134">
        <f t="shared" si="99"/>
        <v>1105.3236218897455</v>
      </c>
      <c r="Q1251" s="261">
        <v>1</v>
      </c>
      <c r="R1251" s="94"/>
    </row>
    <row r="1252" spans="1:18" x14ac:dyDescent="0.25">
      <c r="A1252" s="367">
        <v>43416</v>
      </c>
      <c r="B1252" s="367" t="s">
        <v>279</v>
      </c>
      <c r="C1252" s="279" t="s">
        <v>643</v>
      </c>
      <c r="D1252" s="159" t="s">
        <v>1045</v>
      </c>
      <c r="E1252" s="45">
        <f t="shared" si="100"/>
        <v>43416</v>
      </c>
      <c r="F1252" s="148" t="str">
        <f t="shared" si="97"/>
        <v>2018-19</v>
      </c>
      <c r="G1252" s="1"/>
      <c r="H1252" s="163"/>
      <c r="I1252" s="37"/>
      <c r="J1252" s="138">
        <f t="shared" si="101"/>
        <v>0.77968490742404351</v>
      </c>
      <c r="K1252" s="114"/>
      <c r="L1252" s="37">
        <v>0.91788125593699998</v>
      </c>
      <c r="M1252" s="37" t="s">
        <v>142</v>
      </c>
      <c r="N1252" s="37">
        <v>696.6467060487804</v>
      </c>
      <c r="O1252" s="132">
        <f t="shared" si="98"/>
        <v>639.4389534924286</v>
      </c>
      <c r="P1252" s="134">
        <f t="shared" si="99"/>
        <v>498.56090125707146</v>
      </c>
      <c r="Q1252" s="261">
        <v>1</v>
      </c>
      <c r="R1252" s="94"/>
    </row>
    <row r="1253" spans="1:18" x14ac:dyDescent="0.25">
      <c r="A1253" s="367">
        <v>43416</v>
      </c>
      <c r="B1253" s="367" t="s">
        <v>279</v>
      </c>
      <c r="C1253" s="279" t="s">
        <v>643</v>
      </c>
      <c r="D1253" s="159" t="s">
        <v>1045</v>
      </c>
      <c r="E1253" s="45">
        <f t="shared" si="100"/>
        <v>43416</v>
      </c>
      <c r="F1253" s="148" t="str">
        <f t="shared" si="97"/>
        <v>2018-19</v>
      </c>
      <c r="G1253" s="1"/>
      <c r="H1253" s="163"/>
      <c r="I1253" s="37"/>
      <c r="J1253" s="138">
        <f t="shared" si="101"/>
        <v>0.77968490742404351</v>
      </c>
      <c r="K1253" s="114"/>
      <c r="L1253" s="37">
        <v>12.827180006100001</v>
      </c>
      <c r="M1253" s="37" t="s">
        <v>142</v>
      </c>
      <c r="N1253" s="37">
        <v>696.6467060487804</v>
      </c>
      <c r="O1253" s="132">
        <f t="shared" si="98"/>
        <v>8936.0126991443412</v>
      </c>
      <c r="P1253" s="134">
        <f t="shared" si="99"/>
        <v>6967.2742340724326</v>
      </c>
      <c r="Q1253" s="261">
        <v>1</v>
      </c>
      <c r="R1253" s="94"/>
    </row>
    <row r="1254" spans="1:18" x14ac:dyDescent="0.25">
      <c r="A1254" s="367">
        <v>42941</v>
      </c>
      <c r="B1254" s="367" t="s">
        <v>279</v>
      </c>
      <c r="C1254" s="279" t="s">
        <v>644</v>
      </c>
      <c r="D1254" s="159" t="s">
        <v>1125</v>
      </c>
      <c r="E1254" s="45">
        <f t="shared" si="100"/>
        <v>42941</v>
      </c>
      <c r="F1254" s="148" t="str">
        <f t="shared" si="97"/>
        <v>2017-18</v>
      </c>
      <c r="G1254" s="1"/>
      <c r="H1254" s="163"/>
      <c r="I1254" s="37"/>
      <c r="J1254" s="138">
        <f t="shared" si="101"/>
        <v>0.77968490742404351</v>
      </c>
      <c r="K1254" s="114"/>
      <c r="L1254" s="37">
        <v>32.265719678400004</v>
      </c>
      <c r="M1254" s="37" t="s">
        <v>142</v>
      </c>
      <c r="N1254" s="37">
        <v>1512.3320841951218</v>
      </c>
      <c r="O1254" s="132">
        <f t="shared" si="98"/>
        <v>48796.483089290232</v>
      </c>
      <c r="P1254" s="134">
        <f t="shared" si="99"/>
        <v>38045.881400092156</v>
      </c>
      <c r="Q1254" s="261">
        <v>1</v>
      </c>
      <c r="R1254" s="94"/>
    </row>
    <row r="1255" spans="1:18" x14ac:dyDescent="0.25">
      <c r="A1255" s="367">
        <v>42941</v>
      </c>
      <c r="B1255" s="367" t="s">
        <v>279</v>
      </c>
      <c r="C1255" s="279" t="s">
        <v>644</v>
      </c>
      <c r="D1255" s="159" t="s">
        <v>1125</v>
      </c>
      <c r="E1255" s="45">
        <f t="shared" si="100"/>
        <v>42941</v>
      </c>
      <c r="F1255" s="148" t="str">
        <f t="shared" si="97"/>
        <v>2017-18</v>
      </c>
      <c r="G1255" s="1"/>
      <c r="H1255" s="163"/>
      <c r="I1255" s="37"/>
      <c r="J1255" s="138">
        <f t="shared" si="101"/>
        <v>0.77968490742404351</v>
      </c>
      <c r="K1255" s="114"/>
      <c r="L1255" s="37">
        <v>1.50032029914</v>
      </c>
      <c r="M1255" s="37" t="s">
        <v>142</v>
      </c>
      <c r="N1255" s="37">
        <v>1422.8419512195119</v>
      </c>
      <c r="O1255" s="132">
        <f t="shared" si="98"/>
        <v>2134.7186618825995</v>
      </c>
      <c r="P1255" s="134">
        <f t="shared" si="99"/>
        <v>1664.4079222663127</v>
      </c>
      <c r="Q1255" s="261">
        <v>1</v>
      </c>
      <c r="R1255" s="94"/>
    </row>
    <row r="1256" spans="1:18" x14ac:dyDescent="0.25">
      <c r="A1256" s="367">
        <v>43278</v>
      </c>
      <c r="B1256" s="367" t="s">
        <v>279</v>
      </c>
      <c r="C1256" s="279" t="s">
        <v>642</v>
      </c>
      <c r="D1256" s="159" t="s">
        <v>1045</v>
      </c>
      <c r="E1256" s="45">
        <f t="shared" si="100"/>
        <v>43278</v>
      </c>
      <c r="F1256" s="148" t="str">
        <f t="shared" si="97"/>
        <v>2017-18</v>
      </c>
      <c r="G1256" s="1"/>
      <c r="H1256" s="163"/>
      <c r="I1256" s="37"/>
      <c r="J1256" s="138">
        <f t="shared" si="101"/>
        <v>0.77968490742404351</v>
      </c>
      <c r="K1256" s="114"/>
      <c r="L1256" s="37">
        <v>5.5661086292400004</v>
      </c>
      <c r="M1256" s="37" t="s">
        <v>142</v>
      </c>
      <c r="N1256" s="37">
        <v>696.6467060487804</v>
      </c>
      <c r="O1256" s="132">
        <f t="shared" si="98"/>
        <v>3877.6112420697386</v>
      </c>
      <c r="P1256" s="134">
        <f t="shared" si="99"/>
        <v>3023.3149622995747</v>
      </c>
      <c r="Q1256" s="261">
        <v>1</v>
      </c>
      <c r="R1256" s="94"/>
    </row>
    <row r="1257" spans="1:18" x14ac:dyDescent="0.25">
      <c r="A1257" s="367">
        <v>43278</v>
      </c>
      <c r="B1257" s="367" t="s">
        <v>279</v>
      </c>
      <c r="C1257" s="279" t="s">
        <v>642</v>
      </c>
      <c r="D1257" s="159" t="s">
        <v>1045</v>
      </c>
      <c r="E1257" s="45">
        <f t="shared" si="100"/>
        <v>43278</v>
      </c>
      <c r="F1257" s="148" t="str">
        <f t="shared" si="97"/>
        <v>2017-18</v>
      </c>
      <c r="G1257" s="1"/>
      <c r="H1257" s="163"/>
      <c r="I1257" s="37"/>
      <c r="J1257" s="138">
        <f t="shared" si="101"/>
        <v>0.77968490742404351</v>
      </c>
      <c r="K1257" s="114"/>
      <c r="L1257" s="37">
        <v>1.4601336436900001</v>
      </c>
      <c r="M1257" s="37" t="s">
        <v>142</v>
      </c>
      <c r="N1257" s="37">
        <v>696.6467060487804</v>
      </c>
      <c r="O1257" s="132">
        <f t="shared" si="98"/>
        <v>1017.1972932676422</v>
      </c>
      <c r="P1257" s="134">
        <f t="shared" si="99"/>
        <v>793.09337743336926</v>
      </c>
      <c r="Q1257" s="261">
        <v>1</v>
      </c>
      <c r="R1257" s="94"/>
    </row>
    <row r="1258" spans="1:18" x14ac:dyDescent="0.25">
      <c r="A1258" s="367">
        <v>43416</v>
      </c>
      <c r="B1258" s="367" t="s">
        <v>279</v>
      </c>
      <c r="C1258" s="279" t="s">
        <v>643</v>
      </c>
      <c r="D1258" s="159" t="s">
        <v>1045</v>
      </c>
      <c r="E1258" s="45">
        <f t="shared" si="100"/>
        <v>43416</v>
      </c>
      <c r="F1258" s="148" t="str">
        <f t="shared" si="97"/>
        <v>2018-19</v>
      </c>
      <c r="G1258" s="1"/>
      <c r="H1258" s="163"/>
      <c r="I1258" s="37"/>
      <c r="J1258" s="138">
        <f t="shared" si="101"/>
        <v>0.77968490742404351</v>
      </c>
      <c r="K1258" s="114"/>
      <c r="L1258" s="37">
        <v>16.591328964100001</v>
      </c>
      <c r="M1258" s="37" t="s">
        <v>142</v>
      </c>
      <c r="N1258" s="37">
        <v>1003.0093919999996</v>
      </c>
      <c r="O1258" s="132">
        <f t="shared" si="98"/>
        <v>16641.258776753926</v>
      </c>
      <c r="P1258" s="134">
        <f t="shared" si="99"/>
        <v>12974.938308772937</v>
      </c>
      <c r="Q1258" s="261">
        <v>1</v>
      </c>
      <c r="R1258" s="94"/>
    </row>
    <row r="1259" spans="1:18" x14ac:dyDescent="0.25">
      <c r="A1259" s="367">
        <v>42941</v>
      </c>
      <c r="B1259" s="367" t="s">
        <v>279</v>
      </c>
      <c r="C1259" s="279" t="s">
        <v>644</v>
      </c>
      <c r="D1259" s="159" t="s">
        <v>1125</v>
      </c>
      <c r="E1259" s="45">
        <f t="shared" si="100"/>
        <v>42941</v>
      </c>
      <c r="F1259" s="148" t="str">
        <f t="shared" si="97"/>
        <v>2017-18</v>
      </c>
      <c r="G1259" s="1"/>
      <c r="H1259" s="163"/>
      <c r="I1259" s="37"/>
      <c r="J1259" s="138">
        <f t="shared" si="101"/>
        <v>0.77968490742404351</v>
      </c>
      <c r="K1259" s="114"/>
      <c r="L1259" s="37">
        <v>1.15712488522</v>
      </c>
      <c r="M1259" s="37" t="s">
        <v>142</v>
      </c>
      <c r="N1259" s="37">
        <v>1422.8419512195119</v>
      </c>
      <c r="O1259" s="132">
        <f t="shared" si="98"/>
        <v>1646.4058294910785</v>
      </c>
      <c r="P1259" s="134">
        <f t="shared" si="99"/>
        <v>1283.6777767491571</v>
      </c>
      <c r="Q1259" s="261">
        <v>1</v>
      </c>
      <c r="R1259" s="94"/>
    </row>
    <row r="1260" spans="1:18" x14ac:dyDescent="0.25">
      <c r="A1260" s="367">
        <v>43132</v>
      </c>
      <c r="B1260" s="367" t="s">
        <v>279</v>
      </c>
      <c r="C1260" s="279" t="s">
        <v>642</v>
      </c>
      <c r="D1260" s="159" t="s">
        <v>1045</v>
      </c>
      <c r="E1260" s="45">
        <f t="shared" si="100"/>
        <v>43132</v>
      </c>
      <c r="F1260" s="148" t="str">
        <f t="shared" si="97"/>
        <v>2017-18</v>
      </c>
      <c r="G1260" s="1"/>
      <c r="H1260" s="163"/>
      <c r="I1260" s="37"/>
      <c r="J1260" s="138">
        <f t="shared" si="101"/>
        <v>0.77968490742404351</v>
      </c>
      <c r="K1260" s="114"/>
      <c r="L1260" s="37">
        <v>25.028793119700001</v>
      </c>
      <c r="M1260" s="37" t="s">
        <v>142</v>
      </c>
      <c r="N1260" s="37">
        <v>696.6467060487804</v>
      </c>
      <c r="O1260" s="132">
        <f t="shared" si="98"/>
        <v>17436.226283215383</v>
      </c>
      <c r="P1260" s="134">
        <f t="shared" si="99"/>
        <v>13594.762475453461</v>
      </c>
      <c r="Q1260" s="261">
        <v>1</v>
      </c>
      <c r="R1260" s="94"/>
    </row>
    <row r="1261" spans="1:18" x14ac:dyDescent="0.25">
      <c r="A1261" s="367">
        <v>43132</v>
      </c>
      <c r="B1261" s="367" t="s">
        <v>279</v>
      </c>
      <c r="C1261" s="279" t="s">
        <v>643</v>
      </c>
      <c r="D1261" s="159" t="s">
        <v>1045</v>
      </c>
      <c r="E1261" s="45">
        <f t="shared" si="100"/>
        <v>43132</v>
      </c>
      <c r="F1261" s="148" t="str">
        <f t="shared" si="97"/>
        <v>2017-18</v>
      </c>
      <c r="G1261" s="1"/>
      <c r="H1261" s="163"/>
      <c r="I1261" s="37"/>
      <c r="J1261" s="138">
        <f t="shared" si="101"/>
        <v>0.77968490742404351</v>
      </c>
      <c r="K1261" s="114"/>
      <c r="L1261" s="37">
        <v>10.620298994200001</v>
      </c>
      <c r="M1261" s="37" t="s">
        <v>142</v>
      </c>
      <c r="N1261" s="37">
        <v>696.6467060487804</v>
      </c>
      <c r="O1261" s="132">
        <f t="shared" si="98"/>
        <v>7398.5963115626064</v>
      </c>
      <c r="P1261" s="134">
        <f t="shared" si="99"/>
        <v>5768.5738802485603</v>
      </c>
      <c r="Q1261" s="261">
        <v>1</v>
      </c>
      <c r="R1261" s="94"/>
    </row>
    <row r="1262" spans="1:18" x14ac:dyDescent="0.25">
      <c r="A1262" s="367">
        <v>43132</v>
      </c>
      <c r="B1262" s="367" t="s">
        <v>279</v>
      </c>
      <c r="C1262" s="279" t="s">
        <v>642</v>
      </c>
      <c r="D1262" s="159" t="s">
        <v>1045</v>
      </c>
      <c r="E1262" s="45">
        <f t="shared" si="100"/>
        <v>43132</v>
      </c>
      <c r="F1262" s="148" t="str">
        <f t="shared" si="97"/>
        <v>2017-18</v>
      </c>
      <c r="G1262" s="1"/>
      <c r="H1262" s="163"/>
      <c r="I1262" s="37"/>
      <c r="J1262" s="138">
        <f t="shared" si="101"/>
        <v>0.77968490742404351</v>
      </c>
      <c r="K1262" s="114"/>
      <c r="L1262" s="37">
        <v>3.2945849537099998</v>
      </c>
      <c r="M1262" s="37" t="s">
        <v>142</v>
      </c>
      <c r="N1262" s="37">
        <v>696.6467060487804</v>
      </c>
      <c r="O1262" s="132">
        <f t="shared" si="98"/>
        <v>2295.1617557999452</v>
      </c>
      <c r="P1262" s="134">
        <f t="shared" si="99"/>
        <v>1789.5029810940855</v>
      </c>
      <c r="Q1262" s="261">
        <v>1</v>
      </c>
      <c r="R1262" s="94"/>
    </row>
    <row r="1263" spans="1:18" x14ac:dyDescent="0.25">
      <c r="A1263" s="367">
        <v>43132</v>
      </c>
      <c r="B1263" s="367" t="s">
        <v>279</v>
      </c>
      <c r="C1263" s="279" t="s">
        <v>642</v>
      </c>
      <c r="D1263" s="159" t="s">
        <v>1045</v>
      </c>
      <c r="E1263" s="45">
        <f t="shared" si="100"/>
        <v>43132</v>
      </c>
      <c r="F1263" s="148" t="str">
        <f t="shared" si="97"/>
        <v>2017-18</v>
      </c>
      <c r="G1263" s="1"/>
      <c r="H1263" s="163"/>
      <c r="I1263" s="37"/>
      <c r="J1263" s="138">
        <f t="shared" si="101"/>
        <v>0.77968490742404351</v>
      </c>
      <c r="K1263" s="114"/>
      <c r="L1263" s="37">
        <v>5.0924054237699998</v>
      </c>
      <c r="M1263" s="37" t="s">
        <v>142</v>
      </c>
      <c r="N1263" s="37">
        <v>696.6467060487804</v>
      </c>
      <c r="O1263" s="132">
        <f t="shared" si="98"/>
        <v>3547.607464334314</v>
      </c>
      <c r="P1263" s="134">
        <f t="shared" si="99"/>
        <v>2766.0159974063454</v>
      </c>
      <c r="Q1263" s="261">
        <v>1</v>
      </c>
      <c r="R1263" s="94"/>
    </row>
    <row r="1264" spans="1:18" x14ac:dyDescent="0.25">
      <c r="A1264" s="367">
        <v>43132</v>
      </c>
      <c r="B1264" s="367" t="s">
        <v>279</v>
      </c>
      <c r="C1264" s="279" t="s">
        <v>642</v>
      </c>
      <c r="D1264" s="159" t="s">
        <v>1045</v>
      </c>
      <c r="E1264" s="45">
        <f t="shared" si="100"/>
        <v>43132</v>
      </c>
      <c r="F1264" s="148" t="str">
        <f t="shared" si="97"/>
        <v>2017-18</v>
      </c>
      <c r="G1264" s="1"/>
      <c r="H1264" s="163"/>
      <c r="I1264" s="37"/>
      <c r="J1264" s="138">
        <f t="shared" si="101"/>
        <v>0.77968490742404351</v>
      </c>
      <c r="K1264" s="114"/>
      <c r="L1264" s="37">
        <v>7.0364906025699998</v>
      </c>
      <c r="M1264" s="37" t="s">
        <v>142</v>
      </c>
      <c r="N1264" s="37">
        <v>1003.0093919999996</v>
      </c>
      <c r="O1264" s="132">
        <f t="shared" si="98"/>
        <v>7057.6661610974461</v>
      </c>
      <c r="P1264" s="134">
        <f t="shared" si="99"/>
        <v>5502.7557874450667</v>
      </c>
      <c r="Q1264" s="261">
        <v>1</v>
      </c>
      <c r="R1264" s="94"/>
    </row>
    <row r="1265" spans="1:18" x14ac:dyDescent="0.25">
      <c r="A1265" s="367">
        <v>43132</v>
      </c>
      <c r="B1265" s="367" t="s">
        <v>279</v>
      </c>
      <c r="C1265" s="279" t="s">
        <v>642</v>
      </c>
      <c r="D1265" s="159" t="s">
        <v>1045</v>
      </c>
      <c r="E1265" s="45">
        <f t="shared" si="100"/>
        <v>43132</v>
      </c>
      <c r="F1265" s="148" t="str">
        <f t="shared" si="97"/>
        <v>2017-18</v>
      </c>
      <c r="G1265" s="1"/>
      <c r="H1265" s="163"/>
      <c r="I1265" s="37"/>
      <c r="J1265" s="138">
        <f t="shared" si="101"/>
        <v>0.77968490742404351</v>
      </c>
      <c r="K1265" s="114"/>
      <c r="L1265" s="37">
        <v>2.8669811649199999</v>
      </c>
      <c r="M1265" s="37" t="s">
        <v>142</v>
      </c>
      <c r="N1265" s="37">
        <v>696.6467060487804</v>
      </c>
      <c r="O1265" s="132">
        <f t="shared" si="98"/>
        <v>1997.2729848454132</v>
      </c>
      <c r="P1265" s="134">
        <f t="shared" si="99"/>
        <v>1557.2436022897391</v>
      </c>
      <c r="Q1265" s="261">
        <v>1</v>
      </c>
      <c r="R1265" s="94"/>
    </row>
    <row r="1266" spans="1:18" x14ac:dyDescent="0.25">
      <c r="A1266" s="367">
        <v>43132</v>
      </c>
      <c r="B1266" s="367" t="s">
        <v>279</v>
      </c>
      <c r="C1266" s="279" t="s">
        <v>642</v>
      </c>
      <c r="D1266" s="159" t="s">
        <v>1045</v>
      </c>
      <c r="E1266" s="45">
        <f t="shared" si="100"/>
        <v>43132</v>
      </c>
      <c r="F1266" s="148" t="str">
        <f t="shared" si="97"/>
        <v>2017-18</v>
      </c>
      <c r="G1266" s="1"/>
      <c r="H1266" s="163"/>
      <c r="I1266" s="37"/>
      <c r="J1266" s="138">
        <f t="shared" si="101"/>
        <v>0.77968490742404351</v>
      </c>
      <c r="K1266" s="114"/>
      <c r="L1266" s="37">
        <v>3.52930701413</v>
      </c>
      <c r="M1266" s="37" t="s">
        <v>142</v>
      </c>
      <c r="N1266" s="37">
        <v>696.6467060487804</v>
      </c>
      <c r="O1266" s="132">
        <f t="shared" si="98"/>
        <v>2458.6801060285211</v>
      </c>
      <c r="P1266" s="134">
        <f t="shared" si="99"/>
        <v>1916.9957708541849</v>
      </c>
      <c r="Q1266" s="261">
        <v>1</v>
      </c>
      <c r="R1266" s="94"/>
    </row>
    <row r="1267" spans="1:18" x14ac:dyDescent="0.25">
      <c r="A1267" s="367">
        <v>43132</v>
      </c>
      <c r="B1267" s="367" t="s">
        <v>279</v>
      </c>
      <c r="C1267" s="279" t="s">
        <v>643</v>
      </c>
      <c r="D1267" s="159" t="s">
        <v>1045</v>
      </c>
      <c r="E1267" s="45">
        <f t="shared" si="100"/>
        <v>43132</v>
      </c>
      <c r="F1267" s="148" t="str">
        <f t="shared" si="97"/>
        <v>2017-18</v>
      </c>
      <c r="G1267" s="1"/>
      <c r="H1267" s="163"/>
      <c r="I1267" s="37"/>
      <c r="J1267" s="138">
        <f t="shared" si="101"/>
        <v>0.77968490742404351</v>
      </c>
      <c r="K1267" s="114"/>
      <c r="L1267" s="37">
        <v>9.7226112413100001</v>
      </c>
      <c r="M1267" s="37" t="s">
        <v>142</v>
      </c>
      <c r="N1267" s="37">
        <v>696.6467060487804</v>
      </c>
      <c r="O1267" s="132">
        <f t="shared" si="98"/>
        <v>6773.2250954514557</v>
      </c>
      <c r="P1267" s="134">
        <f t="shared" si="99"/>
        <v>5280.9813815092766</v>
      </c>
      <c r="Q1267" s="261">
        <v>1</v>
      </c>
      <c r="R1267" s="94"/>
    </row>
    <row r="1268" spans="1:18" x14ac:dyDescent="0.25">
      <c r="A1268" s="367">
        <v>43416</v>
      </c>
      <c r="B1268" s="367" t="s">
        <v>279</v>
      </c>
      <c r="C1268" s="279" t="s">
        <v>643</v>
      </c>
      <c r="D1268" s="159" t="s">
        <v>1045</v>
      </c>
      <c r="E1268" s="45">
        <f t="shared" si="100"/>
        <v>43416</v>
      </c>
      <c r="F1268" s="148" t="str">
        <f t="shared" si="97"/>
        <v>2018-19</v>
      </c>
      <c r="G1268" s="1"/>
      <c r="H1268" s="163"/>
      <c r="I1268" s="37"/>
      <c r="J1268" s="138">
        <f t="shared" si="101"/>
        <v>0.77968490742404351</v>
      </c>
      <c r="K1268" s="114"/>
      <c r="L1268" s="37">
        <v>4.0981904543300001</v>
      </c>
      <c r="M1268" s="37" t="s">
        <v>142</v>
      </c>
      <c r="N1268" s="37">
        <v>696.6467060487804</v>
      </c>
      <c r="O1268" s="132">
        <f t="shared" si="98"/>
        <v>2854.9908807695492</v>
      </c>
      <c r="P1268" s="134">
        <f t="shared" si="99"/>
        <v>2225.9933005692942</v>
      </c>
      <c r="Q1268" s="261">
        <v>1</v>
      </c>
      <c r="R1268" s="94"/>
    </row>
    <row r="1269" spans="1:18" x14ac:dyDescent="0.25">
      <c r="A1269" s="367">
        <v>43416</v>
      </c>
      <c r="B1269" s="367" t="s">
        <v>279</v>
      </c>
      <c r="C1269" s="279" t="s">
        <v>643</v>
      </c>
      <c r="D1269" s="159" t="s">
        <v>1045</v>
      </c>
      <c r="E1269" s="45">
        <f t="shared" si="100"/>
        <v>43416</v>
      </c>
      <c r="F1269" s="148" t="str">
        <f t="shared" si="97"/>
        <v>2018-19</v>
      </c>
      <c r="G1269" s="1"/>
      <c r="H1269" s="163"/>
      <c r="I1269" s="37"/>
      <c r="J1269" s="138">
        <f t="shared" si="101"/>
        <v>0.77968490742404351</v>
      </c>
      <c r="K1269" s="114"/>
      <c r="L1269" s="37">
        <v>3.9654700856299998</v>
      </c>
      <c r="M1269" s="37" t="s">
        <v>142</v>
      </c>
      <c r="N1269" s="37">
        <v>696.6467060487804</v>
      </c>
      <c r="O1269" s="132">
        <f t="shared" si="98"/>
        <v>2762.5316730891145</v>
      </c>
      <c r="P1269" s="134">
        <f t="shared" si="99"/>
        <v>2153.9042517884741</v>
      </c>
      <c r="Q1269" s="261">
        <v>1</v>
      </c>
      <c r="R1269" s="94"/>
    </row>
    <row r="1270" spans="1:18" x14ac:dyDescent="0.25">
      <c r="A1270" s="367">
        <v>43132</v>
      </c>
      <c r="B1270" s="367" t="s">
        <v>279</v>
      </c>
      <c r="C1270" s="279" t="s">
        <v>642</v>
      </c>
      <c r="D1270" s="159" t="s">
        <v>1045</v>
      </c>
      <c r="E1270" s="45">
        <f t="shared" si="100"/>
        <v>43132</v>
      </c>
      <c r="F1270" s="148" t="str">
        <f t="shared" si="97"/>
        <v>2017-18</v>
      </c>
      <c r="G1270" s="1"/>
      <c r="H1270" s="163"/>
      <c r="I1270" s="37"/>
      <c r="J1270" s="138">
        <f t="shared" si="101"/>
        <v>0.77968490742404351</v>
      </c>
      <c r="K1270" s="114"/>
      <c r="L1270" s="37">
        <v>6.42500256809</v>
      </c>
      <c r="M1270" s="37" t="s">
        <v>142</v>
      </c>
      <c r="N1270" s="37">
        <v>696.6467060487804</v>
      </c>
      <c r="O1270" s="132">
        <f t="shared" si="98"/>
        <v>4475.9568754148531</v>
      </c>
      <c r="P1270" s="134">
        <f t="shared" si="99"/>
        <v>3489.8360220418408</v>
      </c>
      <c r="Q1270" s="261">
        <v>1</v>
      </c>
      <c r="R1270" s="94"/>
    </row>
    <row r="1271" spans="1:18" x14ac:dyDescent="0.25">
      <c r="A1271" s="367">
        <v>43132</v>
      </c>
      <c r="B1271" s="367" t="s">
        <v>279</v>
      </c>
      <c r="C1271" s="279" t="s">
        <v>643</v>
      </c>
      <c r="D1271" s="159" t="s">
        <v>1045</v>
      </c>
      <c r="E1271" s="45">
        <f t="shared" si="100"/>
        <v>43132</v>
      </c>
      <c r="F1271" s="148" t="str">
        <f t="shared" si="97"/>
        <v>2017-18</v>
      </c>
      <c r="G1271" s="1"/>
      <c r="H1271" s="163"/>
      <c r="I1271" s="37"/>
      <c r="J1271" s="138">
        <f t="shared" si="101"/>
        <v>0.77968490742404351</v>
      </c>
      <c r="K1271" s="114"/>
      <c r="L1271" s="37">
        <v>1.79769186741</v>
      </c>
      <c r="M1271" s="37" t="s">
        <v>142</v>
      </c>
      <c r="N1271" s="37">
        <v>696.6467060487804</v>
      </c>
      <c r="O1271" s="132">
        <f t="shared" si="98"/>
        <v>1252.3561179218573</v>
      </c>
      <c r="P1271" s="134">
        <f t="shared" si="99"/>
        <v>976.44316386383775</v>
      </c>
      <c r="Q1271" s="261">
        <v>1</v>
      </c>
      <c r="R1271" s="94"/>
    </row>
    <row r="1272" spans="1:18" x14ac:dyDescent="0.25">
      <c r="A1272" s="367">
        <v>43404</v>
      </c>
      <c r="B1272" s="367" t="s">
        <v>279</v>
      </c>
      <c r="C1272" s="279" t="s">
        <v>642</v>
      </c>
      <c r="D1272" s="159" t="s">
        <v>1045</v>
      </c>
      <c r="E1272" s="45">
        <f t="shared" si="100"/>
        <v>43404</v>
      </c>
      <c r="F1272" s="148" t="str">
        <f t="shared" si="97"/>
        <v>2018-19</v>
      </c>
      <c r="G1272" s="1"/>
      <c r="H1272" s="163"/>
      <c r="I1272" s="37"/>
      <c r="J1272" s="138">
        <f t="shared" si="101"/>
        <v>0.77968490742404351</v>
      </c>
      <c r="K1272" s="114"/>
      <c r="L1272" s="37">
        <v>153.94855600400001</v>
      </c>
      <c r="M1272" s="37" t="s">
        <v>142</v>
      </c>
      <c r="N1272" s="37">
        <v>696.6467060487804</v>
      </c>
      <c r="O1272" s="132">
        <f t="shared" si="98"/>
        <v>107247.75444115281</v>
      </c>
      <c r="P1272" s="134">
        <f t="shared" si="99"/>
        <v>83619.455492886773</v>
      </c>
      <c r="Q1272" s="261">
        <v>1</v>
      </c>
      <c r="R1272" s="94"/>
    </row>
    <row r="1273" spans="1:18" x14ac:dyDescent="0.25">
      <c r="A1273" s="367">
        <v>43132</v>
      </c>
      <c r="B1273" s="367" t="s">
        <v>279</v>
      </c>
      <c r="C1273" s="279" t="s">
        <v>642</v>
      </c>
      <c r="D1273" s="159" t="s">
        <v>1045</v>
      </c>
      <c r="E1273" s="45">
        <f t="shared" si="100"/>
        <v>43132</v>
      </c>
      <c r="F1273" s="148" t="str">
        <f t="shared" si="97"/>
        <v>2017-18</v>
      </c>
      <c r="G1273" s="1"/>
      <c r="H1273" s="163"/>
      <c r="I1273" s="37"/>
      <c r="J1273" s="138">
        <f t="shared" si="101"/>
        <v>0.77968490742404351</v>
      </c>
      <c r="K1273" s="114"/>
      <c r="L1273" s="37">
        <v>1.5103234752900001</v>
      </c>
      <c r="M1273" s="37" t="s">
        <v>142</v>
      </c>
      <c r="N1273" s="37">
        <v>696.6467060487804</v>
      </c>
      <c r="O1273" s="132">
        <f t="shared" si="98"/>
        <v>1052.1618741289251</v>
      </c>
      <c r="P1273" s="134">
        <f t="shared" si="99"/>
        <v>820.35473342531907</v>
      </c>
      <c r="Q1273" s="261">
        <v>1</v>
      </c>
      <c r="R1273" s="94"/>
    </row>
    <row r="1274" spans="1:18" x14ac:dyDescent="0.25">
      <c r="A1274" s="367">
        <v>43404</v>
      </c>
      <c r="B1274" s="367" t="s">
        <v>279</v>
      </c>
      <c r="C1274" s="279" t="s">
        <v>642</v>
      </c>
      <c r="D1274" s="159" t="s">
        <v>1045</v>
      </c>
      <c r="E1274" s="45">
        <f t="shared" si="100"/>
        <v>43404</v>
      </c>
      <c r="F1274" s="148" t="str">
        <f t="shared" si="97"/>
        <v>2018-19</v>
      </c>
      <c r="G1274" s="1"/>
      <c r="H1274" s="163"/>
      <c r="I1274" s="37"/>
      <c r="J1274" s="138">
        <f t="shared" si="101"/>
        <v>0.77968490742404351</v>
      </c>
      <c r="K1274" s="114"/>
      <c r="L1274" s="37">
        <v>14.8563230934</v>
      </c>
      <c r="M1274" s="37" t="s">
        <v>142</v>
      </c>
      <c r="N1274" s="37">
        <v>1003.0093919999996</v>
      </c>
      <c r="O1274" s="132">
        <f t="shared" si="98"/>
        <v>14901.031593266687</v>
      </c>
      <c r="P1274" s="134">
        <f t="shared" si="99"/>
        <v>11618.109438318885</v>
      </c>
      <c r="Q1274" s="261">
        <v>1</v>
      </c>
      <c r="R1274" s="94"/>
    </row>
    <row r="1275" spans="1:18" x14ac:dyDescent="0.25">
      <c r="A1275" s="367">
        <v>43404</v>
      </c>
      <c r="B1275" s="367" t="s">
        <v>279</v>
      </c>
      <c r="C1275" s="279" t="s">
        <v>642</v>
      </c>
      <c r="D1275" s="159" t="s">
        <v>1045</v>
      </c>
      <c r="E1275" s="45">
        <f t="shared" si="100"/>
        <v>43404</v>
      </c>
      <c r="F1275" s="148" t="str">
        <f t="shared" si="97"/>
        <v>2018-19</v>
      </c>
      <c r="G1275" s="1"/>
      <c r="H1275" s="163"/>
      <c r="I1275" s="37"/>
      <c r="J1275" s="138">
        <f t="shared" si="101"/>
        <v>0.77968490742404351</v>
      </c>
      <c r="K1275" s="114"/>
      <c r="L1275" s="37">
        <v>2.8461791008000001</v>
      </c>
      <c r="M1275" s="37" t="s">
        <v>142</v>
      </c>
      <c r="N1275" s="37">
        <v>696.6467060487804</v>
      </c>
      <c r="O1275" s="132">
        <f t="shared" si="98"/>
        <v>1982.7812953971998</v>
      </c>
      <c r="P1275" s="134">
        <f t="shared" si="99"/>
        <v>1545.9446507438909</v>
      </c>
      <c r="Q1275" s="261">
        <v>1</v>
      </c>
      <c r="R1275" s="94"/>
    </row>
    <row r="1276" spans="1:18" x14ac:dyDescent="0.25">
      <c r="A1276" s="367">
        <v>43404</v>
      </c>
      <c r="B1276" s="367" t="s">
        <v>279</v>
      </c>
      <c r="C1276" s="279" t="s">
        <v>642</v>
      </c>
      <c r="D1276" s="159" t="s">
        <v>1045</v>
      </c>
      <c r="E1276" s="45">
        <f t="shared" si="100"/>
        <v>43404</v>
      </c>
      <c r="F1276" s="148" t="str">
        <f t="shared" si="97"/>
        <v>2018-19</v>
      </c>
      <c r="G1276" s="1"/>
      <c r="H1276" s="163"/>
      <c r="I1276" s="37"/>
      <c r="J1276" s="138">
        <f t="shared" si="101"/>
        <v>0.77968490742404351</v>
      </c>
      <c r="K1276" s="114"/>
      <c r="L1276" s="37">
        <v>3.33053950018</v>
      </c>
      <c r="M1276" s="37" t="s">
        <v>142</v>
      </c>
      <c r="N1276" s="37">
        <v>696.6467060487804</v>
      </c>
      <c r="O1276" s="132">
        <f t="shared" si="98"/>
        <v>2320.2093721657484</v>
      </c>
      <c r="P1276" s="134">
        <f t="shared" si="99"/>
        <v>1809.0322295414496</v>
      </c>
      <c r="Q1276" s="261">
        <v>1</v>
      </c>
      <c r="R1276" s="94"/>
    </row>
    <row r="1277" spans="1:18" x14ac:dyDescent="0.25">
      <c r="A1277" s="367">
        <v>43404</v>
      </c>
      <c r="B1277" s="367" t="s">
        <v>279</v>
      </c>
      <c r="C1277" s="279" t="s">
        <v>642</v>
      </c>
      <c r="D1277" s="159" t="s">
        <v>1045</v>
      </c>
      <c r="E1277" s="45">
        <f t="shared" si="100"/>
        <v>43404</v>
      </c>
      <c r="F1277" s="148" t="str">
        <f t="shared" si="97"/>
        <v>2018-19</v>
      </c>
      <c r="G1277" s="1"/>
      <c r="H1277" s="163"/>
      <c r="I1277" s="37"/>
      <c r="J1277" s="138">
        <f t="shared" si="101"/>
        <v>0.77968490742404351</v>
      </c>
      <c r="K1277" s="114"/>
      <c r="L1277" s="37">
        <v>0.72970404959799995</v>
      </c>
      <c r="M1277" s="37" t="s">
        <v>142</v>
      </c>
      <c r="N1277" s="37">
        <v>696.6467060487804</v>
      </c>
      <c r="O1277" s="132">
        <f t="shared" si="98"/>
        <v>508.34592254290254</v>
      </c>
      <c r="P1277" s="134">
        <f t="shared" si="99"/>
        <v>396.34964355725293</v>
      </c>
      <c r="Q1277" s="261">
        <v>1</v>
      </c>
      <c r="R1277" s="94"/>
    </row>
    <row r="1278" spans="1:18" x14ac:dyDescent="0.25">
      <c r="A1278" s="367">
        <v>43132</v>
      </c>
      <c r="B1278" s="367" t="s">
        <v>279</v>
      </c>
      <c r="C1278" s="279" t="s">
        <v>643</v>
      </c>
      <c r="D1278" s="159" t="s">
        <v>1045</v>
      </c>
      <c r="E1278" s="45">
        <f t="shared" si="100"/>
        <v>43132</v>
      </c>
      <c r="F1278" s="148" t="str">
        <f t="shared" si="97"/>
        <v>2017-18</v>
      </c>
      <c r="G1278" s="1"/>
      <c r="H1278" s="163"/>
      <c r="I1278" s="37"/>
      <c r="J1278" s="138">
        <f t="shared" si="101"/>
        <v>0.77968490742404351</v>
      </c>
      <c r="K1278" s="114"/>
      <c r="L1278" s="37">
        <v>32.049520845000004</v>
      </c>
      <c r="M1278" s="37" t="s">
        <v>142</v>
      </c>
      <c r="N1278" s="37">
        <v>696.6467060487804</v>
      </c>
      <c r="O1278" s="132">
        <f t="shared" si="98"/>
        <v>22327.193127110979</v>
      </c>
      <c r="P1278" s="134">
        <f t="shared" si="99"/>
        <v>17408.175506350264</v>
      </c>
      <c r="Q1278" s="261">
        <v>1</v>
      </c>
      <c r="R1278" s="94"/>
    </row>
    <row r="1279" spans="1:18" x14ac:dyDescent="0.25">
      <c r="A1279" s="367">
        <v>43132</v>
      </c>
      <c r="B1279" s="367" t="s">
        <v>279</v>
      </c>
      <c r="C1279" s="279" t="s">
        <v>642</v>
      </c>
      <c r="D1279" s="159" t="s">
        <v>1045</v>
      </c>
      <c r="E1279" s="45">
        <f t="shared" si="100"/>
        <v>43132</v>
      </c>
      <c r="F1279" s="148" t="str">
        <f t="shared" si="97"/>
        <v>2017-18</v>
      </c>
      <c r="G1279" s="1"/>
      <c r="H1279" s="163"/>
      <c r="I1279" s="37"/>
      <c r="J1279" s="138">
        <f t="shared" si="101"/>
        <v>0.77968490742404351</v>
      </c>
      <c r="K1279" s="114"/>
      <c r="L1279" s="37">
        <v>121.565316892</v>
      </c>
      <c r="M1279" s="37" t="s">
        <v>142</v>
      </c>
      <c r="N1279" s="37">
        <v>696.6467060487804</v>
      </c>
      <c r="O1279" s="132">
        <f t="shared" si="98"/>
        <v>84688.077582587968</v>
      </c>
      <c r="P1279" s="134">
        <f t="shared" si="99"/>
        <v>66030.015929900313</v>
      </c>
      <c r="Q1279" s="261">
        <v>1</v>
      </c>
      <c r="R1279" s="94"/>
    </row>
    <row r="1280" spans="1:18" x14ac:dyDescent="0.25">
      <c r="A1280" s="367">
        <v>43132</v>
      </c>
      <c r="B1280" s="367" t="s">
        <v>279</v>
      </c>
      <c r="C1280" s="279" t="s">
        <v>642</v>
      </c>
      <c r="D1280" s="159" t="s">
        <v>1045</v>
      </c>
      <c r="E1280" s="45">
        <f t="shared" si="100"/>
        <v>43132</v>
      </c>
      <c r="F1280" s="148" t="str">
        <f t="shared" si="97"/>
        <v>2017-18</v>
      </c>
      <c r="G1280" s="1"/>
      <c r="H1280" s="163"/>
      <c r="I1280" s="37"/>
      <c r="J1280" s="138">
        <f t="shared" si="101"/>
        <v>0.77968490742404351</v>
      </c>
      <c r="K1280" s="114"/>
      <c r="L1280" s="37">
        <v>11.6363888294</v>
      </c>
      <c r="M1280" s="37" t="s">
        <v>142</v>
      </c>
      <c r="N1280" s="37">
        <v>696.6467060487804</v>
      </c>
      <c r="O1280" s="132">
        <f t="shared" si="98"/>
        <v>8106.4519483043332</v>
      </c>
      <c r="P1280" s="134">
        <f t="shared" si="99"/>
        <v>6320.4782368511214</v>
      </c>
      <c r="Q1280" s="261">
        <v>1</v>
      </c>
      <c r="R1280" s="94"/>
    </row>
    <row r="1281" spans="1:18" x14ac:dyDescent="0.25">
      <c r="A1281" s="367">
        <v>43132</v>
      </c>
      <c r="B1281" s="367" t="s">
        <v>279</v>
      </c>
      <c r="C1281" s="279" t="s">
        <v>642</v>
      </c>
      <c r="D1281" s="159" t="s">
        <v>1045</v>
      </c>
      <c r="E1281" s="45">
        <f t="shared" si="100"/>
        <v>43132</v>
      </c>
      <c r="F1281" s="148" t="str">
        <f t="shared" si="97"/>
        <v>2017-18</v>
      </c>
      <c r="G1281" s="1"/>
      <c r="H1281" s="163"/>
      <c r="I1281" s="37"/>
      <c r="J1281" s="138">
        <f t="shared" si="101"/>
        <v>0.77968490742404351</v>
      </c>
      <c r="K1281" s="114"/>
      <c r="L1281" s="37">
        <v>7.8076281266700001</v>
      </c>
      <c r="M1281" s="37" t="s">
        <v>142</v>
      </c>
      <c r="N1281" s="37">
        <v>696.6467060487804</v>
      </c>
      <c r="O1281" s="132">
        <f t="shared" si="98"/>
        <v>5439.1584164984652</v>
      </c>
      <c r="P1281" s="134">
        <f t="shared" si="99"/>
        <v>4240.8297264323128</v>
      </c>
      <c r="Q1281" s="261">
        <v>1</v>
      </c>
      <c r="R1281" s="94"/>
    </row>
    <row r="1282" spans="1:18" x14ac:dyDescent="0.25">
      <c r="A1282" s="367">
        <v>43132</v>
      </c>
      <c r="B1282" s="367" t="s">
        <v>279</v>
      </c>
      <c r="C1282" s="279" t="s">
        <v>642</v>
      </c>
      <c r="D1282" s="159" t="s">
        <v>1045</v>
      </c>
      <c r="E1282" s="45">
        <f t="shared" si="100"/>
        <v>43132</v>
      </c>
      <c r="F1282" s="148" t="str">
        <f t="shared" si="97"/>
        <v>2017-18</v>
      </c>
      <c r="G1282" s="1"/>
      <c r="H1282" s="163"/>
      <c r="I1282" s="37"/>
      <c r="J1282" s="138">
        <f t="shared" si="101"/>
        <v>0.77968490742404351</v>
      </c>
      <c r="K1282" s="114"/>
      <c r="L1282" s="37">
        <v>1.79370594023</v>
      </c>
      <c r="M1282" s="37" t="s">
        <v>142</v>
      </c>
      <c r="N1282" s="37">
        <v>696.6467060487804</v>
      </c>
      <c r="O1282" s="132">
        <f t="shared" si="98"/>
        <v>1249.57933488136</v>
      </c>
      <c r="P1282" s="134">
        <f t="shared" si="99"/>
        <v>974.27814803597096</v>
      </c>
      <c r="Q1282" s="261">
        <v>1</v>
      </c>
      <c r="R1282" s="94"/>
    </row>
    <row r="1283" spans="1:18" x14ac:dyDescent="0.25">
      <c r="A1283" s="367">
        <v>43132</v>
      </c>
      <c r="B1283" s="367" t="s">
        <v>279</v>
      </c>
      <c r="C1283" s="279" t="s">
        <v>643</v>
      </c>
      <c r="D1283" s="159" t="s">
        <v>1045</v>
      </c>
      <c r="E1283" s="45">
        <f t="shared" si="100"/>
        <v>43132</v>
      </c>
      <c r="F1283" s="148" t="str">
        <f t="shared" si="97"/>
        <v>2017-18</v>
      </c>
      <c r="G1283" s="1"/>
      <c r="H1283" s="163"/>
      <c r="I1283" s="37"/>
      <c r="J1283" s="138">
        <f t="shared" si="101"/>
        <v>0.77968490742404351</v>
      </c>
      <c r="K1283" s="114"/>
      <c r="L1283" s="37">
        <v>1.7455374627</v>
      </c>
      <c r="M1283" s="37" t="s">
        <v>142</v>
      </c>
      <c r="N1283" s="37">
        <v>696.6467060487804</v>
      </c>
      <c r="O1283" s="132">
        <f t="shared" si="98"/>
        <v>1216.0229236747009</v>
      </c>
      <c r="P1283" s="134">
        <f t="shared" si="99"/>
        <v>948.11472067082389</v>
      </c>
      <c r="Q1283" s="261">
        <v>1</v>
      </c>
      <c r="R1283" s="94"/>
    </row>
    <row r="1284" spans="1:18" x14ac:dyDescent="0.25">
      <c r="A1284" s="367">
        <v>43132</v>
      </c>
      <c r="B1284" s="367" t="s">
        <v>279</v>
      </c>
      <c r="C1284" s="279" t="s">
        <v>642</v>
      </c>
      <c r="D1284" s="159" t="s">
        <v>1045</v>
      </c>
      <c r="E1284" s="45">
        <f t="shared" si="100"/>
        <v>43132</v>
      </c>
      <c r="F1284" s="148" t="str">
        <f t="shared" si="97"/>
        <v>2017-18</v>
      </c>
      <c r="G1284" s="1"/>
      <c r="H1284" s="163"/>
      <c r="I1284" s="37"/>
      <c r="J1284" s="138">
        <f t="shared" si="101"/>
        <v>0.77968490742404351</v>
      </c>
      <c r="K1284" s="114"/>
      <c r="L1284" s="37">
        <v>9.4903104472000006</v>
      </c>
      <c r="M1284" s="37" t="s">
        <v>142</v>
      </c>
      <c r="N1284" s="37">
        <v>696.6467060487804</v>
      </c>
      <c r="O1284" s="132">
        <f t="shared" si="98"/>
        <v>6611.3935124222089</v>
      </c>
      <c r="P1284" s="134">
        <f t="shared" si="99"/>
        <v>5154.8037386768319</v>
      </c>
      <c r="Q1284" s="261">
        <v>1</v>
      </c>
      <c r="R1284" s="94"/>
    </row>
    <row r="1285" spans="1:18" x14ac:dyDescent="0.25">
      <c r="A1285" s="367">
        <v>43278</v>
      </c>
      <c r="B1285" s="367" t="s">
        <v>279</v>
      </c>
      <c r="C1285" s="279" t="s">
        <v>642</v>
      </c>
      <c r="D1285" s="159" t="s">
        <v>1045</v>
      </c>
      <c r="E1285" s="45">
        <f t="shared" si="100"/>
        <v>43278</v>
      </c>
      <c r="F1285" s="148" t="str">
        <f t="shared" si="97"/>
        <v>2017-18</v>
      </c>
      <c r="G1285" s="1"/>
      <c r="H1285" s="163"/>
      <c r="I1285" s="37"/>
      <c r="J1285" s="138">
        <f t="shared" si="101"/>
        <v>0.77968490742404351</v>
      </c>
      <c r="K1285" s="114"/>
      <c r="L1285" s="37">
        <v>122.393953197</v>
      </c>
      <c r="M1285" s="37" t="s">
        <v>142</v>
      </c>
      <c r="N1285" s="37">
        <v>696.6467060487804</v>
      </c>
      <c r="O1285" s="132">
        <f t="shared" si="98"/>
        <v>85265.344334978639</v>
      </c>
      <c r="P1285" s="134">
        <f t="shared" si="99"/>
        <v>66480.10210429701</v>
      </c>
      <c r="Q1285" s="261">
        <v>1</v>
      </c>
      <c r="R1285" s="94"/>
    </row>
    <row r="1286" spans="1:18" x14ac:dyDescent="0.25">
      <c r="A1286" s="367">
        <v>43416</v>
      </c>
      <c r="B1286" s="367" t="s">
        <v>279</v>
      </c>
      <c r="C1286" s="279" t="s">
        <v>643</v>
      </c>
      <c r="D1286" s="159" t="s">
        <v>1045</v>
      </c>
      <c r="E1286" s="45">
        <f t="shared" si="100"/>
        <v>43416</v>
      </c>
      <c r="F1286" s="148" t="str">
        <f t="shared" si="97"/>
        <v>2018-19</v>
      </c>
      <c r="G1286" s="1"/>
      <c r="H1286" s="163"/>
      <c r="I1286" s="37"/>
      <c r="J1286" s="138">
        <f t="shared" si="101"/>
        <v>0.77968490742404351</v>
      </c>
      <c r="K1286" s="114"/>
      <c r="L1286" s="37">
        <v>13.429671347199999</v>
      </c>
      <c r="M1286" s="37" t="s">
        <v>142</v>
      </c>
      <c r="N1286" s="37">
        <v>696.6467060487804</v>
      </c>
      <c r="O1286" s="132">
        <f t="shared" si="98"/>
        <v>9355.7363073445667</v>
      </c>
      <c r="P1286" s="134">
        <f t="shared" si="99"/>
        <v>7294.5263966757111</v>
      </c>
      <c r="Q1286" s="261">
        <v>1</v>
      </c>
      <c r="R1286" s="94"/>
    </row>
    <row r="1287" spans="1:18" x14ac:dyDescent="0.25">
      <c r="A1287" s="367">
        <v>43416</v>
      </c>
      <c r="B1287" s="367" t="s">
        <v>279</v>
      </c>
      <c r="C1287" s="279" t="s">
        <v>643</v>
      </c>
      <c r="D1287" s="159" t="s">
        <v>1045</v>
      </c>
      <c r="E1287" s="45">
        <f t="shared" si="100"/>
        <v>43416</v>
      </c>
      <c r="F1287" s="148" t="str">
        <f t="shared" si="97"/>
        <v>2018-19</v>
      </c>
      <c r="G1287" s="1"/>
      <c r="H1287" s="163"/>
      <c r="I1287" s="37"/>
      <c r="J1287" s="138">
        <f t="shared" si="101"/>
        <v>0.77968490742404351</v>
      </c>
      <c r="K1287" s="114"/>
      <c r="L1287" s="37">
        <v>13.8170624097</v>
      </c>
      <c r="M1287" s="37" t="s">
        <v>142</v>
      </c>
      <c r="N1287" s="37">
        <v>696.6467060487804</v>
      </c>
      <c r="O1287" s="132">
        <f t="shared" si="98"/>
        <v>9625.6110149879296</v>
      </c>
      <c r="P1287" s="134">
        <f t="shared" si="99"/>
        <v>7504.9436331207171</v>
      </c>
      <c r="Q1287" s="261">
        <v>1</v>
      </c>
      <c r="R1287" s="94"/>
    </row>
    <row r="1288" spans="1:18" x14ac:dyDescent="0.25">
      <c r="A1288" s="367">
        <v>43416</v>
      </c>
      <c r="B1288" s="367" t="s">
        <v>279</v>
      </c>
      <c r="C1288" s="279" t="s">
        <v>643</v>
      </c>
      <c r="D1288" s="159" t="s">
        <v>1045</v>
      </c>
      <c r="E1288" s="45">
        <f t="shared" si="100"/>
        <v>43416</v>
      </c>
      <c r="F1288" s="148" t="str">
        <f t="shared" si="97"/>
        <v>2018-19</v>
      </c>
      <c r="G1288" s="1"/>
      <c r="H1288" s="163"/>
      <c r="I1288" s="37"/>
      <c r="J1288" s="138">
        <f t="shared" si="101"/>
        <v>0.77968490742404351</v>
      </c>
      <c r="K1288" s="114"/>
      <c r="L1288" s="37">
        <v>3.3705696829499998</v>
      </c>
      <c r="M1288" s="37" t="s">
        <v>142</v>
      </c>
      <c r="N1288" s="37">
        <v>696.6467060487804</v>
      </c>
      <c r="O1288" s="132">
        <f t="shared" si="98"/>
        <v>2348.0962671349994</v>
      </c>
      <c r="P1288" s="134">
        <f t="shared" si="99"/>
        <v>1830.7752206638941</v>
      </c>
      <c r="Q1288" s="261">
        <v>1</v>
      </c>
      <c r="R1288" s="94"/>
    </row>
    <row r="1289" spans="1:18" x14ac:dyDescent="0.25">
      <c r="A1289" s="367">
        <v>43416</v>
      </c>
      <c r="B1289" s="367" t="s">
        <v>279</v>
      </c>
      <c r="C1289" s="279" t="s">
        <v>643</v>
      </c>
      <c r="D1289" s="159" t="s">
        <v>1045</v>
      </c>
      <c r="E1289" s="45">
        <f t="shared" si="100"/>
        <v>43416</v>
      </c>
      <c r="F1289" s="148" t="str">
        <f t="shared" si="97"/>
        <v>2018-19</v>
      </c>
      <c r="G1289" s="1"/>
      <c r="H1289" s="163"/>
      <c r="I1289" s="37"/>
      <c r="J1289" s="138">
        <f t="shared" si="101"/>
        <v>0.77968490742404351</v>
      </c>
      <c r="K1289" s="114"/>
      <c r="L1289" s="37">
        <v>56.198534922199997</v>
      </c>
      <c r="M1289" s="37" t="s">
        <v>142</v>
      </c>
      <c r="N1289" s="37">
        <v>696.6467060487804</v>
      </c>
      <c r="O1289" s="132">
        <f t="shared" si="98"/>
        <v>39150.524238317979</v>
      </c>
      <c r="P1289" s="134">
        <f t="shared" si="99"/>
        <v>30525.072866355724</v>
      </c>
      <c r="Q1289" s="261">
        <v>1</v>
      </c>
      <c r="R1289" s="94"/>
    </row>
    <row r="1290" spans="1:18" x14ac:dyDescent="0.25">
      <c r="A1290" s="367">
        <v>43416</v>
      </c>
      <c r="B1290" s="367" t="s">
        <v>279</v>
      </c>
      <c r="C1290" s="279" t="s">
        <v>643</v>
      </c>
      <c r="D1290" s="159" t="s">
        <v>1045</v>
      </c>
      <c r="E1290" s="45">
        <f t="shared" si="100"/>
        <v>43416</v>
      </c>
      <c r="F1290" s="148" t="str">
        <f t="shared" si="97"/>
        <v>2018-19</v>
      </c>
      <c r="G1290" s="1"/>
      <c r="H1290" s="163"/>
      <c r="I1290" s="37"/>
      <c r="J1290" s="138">
        <f t="shared" si="101"/>
        <v>0.77968490742404351</v>
      </c>
      <c r="K1290" s="114"/>
      <c r="L1290" s="37">
        <v>43.350120065600002</v>
      </c>
      <c r="M1290" s="37" t="s">
        <v>142</v>
      </c>
      <c r="N1290" s="37">
        <v>696.6467060487804</v>
      </c>
      <c r="O1290" s="132">
        <f t="shared" si="98"/>
        <v>30199.718350519383</v>
      </c>
      <c r="P1290" s="134">
        <f t="shared" si="99"/>
        <v>23546.264606356894</v>
      </c>
      <c r="Q1290" s="261">
        <v>1</v>
      </c>
      <c r="R1290" s="94"/>
    </row>
    <row r="1291" spans="1:18" x14ac:dyDescent="0.25">
      <c r="A1291" s="367">
        <v>43416</v>
      </c>
      <c r="B1291" s="367" t="s">
        <v>279</v>
      </c>
      <c r="C1291" s="279" t="s">
        <v>643</v>
      </c>
      <c r="D1291" s="159" t="s">
        <v>1045</v>
      </c>
      <c r="E1291" s="45">
        <f t="shared" si="100"/>
        <v>43416</v>
      </c>
      <c r="F1291" s="148" t="str">
        <f t="shared" si="97"/>
        <v>2018-19</v>
      </c>
      <c r="G1291" s="1"/>
      <c r="H1291" s="163"/>
      <c r="I1291" s="37"/>
      <c r="J1291" s="138">
        <f t="shared" si="101"/>
        <v>0.77968490742404351</v>
      </c>
      <c r="K1291" s="114"/>
      <c r="L1291" s="37">
        <v>85.4684288415</v>
      </c>
      <c r="M1291" s="37" t="s">
        <v>142</v>
      </c>
      <c r="N1291" s="37">
        <v>696.6467060487804</v>
      </c>
      <c r="O1291" s="132">
        <f t="shared" si="98"/>
        <v>59541.299423595556</v>
      </c>
      <c r="P1291" s="134">
        <f t="shared" si="99"/>
        <v>46423.452528993359</v>
      </c>
      <c r="Q1291" s="261">
        <v>1</v>
      </c>
      <c r="R1291" s="94"/>
    </row>
    <row r="1292" spans="1:18" x14ac:dyDescent="0.25">
      <c r="A1292" s="367">
        <v>43278</v>
      </c>
      <c r="B1292" s="367" t="s">
        <v>279</v>
      </c>
      <c r="C1292" s="279" t="s">
        <v>642</v>
      </c>
      <c r="D1292" s="159" t="s">
        <v>1045</v>
      </c>
      <c r="E1292" s="45">
        <f t="shared" si="100"/>
        <v>43278</v>
      </c>
      <c r="F1292" s="148" t="str">
        <f t="shared" si="97"/>
        <v>2017-18</v>
      </c>
      <c r="G1292" s="1"/>
      <c r="H1292" s="163"/>
      <c r="I1292" s="37"/>
      <c r="J1292" s="138">
        <f t="shared" si="101"/>
        <v>0.77968490742404351</v>
      </c>
      <c r="K1292" s="114"/>
      <c r="L1292" s="37">
        <v>107.27161497100001</v>
      </c>
      <c r="M1292" s="37" t="s">
        <v>142</v>
      </c>
      <c r="N1292" s="37">
        <v>696.6467060487804</v>
      </c>
      <c r="O1292" s="132">
        <f t="shared" si="98"/>
        <v>74730.417222080185</v>
      </c>
      <c r="P1292" s="134">
        <f t="shared" si="99"/>
        <v>58266.178433557732</v>
      </c>
      <c r="Q1292" s="261">
        <v>1</v>
      </c>
      <c r="R1292" s="94"/>
    </row>
    <row r="1293" spans="1:18" x14ac:dyDescent="0.25">
      <c r="A1293" s="367">
        <v>43278</v>
      </c>
      <c r="B1293" s="367" t="s">
        <v>279</v>
      </c>
      <c r="C1293" s="279" t="s">
        <v>642</v>
      </c>
      <c r="D1293" s="159" t="s">
        <v>1045</v>
      </c>
      <c r="E1293" s="45">
        <f t="shared" si="100"/>
        <v>43278</v>
      </c>
      <c r="F1293" s="148" t="str">
        <f t="shared" si="97"/>
        <v>2017-18</v>
      </c>
      <c r="G1293" s="1"/>
      <c r="H1293" s="163"/>
      <c r="I1293" s="37"/>
      <c r="J1293" s="138">
        <f t="shared" si="101"/>
        <v>0.77968490742404351</v>
      </c>
      <c r="K1293" s="114"/>
      <c r="L1293" s="37">
        <v>25.725013714399999</v>
      </c>
      <c r="M1293" s="37" t="s">
        <v>142</v>
      </c>
      <c r="N1293" s="37">
        <v>696.6467060487804</v>
      </c>
      <c r="O1293" s="132">
        <f t="shared" si="98"/>
        <v>17921.246067196462</v>
      </c>
      <c r="P1293" s="134">
        <f t="shared" si="99"/>
        <v>13972.925080825577</v>
      </c>
      <c r="Q1293" s="261">
        <v>1</v>
      </c>
      <c r="R1293" s="94"/>
    </row>
    <row r="1294" spans="1:18" x14ac:dyDescent="0.25">
      <c r="A1294" s="367">
        <v>43132</v>
      </c>
      <c r="B1294" s="367" t="s">
        <v>279</v>
      </c>
      <c r="C1294" s="279" t="s">
        <v>642</v>
      </c>
      <c r="D1294" s="159" t="s">
        <v>1045</v>
      </c>
      <c r="E1294" s="45">
        <f t="shared" si="100"/>
        <v>43132</v>
      </c>
      <c r="F1294" s="148" t="str">
        <f t="shared" si="97"/>
        <v>2017-18</v>
      </c>
      <c r="G1294" s="1"/>
      <c r="H1294" s="163"/>
      <c r="I1294" s="37"/>
      <c r="J1294" s="138">
        <f t="shared" si="101"/>
        <v>0.77968490742404351</v>
      </c>
      <c r="K1294" s="114"/>
      <c r="L1294" s="37">
        <v>40.7014424276</v>
      </c>
      <c r="M1294" s="37" t="s">
        <v>142</v>
      </c>
      <c r="N1294" s="37">
        <v>696.6467060487804</v>
      </c>
      <c r="O1294" s="132">
        <f t="shared" si="98"/>
        <v>28354.525798621617</v>
      </c>
      <c r="P1294" s="134">
        <f t="shared" si="99"/>
        <v>22107.595822350948</v>
      </c>
      <c r="Q1294" s="261">
        <v>1</v>
      </c>
      <c r="R1294" s="94"/>
    </row>
    <row r="1295" spans="1:18" x14ac:dyDescent="0.25">
      <c r="A1295" s="367">
        <v>43416</v>
      </c>
      <c r="B1295" s="367" t="s">
        <v>279</v>
      </c>
      <c r="C1295" s="279" t="s">
        <v>643</v>
      </c>
      <c r="D1295" s="159" t="s">
        <v>1045</v>
      </c>
      <c r="E1295" s="45">
        <f t="shared" si="100"/>
        <v>43416</v>
      </c>
      <c r="F1295" s="148" t="str">
        <f t="shared" si="97"/>
        <v>2018-19</v>
      </c>
      <c r="G1295" s="1"/>
      <c r="H1295" s="163"/>
      <c r="I1295" s="37"/>
      <c r="J1295" s="138">
        <f t="shared" si="101"/>
        <v>0.77968490742404351</v>
      </c>
      <c r="K1295" s="114"/>
      <c r="L1295" s="37">
        <v>1.6091789832100001</v>
      </c>
      <c r="M1295" s="37" t="s">
        <v>142</v>
      </c>
      <c r="N1295" s="37">
        <v>696.6467060487804</v>
      </c>
      <c r="O1295" s="132">
        <f t="shared" si="98"/>
        <v>1121.0292380961723</v>
      </c>
      <c r="P1295" s="134">
        <f t="shared" si="99"/>
        <v>874.04957772466014</v>
      </c>
      <c r="Q1295" s="261">
        <v>1</v>
      </c>
      <c r="R1295" s="94"/>
    </row>
    <row r="1296" spans="1:18" x14ac:dyDescent="0.25">
      <c r="A1296" s="367">
        <v>43132</v>
      </c>
      <c r="B1296" s="367" t="s">
        <v>279</v>
      </c>
      <c r="C1296" s="279" t="s">
        <v>642</v>
      </c>
      <c r="D1296" s="159" t="s">
        <v>1045</v>
      </c>
      <c r="E1296" s="45">
        <f t="shared" si="100"/>
        <v>43132</v>
      </c>
      <c r="F1296" s="148" t="str">
        <f t="shared" si="97"/>
        <v>2017-18</v>
      </c>
      <c r="G1296" s="1"/>
      <c r="H1296" s="163"/>
      <c r="I1296" s="37"/>
      <c r="J1296" s="138">
        <f t="shared" si="101"/>
        <v>0.77968490742404351</v>
      </c>
      <c r="K1296" s="114"/>
      <c r="L1296" s="37">
        <v>1.7442365128799999</v>
      </c>
      <c r="M1296" s="37" t="s">
        <v>142</v>
      </c>
      <c r="N1296" s="37">
        <v>696.6467060487804</v>
      </c>
      <c r="O1296" s="132">
        <f t="shared" si="98"/>
        <v>1215.1166212678631</v>
      </c>
      <c r="P1296" s="134">
        <f t="shared" si="99"/>
        <v>947.40809036265046</v>
      </c>
      <c r="Q1296" s="261">
        <v>1</v>
      </c>
      <c r="R1296" s="94"/>
    </row>
    <row r="1297" spans="1:18" x14ac:dyDescent="0.25">
      <c r="A1297" s="367">
        <v>43416</v>
      </c>
      <c r="B1297" s="367" t="s">
        <v>279</v>
      </c>
      <c r="C1297" s="279" t="s">
        <v>643</v>
      </c>
      <c r="D1297" s="159" t="s">
        <v>1045</v>
      </c>
      <c r="E1297" s="45">
        <f t="shared" si="100"/>
        <v>43416</v>
      </c>
      <c r="F1297" s="148" t="str">
        <f t="shared" si="97"/>
        <v>2018-19</v>
      </c>
      <c r="G1297" s="1"/>
      <c r="H1297" s="163"/>
      <c r="I1297" s="37"/>
      <c r="J1297" s="138">
        <f t="shared" si="101"/>
        <v>0.77968490742404351</v>
      </c>
      <c r="K1297" s="114"/>
      <c r="L1297" s="37">
        <v>12.9213686698</v>
      </c>
      <c r="M1297" s="37" t="s">
        <v>142</v>
      </c>
      <c r="N1297" s="37">
        <v>696.6467060487804</v>
      </c>
      <c r="O1297" s="132">
        <f t="shared" si="98"/>
        <v>9001.6289214580811</v>
      </c>
      <c r="P1297" s="134">
        <f t="shared" si="99"/>
        <v>7018.4342122926364</v>
      </c>
      <c r="Q1297" s="261">
        <v>1</v>
      </c>
      <c r="R1297" s="94"/>
    </row>
    <row r="1298" spans="1:18" x14ac:dyDescent="0.25">
      <c r="A1298" s="367">
        <v>42845</v>
      </c>
      <c r="B1298" s="367" t="s">
        <v>279</v>
      </c>
      <c r="C1298" s="279" t="s">
        <v>645</v>
      </c>
      <c r="D1298" s="159" t="s">
        <v>1126</v>
      </c>
      <c r="E1298" s="45">
        <f t="shared" si="100"/>
        <v>42845</v>
      </c>
      <c r="F1298" s="148" t="str">
        <f t="shared" ref="F1298:F1361" si="102">IF(E1298="","-",IF(OR(E1298&lt;$E$15,E1298&gt;$E$16),"ERROR - date outside of range",IF(MONTH(E1298)&gt;=7,YEAR(E1298)&amp;"-"&amp;IF(YEAR(E1298)=1999,"00",IF(AND(YEAR(E1298)&gt;=2000,YEAR(E1298)&lt;2009),"0","")&amp;RIGHT(YEAR(E1298),2)+1),RIGHT(YEAR(E1298),4)-1&amp;"-"&amp;RIGHT(YEAR(E1298),2))))</f>
        <v>2016-17</v>
      </c>
      <c r="G1298" s="1"/>
      <c r="H1298" s="163"/>
      <c r="I1298" s="37"/>
      <c r="J1298" s="138">
        <f t="shared" si="101"/>
        <v>0.77968490742404351</v>
      </c>
      <c r="K1298" s="114"/>
      <c r="L1298" s="37">
        <v>1.4998016535500001</v>
      </c>
      <c r="M1298" s="37" t="s">
        <v>142</v>
      </c>
      <c r="N1298" s="37">
        <v>771.6404230243902</v>
      </c>
      <c r="O1298" s="132">
        <f t="shared" ref="O1298:O1361" si="103">IF(N1298="","-",L1298*N1298)</f>
        <v>1157.3075823980021</v>
      </c>
      <c r="P1298" s="134">
        <f t="shared" ref="P1298:P1361" si="104">IF(O1298="-","-",IF(OR(E1298&lt;$E$15,E1298&gt;$E$16),0,O1298*J1298))*Q1298</f>
        <v>902.33525524312984</v>
      </c>
      <c r="Q1298" s="261">
        <v>1</v>
      </c>
      <c r="R1298" s="94"/>
    </row>
    <row r="1299" spans="1:18" x14ac:dyDescent="0.25">
      <c r="A1299" s="367">
        <v>42845</v>
      </c>
      <c r="B1299" s="367" t="s">
        <v>279</v>
      </c>
      <c r="C1299" s="279" t="s">
        <v>645</v>
      </c>
      <c r="D1299" s="159" t="s">
        <v>1126</v>
      </c>
      <c r="E1299" s="45">
        <f t="shared" si="100"/>
        <v>42845</v>
      </c>
      <c r="F1299" s="148" t="str">
        <f t="shared" si="102"/>
        <v>2016-17</v>
      </c>
      <c r="G1299" s="1"/>
      <c r="H1299" s="163"/>
      <c r="I1299" s="37"/>
      <c r="J1299" s="138">
        <f t="shared" si="101"/>
        <v>0.77968490742404351</v>
      </c>
      <c r="K1299" s="114"/>
      <c r="L1299" s="37">
        <v>190.46622513899999</v>
      </c>
      <c r="M1299" s="37" t="s">
        <v>142</v>
      </c>
      <c r="N1299" s="37">
        <v>1128.7084557073169</v>
      </c>
      <c r="O1299" s="132">
        <f t="shared" si="103"/>
        <v>214980.83884104283</v>
      </c>
      <c r="P1299" s="134">
        <f t="shared" si="104"/>
        <v>167617.3154297217</v>
      </c>
      <c r="Q1299" s="261">
        <v>1</v>
      </c>
      <c r="R1299" s="94"/>
    </row>
    <row r="1300" spans="1:18" x14ac:dyDescent="0.25">
      <c r="A1300" s="367">
        <v>42845</v>
      </c>
      <c r="B1300" s="367" t="s">
        <v>279</v>
      </c>
      <c r="C1300" s="279" t="s">
        <v>645</v>
      </c>
      <c r="D1300" s="159" t="s">
        <v>1126</v>
      </c>
      <c r="E1300" s="45">
        <f t="shared" si="100"/>
        <v>42845</v>
      </c>
      <c r="F1300" s="148" t="str">
        <f t="shared" si="102"/>
        <v>2016-17</v>
      </c>
      <c r="G1300" s="1"/>
      <c r="H1300" s="163"/>
      <c r="I1300" s="37"/>
      <c r="J1300" s="138">
        <f t="shared" si="101"/>
        <v>0.77968490742404351</v>
      </c>
      <c r="K1300" s="114"/>
      <c r="L1300" s="37">
        <v>63.321792234199997</v>
      </c>
      <c r="M1300" s="37" t="s">
        <v>142</v>
      </c>
      <c r="N1300" s="37">
        <v>1128.7084557073169</v>
      </c>
      <c r="O1300" s="132">
        <f t="shared" si="103"/>
        <v>71471.842325283447</v>
      </c>
      <c r="P1300" s="134">
        <f t="shared" si="104"/>
        <v>55725.516766814457</v>
      </c>
      <c r="Q1300" s="261">
        <v>1</v>
      </c>
      <c r="R1300" s="94"/>
    </row>
    <row r="1301" spans="1:18" x14ac:dyDescent="0.25">
      <c r="A1301" s="367">
        <v>42845</v>
      </c>
      <c r="B1301" s="367" t="s">
        <v>279</v>
      </c>
      <c r="C1301" s="279" t="s">
        <v>645</v>
      </c>
      <c r="D1301" s="159" t="s">
        <v>1126</v>
      </c>
      <c r="E1301" s="45">
        <f t="shared" si="100"/>
        <v>42845</v>
      </c>
      <c r="F1301" s="148" t="str">
        <f t="shared" si="102"/>
        <v>2016-17</v>
      </c>
      <c r="G1301" s="1"/>
      <c r="H1301" s="163"/>
      <c r="I1301" s="37"/>
      <c r="J1301" s="138">
        <f t="shared" si="101"/>
        <v>0.77968490742404351</v>
      </c>
      <c r="K1301" s="114"/>
      <c r="L1301" s="37">
        <v>2.4994403373599998</v>
      </c>
      <c r="M1301" s="37" t="s">
        <v>142</v>
      </c>
      <c r="N1301" s="37">
        <v>1422.8466506341463</v>
      </c>
      <c r="O1301" s="132">
        <f t="shared" si="103"/>
        <v>3556.3203124725565</v>
      </c>
      <c r="P1301" s="134">
        <f t="shared" si="104"/>
        <v>2772.8092736004105</v>
      </c>
      <c r="Q1301" s="261">
        <v>1</v>
      </c>
      <c r="R1301" s="94"/>
    </row>
    <row r="1302" spans="1:18" x14ac:dyDescent="0.25">
      <c r="A1302" s="367">
        <v>42845</v>
      </c>
      <c r="B1302" s="367" t="s">
        <v>279</v>
      </c>
      <c r="C1302" s="279" t="s">
        <v>645</v>
      </c>
      <c r="D1302" s="159" t="s">
        <v>1126</v>
      </c>
      <c r="E1302" s="45">
        <f t="shared" si="100"/>
        <v>42845</v>
      </c>
      <c r="F1302" s="148" t="str">
        <f t="shared" si="102"/>
        <v>2016-17</v>
      </c>
      <c r="G1302" s="1"/>
      <c r="H1302" s="163"/>
      <c r="I1302" s="37"/>
      <c r="J1302" s="138">
        <f t="shared" si="101"/>
        <v>0.77968490742404351</v>
      </c>
      <c r="K1302" s="114"/>
      <c r="L1302" s="37">
        <v>3.2598191667599998</v>
      </c>
      <c r="M1302" s="37" t="s">
        <v>142</v>
      </c>
      <c r="N1302" s="37">
        <v>771.6404230243902</v>
      </c>
      <c r="O1302" s="132">
        <f t="shared" si="103"/>
        <v>2515.4082408217014</v>
      </c>
      <c r="P1302" s="134">
        <f t="shared" si="104"/>
        <v>1961.2258413787445</v>
      </c>
      <c r="Q1302" s="261">
        <v>1</v>
      </c>
      <c r="R1302" s="94"/>
    </row>
    <row r="1303" spans="1:18" x14ac:dyDescent="0.25">
      <c r="A1303" s="367">
        <v>42845</v>
      </c>
      <c r="B1303" s="367" t="s">
        <v>279</v>
      </c>
      <c r="C1303" s="279" t="s">
        <v>645</v>
      </c>
      <c r="D1303" s="159" t="s">
        <v>1126</v>
      </c>
      <c r="E1303" s="45">
        <f t="shared" ref="E1303:E1366" si="105">IF(A1303&lt;2022,DATEVALUE("30 Jun "&amp;A1303),A1303)</f>
        <v>42845</v>
      </c>
      <c r="F1303" s="148" t="str">
        <f t="shared" si="102"/>
        <v>2016-17</v>
      </c>
      <c r="G1303" s="1"/>
      <c r="H1303" s="163"/>
      <c r="I1303" s="37"/>
      <c r="J1303" s="138">
        <f t="shared" si="101"/>
        <v>0.77968490742404351</v>
      </c>
      <c r="K1303" s="114"/>
      <c r="L1303" s="37">
        <v>1.51044000212</v>
      </c>
      <c r="M1303" s="37" t="s">
        <v>142</v>
      </c>
      <c r="N1303" s="37">
        <v>771.6404230243902</v>
      </c>
      <c r="O1303" s="132">
        <f t="shared" si="103"/>
        <v>1165.5165621888375</v>
      </c>
      <c r="P1303" s="134">
        <f t="shared" si="104"/>
        <v>908.73567289139316</v>
      </c>
      <c r="Q1303" s="261">
        <v>1</v>
      </c>
      <c r="R1303" s="94"/>
    </row>
    <row r="1304" spans="1:18" x14ac:dyDescent="0.25">
      <c r="A1304" s="367">
        <v>42852</v>
      </c>
      <c r="B1304" s="367" t="s">
        <v>279</v>
      </c>
      <c r="C1304" s="279" t="s">
        <v>646</v>
      </c>
      <c r="D1304" s="159" t="s">
        <v>1127</v>
      </c>
      <c r="E1304" s="45">
        <f t="shared" si="105"/>
        <v>42852</v>
      </c>
      <c r="F1304" s="148" t="str">
        <f t="shared" si="102"/>
        <v>2016-17</v>
      </c>
      <c r="G1304" s="1"/>
      <c r="H1304" s="163"/>
      <c r="I1304" s="37"/>
      <c r="J1304" s="138">
        <f t="shared" ref="J1304:J1367" si="106">J1303</f>
        <v>0.77968490742404351</v>
      </c>
      <c r="K1304" s="114"/>
      <c r="L1304" s="37">
        <v>12.579098934299999</v>
      </c>
      <c r="M1304" s="37" t="s">
        <v>142</v>
      </c>
      <c r="N1304" s="37">
        <v>936.5640883902438</v>
      </c>
      <c r="O1304" s="132">
        <f t="shared" si="103"/>
        <v>11781.132326173367</v>
      </c>
      <c r="P1304" s="134">
        <f t="shared" si="104"/>
        <v>9185.5710670828885</v>
      </c>
      <c r="Q1304" s="261">
        <v>1</v>
      </c>
      <c r="R1304" s="94"/>
    </row>
    <row r="1305" spans="1:18" x14ac:dyDescent="0.25">
      <c r="A1305" s="367">
        <v>42852</v>
      </c>
      <c r="B1305" s="367" t="s">
        <v>279</v>
      </c>
      <c r="C1305" s="279" t="s">
        <v>646</v>
      </c>
      <c r="D1305" s="159" t="s">
        <v>1127</v>
      </c>
      <c r="E1305" s="45">
        <f t="shared" si="105"/>
        <v>42852</v>
      </c>
      <c r="F1305" s="148" t="str">
        <f t="shared" si="102"/>
        <v>2016-17</v>
      </c>
      <c r="G1305" s="1"/>
      <c r="H1305" s="163"/>
      <c r="I1305" s="37"/>
      <c r="J1305" s="138">
        <f t="shared" si="106"/>
        <v>0.77968490742404351</v>
      </c>
      <c r="K1305" s="114"/>
      <c r="L1305" s="37">
        <v>61.806703793700002</v>
      </c>
      <c r="M1305" s="37" t="s">
        <v>142</v>
      </c>
      <c r="N1305" s="37">
        <v>936.5640883902438</v>
      </c>
      <c r="O1305" s="132">
        <f t="shared" si="103"/>
        <v>57885.939194952465</v>
      </c>
      <c r="P1305" s="134">
        <f t="shared" si="104"/>
        <v>45132.793142370327</v>
      </c>
      <c r="Q1305" s="261">
        <v>1</v>
      </c>
      <c r="R1305" s="94"/>
    </row>
    <row r="1306" spans="1:18" x14ac:dyDescent="0.25">
      <c r="A1306" s="367">
        <v>42852</v>
      </c>
      <c r="B1306" s="367" t="s">
        <v>279</v>
      </c>
      <c r="C1306" s="279" t="s">
        <v>646</v>
      </c>
      <c r="D1306" s="159" t="s">
        <v>1127</v>
      </c>
      <c r="E1306" s="45">
        <f t="shared" si="105"/>
        <v>42852</v>
      </c>
      <c r="F1306" s="148" t="str">
        <f t="shared" si="102"/>
        <v>2016-17</v>
      </c>
      <c r="G1306" s="1"/>
      <c r="H1306" s="163"/>
      <c r="I1306" s="37"/>
      <c r="J1306" s="138">
        <f t="shared" si="106"/>
        <v>0.77968490742404351</v>
      </c>
      <c r="K1306" s="114"/>
      <c r="L1306" s="37">
        <v>70.216827494699999</v>
      </c>
      <c r="M1306" s="37" t="s">
        <v>142</v>
      </c>
      <c r="N1306" s="37">
        <v>936.5640883902438</v>
      </c>
      <c r="O1306" s="132">
        <f t="shared" si="103"/>
        <v>65762.559032228717</v>
      </c>
      <c r="P1306" s="134">
        <f t="shared" si="104"/>
        <v>51274.074751011445</v>
      </c>
      <c r="Q1306" s="261">
        <v>1</v>
      </c>
      <c r="R1306" s="94"/>
    </row>
    <row r="1307" spans="1:18" x14ac:dyDescent="0.25">
      <c r="A1307" s="367">
        <v>42852</v>
      </c>
      <c r="B1307" s="367" t="s">
        <v>279</v>
      </c>
      <c r="C1307" s="279" t="s">
        <v>646</v>
      </c>
      <c r="D1307" s="159" t="s">
        <v>1127</v>
      </c>
      <c r="E1307" s="45">
        <f t="shared" si="105"/>
        <v>42852</v>
      </c>
      <c r="F1307" s="148" t="str">
        <f t="shared" si="102"/>
        <v>2016-17</v>
      </c>
      <c r="G1307" s="1"/>
      <c r="H1307" s="163"/>
      <c r="I1307" s="37"/>
      <c r="J1307" s="138">
        <f t="shared" si="106"/>
        <v>0.77968490742404351</v>
      </c>
      <c r="K1307" s="114"/>
      <c r="L1307" s="37">
        <v>20.535531172100001</v>
      </c>
      <c r="M1307" s="37" t="s">
        <v>142</v>
      </c>
      <c r="N1307" s="37">
        <v>936.5640883902438</v>
      </c>
      <c r="O1307" s="132">
        <f t="shared" si="103"/>
        <v>19232.841031807271</v>
      </c>
      <c r="P1307" s="134">
        <f t="shared" si="104"/>
        <v>14995.555879385998</v>
      </c>
      <c r="Q1307" s="261">
        <v>1</v>
      </c>
      <c r="R1307" s="94"/>
    </row>
    <row r="1308" spans="1:18" x14ac:dyDescent="0.25">
      <c r="A1308" s="367">
        <v>39363</v>
      </c>
      <c r="B1308" s="367" t="s">
        <v>279</v>
      </c>
      <c r="C1308" s="279" t="s">
        <v>647</v>
      </c>
      <c r="D1308" s="159" t="s">
        <v>1128</v>
      </c>
      <c r="E1308" s="45">
        <f t="shared" si="105"/>
        <v>39363</v>
      </c>
      <c r="F1308" s="148" t="str">
        <f t="shared" si="102"/>
        <v>2007-08</v>
      </c>
      <c r="G1308" s="1"/>
      <c r="H1308" s="163"/>
      <c r="I1308" s="37"/>
      <c r="J1308" s="138">
        <f t="shared" si="106"/>
        <v>0.77968490742404351</v>
      </c>
      <c r="K1308" s="114"/>
      <c r="L1308" s="37">
        <v>7.7641183015199999</v>
      </c>
      <c r="M1308" s="37" t="s">
        <v>142</v>
      </c>
      <c r="N1308" s="37">
        <v>1128.7084557073169</v>
      </c>
      <c r="O1308" s="132">
        <f t="shared" si="103"/>
        <v>8763.425978037556</v>
      </c>
      <c r="P1308" s="134">
        <f t="shared" si="104"/>
        <v>6832.71097240367</v>
      </c>
      <c r="Q1308" s="261">
        <v>1</v>
      </c>
      <c r="R1308" s="94"/>
    </row>
    <row r="1309" spans="1:18" x14ac:dyDescent="0.25">
      <c r="A1309" s="367">
        <v>39363</v>
      </c>
      <c r="B1309" s="367" t="s">
        <v>279</v>
      </c>
      <c r="C1309" s="279" t="s">
        <v>647</v>
      </c>
      <c r="D1309" s="159" t="s">
        <v>1128</v>
      </c>
      <c r="E1309" s="45">
        <f t="shared" si="105"/>
        <v>39363</v>
      </c>
      <c r="F1309" s="148" t="str">
        <f t="shared" si="102"/>
        <v>2007-08</v>
      </c>
      <c r="G1309" s="1"/>
      <c r="H1309" s="163"/>
      <c r="I1309" s="37"/>
      <c r="J1309" s="138">
        <f t="shared" si="106"/>
        <v>0.77968490742404351</v>
      </c>
      <c r="K1309" s="114"/>
      <c r="L1309" s="37">
        <v>3.0363647341700002</v>
      </c>
      <c r="M1309" s="37" t="s">
        <v>142</v>
      </c>
      <c r="N1309" s="37">
        <v>771.6404230243902</v>
      </c>
      <c r="O1309" s="132">
        <f t="shared" si="103"/>
        <v>2342.9817679312791</v>
      </c>
      <c r="P1309" s="134">
        <f t="shared" si="104"/>
        <v>1826.7875228257212</v>
      </c>
      <c r="Q1309" s="261">
        <v>1</v>
      </c>
      <c r="R1309" s="94"/>
    </row>
    <row r="1310" spans="1:18" x14ac:dyDescent="0.25">
      <c r="A1310" s="367">
        <v>39363</v>
      </c>
      <c r="B1310" s="367" t="s">
        <v>279</v>
      </c>
      <c r="C1310" s="279" t="s">
        <v>647</v>
      </c>
      <c r="D1310" s="159" t="s">
        <v>1124</v>
      </c>
      <c r="E1310" s="45">
        <f t="shared" si="105"/>
        <v>39363</v>
      </c>
      <c r="F1310" s="148" t="str">
        <f t="shared" si="102"/>
        <v>2007-08</v>
      </c>
      <c r="G1310" s="1"/>
      <c r="H1310" s="163"/>
      <c r="I1310" s="37"/>
      <c r="J1310" s="138">
        <f t="shared" si="106"/>
        <v>0.77968490742404351</v>
      </c>
      <c r="K1310" s="114"/>
      <c r="L1310" s="37">
        <v>3.2002241018199999</v>
      </c>
      <c r="M1310" s="37" t="s">
        <v>142</v>
      </c>
      <c r="N1310" s="37">
        <v>771.6404230243902</v>
      </c>
      <c r="O1310" s="132">
        <f t="shared" si="103"/>
        <v>2469.4222797012339</v>
      </c>
      <c r="P1310" s="134">
        <f t="shared" si="104"/>
        <v>1925.3712815397271</v>
      </c>
      <c r="Q1310" s="261">
        <v>1</v>
      </c>
      <c r="R1310" s="94"/>
    </row>
    <row r="1311" spans="1:18" x14ac:dyDescent="0.25">
      <c r="A1311" s="367">
        <v>39363</v>
      </c>
      <c r="B1311" s="367" t="s">
        <v>279</v>
      </c>
      <c r="C1311" s="279" t="s">
        <v>647</v>
      </c>
      <c r="D1311" s="159" t="s">
        <v>1124</v>
      </c>
      <c r="E1311" s="45">
        <f t="shared" si="105"/>
        <v>39363</v>
      </c>
      <c r="F1311" s="148" t="str">
        <f t="shared" si="102"/>
        <v>2007-08</v>
      </c>
      <c r="G1311" s="1"/>
      <c r="H1311" s="163"/>
      <c r="I1311" s="37"/>
      <c r="J1311" s="138">
        <f t="shared" si="106"/>
        <v>0.77968490742404351</v>
      </c>
      <c r="K1311" s="114"/>
      <c r="L1311" s="37">
        <v>1.6992126717</v>
      </c>
      <c r="M1311" s="37" t="s">
        <v>142</v>
      </c>
      <c r="N1311" s="37">
        <v>771.6404230243902</v>
      </c>
      <c r="O1311" s="132">
        <f t="shared" si="103"/>
        <v>1311.1811847989923</v>
      </c>
      <c r="P1311" s="134">
        <f t="shared" si="104"/>
        <v>1022.30818068615</v>
      </c>
      <c r="Q1311" s="261">
        <v>1</v>
      </c>
      <c r="R1311" s="94"/>
    </row>
    <row r="1312" spans="1:18" x14ac:dyDescent="0.25">
      <c r="A1312" s="367">
        <v>39363</v>
      </c>
      <c r="B1312" s="367" t="s">
        <v>279</v>
      </c>
      <c r="C1312" s="279" t="s">
        <v>647</v>
      </c>
      <c r="D1312" s="159" t="s">
        <v>1124</v>
      </c>
      <c r="E1312" s="45">
        <f t="shared" si="105"/>
        <v>39363</v>
      </c>
      <c r="F1312" s="148" t="str">
        <f t="shared" si="102"/>
        <v>2007-08</v>
      </c>
      <c r="G1312" s="1"/>
      <c r="H1312" s="163"/>
      <c r="I1312" s="37"/>
      <c r="J1312" s="138">
        <f t="shared" si="106"/>
        <v>0.77968490742404351</v>
      </c>
      <c r="K1312" s="114"/>
      <c r="L1312" s="37">
        <v>7.9000276555999998</v>
      </c>
      <c r="M1312" s="37" t="s">
        <v>142</v>
      </c>
      <c r="N1312" s="37">
        <v>936.5640883902438</v>
      </c>
      <c r="O1312" s="132">
        <f t="shared" si="103"/>
        <v>7398.882199524729</v>
      </c>
      <c r="P1312" s="134">
        <f t="shared" si="104"/>
        <v>5768.7967827778421</v>
      </c>
      <c r="Q1312" s="261">
        <v>1</v>
      </c>
      <c r="R1312" s="94"/>
    </row>
    <row r="1313" spans="1:18" x14ac:dyDescent="0.25">
      <c r="A1313" s="367">
        <v>39363</v>
      </c>
      <c r="B1313" s="367" t="s">
        <v>279</v>
      </c>
      <c r="C1313" s="279" t="s">
        <v>647</v>
      </c>
      <c r="D1313" s="159" t="s">
        <v>1124</v>
      </c>
      <c r="E1313" s="45">
        <f t="shared" si="105"/>
        <v>39363</v>
      </c>
      <c r="F1313" s="148" t="str">
        <f t="shared" si="102"/>
        <v>2007-08</v>
      </c>
      <c r="G1313" s="1"/>
      <c r="H1313" s="163"/>
      <c r="I1313" s="37"/>
      <c r="J1313" s="138">
        <f t="shared" si="106"/>
        <v>0.77968490742404351</v>
      </c>
      <c r="K1313" s="114"/>
      <c r="L1313" s="37">
        <v>1.19990832983</v>
      </c>
      <c r="M1313" s="37" t="s">
        <v>142</v>
      </c>
      <c r="N1313" s="37">
        <v>936.5640883902438</v>
      </c>
      <c r="O1313" s="132">
        <f t="shared" si="103"/>
        <v>1123.7910510790939</v>
      </c>
      <c r="P1313" s="134">
        <f t="shared" si="104"/>
        <v>876.2029216245719</v>
      </c>
      <c r="Q1313" s="261">
        <v>1</v>
      </c>
      <c r="R1313" s="94"/>
    </row>
    <row r="1314" spans="1:18" x14ac:dyDescent="0.25">
      <c r="A1314" s="367">
        <v>39363</v>
      </c>
      <c r="B1314" s="367" t="s">
        <v>279</v>
      </c>
      <c r="C1314" s="279" t="s">
        <v>647</v>
      </c>
      <c r="D1314" s="159" t="s">
        <v>1124</v>
      </c>
      <c r="E1314" s="45">
        <f t="shared" si="105"/>
        <v>39363</v>
      </c>
      <c r="F1314" s="148" t="str">
        <f t="shared" si="102"/>
        <v>2007-08</v>
      </c>
      <c r="G1314" s="1"/>
      <c r="H1314" s="163"/>
      <c r="I1314" s="37"/>
      <c r="J1314" s="138">
        <f t="shared" si="106"/>
        <v>0.77968490742404351</v>
      </c>
      <c r="K1314" s="114"/>
      <c r="L1314" s="37">
        <v>3.0550973797899998</v>
      </c>
      <c r="M1314" s="37" t="s">
        <v>142</v>
      </c>
      <c r="N1314" s="37">
        <v>771.6404230243902</v>
      </c>
      <c r="O1314" s="132">
        <f t="shared" si="103"/>
        <v>2357.4366345218614</v>
      </c>
      <c r="P1314" s="134">
        <f t="shared" si="104"/>
        <v>1838.0577641452262</v>
      </c>
      <c r="Q1314" s="261">
        <v>1</v>
      </c>
      <c r="R1314" s="94"/>
    </row>
    <row r="1315" spans="1:18" x14ac:dyDescent="0.25">
      <c r="A1315" s="367">
        <v>39363</v>
      </c>
      <c r="B1315" s="367" t="s">
        <v>279</v>
      </c>
      <c r="C1315" s="279" t="s">
        <v>647</v>
      </c>
      <c r="D1315" s="159" t="s">
        <v>1128</v>
      </c>
      <c r="E1315" s="45">
        <f t="shared" si="105"/>
        <v>39363</v>
      </c>
      <c r="F1315" s="148" t="str">
        <f t="shared" si="102"/>
        <v>2007-08</v>
      </c>
      <c r="G1315" s="1"/>
      <c r="H1315" s="163"/>
      <c r="I1315" s="37"/>
      <c r="J1315" s="138">
        <f t="shared" si="106"/>
        <v>0.77968490742404351</v>
      </c>
      <c r="K1315" s="114"/>
      <c r="L1315" s="37">
        <v>1.9989962481200001</v>
      </c>
      <c r="M1315" s="37" t="s">
        <v>142</v>
      </c>
      <c r="N1315" s="37">
        <v>1422.8419512195119</v>
      </c>
      <c r="O1315" s="132">
        <f t="shared" si="103"/>
        <v>2844.2557221555444</v>
      </c>
      <c r="P1315" s="134">
        <f t="shared" si="104"/>
        <v>2217.6232594191515</v>
      </c>
      <c r="Q1315" s="261">
        <v>1</v>
      </c>
      <c r="R1315" s="94"/>
    </row>
    <row r="1316" spans="1:18" x14ac:dyDescent="0.25">
      <c r="A1316" s="367">
        <v>39508</v>
      </c>
      <c r="B1316" s="367" t="s">
        <v>279</v>
      </c>
      <c r="C1316" s="279" t="s">
        <v>637</v>
      </c>
      <c r="D1316" s="159" t="s">
        <v>1122</v>
      </c>
      <c r="E1316" s="45">
        <f t="shared" si="105"/>
        <v>39508</v>
      </c>
      <c r="F1316" s="148" t="str">
        <f t="shared" si="102"/>
        <v>2007-08</v>
      </c>
      <c r="G1316" s="1"/>
      <c r="H1316" s="163"/>
      <c r="I1316" s="37"/>
      <c r="J1316" s="138">
        <f t="shared" si="106"/>
        <v>0.77968490742404351</v>
      </c>
      <c r="K1316" s="114"/>
      <c r="L1316" s="37">
        <v>173.00943832999999</v>
      </c>
      <c r="M1316" s="37" t="s">
        <v>142</v>
      </c>
      <c r="N1316" s="37">
        <v>1385.4167692682922</v>
      </c>
      <c r="O1316" s="132">
        <f t="shared" si="103"/>
        <v>239690.17710407043</v>
      </c>
      <c r="P1316" s="134">
        <f t="shared" si="104"/>
        <v>186882.81354583974</v>
      </c>
      <c r="Q1316" s="261">
        <v>1</v>
      </c>
      <c r="R1316" s="94"/>
    </row>
    <row r="1317" spans="1:18" x14ac:dyDescent="0.25">
      <c r="A1317" s="367">
        <v>40793</v>
      </c>
      <c r="B1317" s="367" t="s">
        <v>279</v>
      </c>
      <c r="C1317" s="279" t="s">
        <v>648</v>
      </c>
      <c r="D1317" s="159" t="s">
        <v>1122</v>
      </c>
      <c r="E1317" s="45">
        <f t="shared" si="105"/>
        <v>40793</v>
      </c>
      <c r="F1317" s="148" t="str">
        <f t="shared" si="102"/>
        <v>2011-12</v>
      </c>
      <c r="G1317" s="1"/>
      <c r="H1317" s="163"/>
      <c r="I1317" s="37"/>
      <c r="J1317" s="138">
        <f t="shared" si="106"/>
        <v>0.77968490742404351</v>
      </c>
      <c r="K1317" s="114"/>
      <c r="L1317" s="37">
        <v>3.4415120613300001</v>
      </c>
      <c r="M1317" s="37" t="s">
        <v>142</v>
      </c>
      <c r="N1317" s="37">
        <v>696.6467060487804</v>
      </c>
      <c r="O1317" s="132">
        <f t="shared" si="103"/>
        <v>2397.5180413526928</v>
      </c>
      <c r="P1317" s="134">
        <f t="shared" si="104"/>
        <v>1869.3086321195483</v>
      </c>
      <c r="Q1317" s="261">
        <v>1</v>
      </c>
      <c r="R1317" s="94"/>
    </row>
    <row r="1318" spans="1:18" x14ac:dyDescent="0.25">
      <c r="A1318" s="367">
        <v>40793</v>
      </c>
      <c r="B1318" s="367" t="s">
        <v>279</v>
      </c>
      <c r="C1318" s="279" t="s">
        <v>648</v>
      </c>
      <c r="D1318" s="159" t="s">
        <v>1122</v>
      </c>
      <c r="E1318" s="45">
        <f t="shared" si="105"/>
        <v>40793</v>
      </c>
      <c r="F1318" s="148" t="str">
        <f t="shared" si="102"/>
        <v>2011-12</v>
      </c>
      <c r="G1318" s="1"/>
      <c r="H1318" s="163"/>
      <c r="I1318" s="37"/>
      <c r="J1318" s="138">
        <f t="shared" si="106"/>
        <v>0.77968490742404351</v>
      </c>
      <c r="K1318" s="114"/>
      <c r="L1318" s="37">
        <v>2.8162042326300001</v>
      </c>
      <c r="M1318" s="37" t="s">
        <v>142</v>
      </c>
      <c r="N1318" s="37">
        <v>696.6467060487804</v>
      </c>
      <c r="O1318" s="132">
        <f t="shared" si="103"/>
        <v>1961.8994022223228</v>
      </c>
      <c r="P1318" s="134">
        <f t="shared" si="104"/>
        <v>1529.6633537969981</v>
      </c>
      <c r="Q1318" s="261">
        <v>1</v>
      </c>
      <c r="R1318" s="94"/>
    </row>
    <row r="1319" spans="1:18" x14ac:dyDescent="0.25">
      <c r="A1319" s="367">
        <v>40793</v>
      </c>
      <c r="B1319" s="367" t="s">
        <v>279</v>
      </c>
      <c r="C1319" s="279" t="s">
        <v>648</v>
      </c>
      <c r="D1319" s="159" t="s">
        <v>1122</v>
      </c>
      <c r="E1319" s="45">
        <f t="shared" si="105"/>
        <v>40793</v>
      </c>
      <c r="F1319" s="148" t="str">
        <f t="shared" si="102"/>
        <v>2011-12</v>
      </c>
      <c r="G1319" s="1"/>
      <c r="H1319" s="163"/>
      <c r="I1319" s="37"/>
      <c r="J1319" s="138">
        <f t="shared" si="106"/>
        <v>0.77968490742404351</v>
      </c>
      <c r="K1319" s="114"/>
      <c r="L1319" s="37">
        <v>4.1944508954500002</v>
      </c>
      <c r="M1319" s="37" t="s">
        <v>142</v>
      </c>
      <c r="N1319" s="37">
        <v>696.6467060487804</v>
      </c>
      <c r="O1319" s="132">
        <f t="shared" si="103"/>
        <v>2922.0503999985999</v>
      </c>
      <c r="P1319" s="134">
        <f t="shared" si="104"/>
        <v>2278.2785956112975</v>
      </c>
      <c r="Q1319" s="261">
        <v>1</v>
      </c>
      <c r="R1319" s="94"/>
    </row>
    <row r="1320" spans="1:18" x14ac:dyDescent="0.25">
      <c r="A1320" s="367">
        <v>39508</v>
      </c>
      <c r="B1320" s="367" t="s">
        <v>279</v>
      </c>
      <c r="C1320" s="279" t="s">
        <v>637</v>
      </c>
      <c r="D1320" s="159" t="s">
        <v>1122</v>
      </c>
      <c r="E1320" s="45">
        <f t="shared" si="105"/>
        <v>39508</v>
      </c>
      <c r="F1320" s="148" t="str">
        <f t="shared" si="102"/>
        <v>2007-08</v>
      </c>
      <c r="G1320" s="1"/>
      <c r="H1320" s="163"/>
      <c r="I1320" s="37"/>
      <c r="J1320" s="138">
        <f t="shared" si="106"/>
        <v>0.77968490742404351</v>
      </c>
      <c r="K1320" s="114"/>
      <c r="L1320" s="37">
        <v>133.904688881</v>
      </c>
      <c r="M1320" s="37" t="s">
        <v>142</v>
      </c>
      <c r="N1320" s="37">
        <v>1385.4167692682922</v>
      </c>
      <c r="O1320" s="132">
        <f t="shared" si="103"/>
        <v>185513.80145939084</v>
      </c>
      <c r="P1320" s="134">
        <f t="shared" si="104"/>
        <v>144642.31111674753</v>
      </c>
      <c r="Q1320" s="261">
        <v>1</v>
      </c>
      <c r="R1320" s="94"/>
    </row>
    <row r="1321" spans="1:18" x14ac:dyDescent="0.25">
      <c r="A1321" s="367">
        <v>39508</v>
      </c>
      <c r="B1321" s="367" t="s">
        <v>279</v>
      </c>
      <c r="C1321" s="279" t="s">
        <v>637</v>
      </c>
      <c r="D1321" s="159" t="s">
        <v>1122</v>
      </c>
      <c r="E1321" s="45">
        <f t="shared" si="105"/>
        <v>39508</v>
      </c>
      <c r="F1321" s="148" t="str">
        <f t="shared" si="102"/>
        <v>2007-08</v>
      </c>
      <c r="G1321" s="1"/>
      <c r="H1321" s="163"/>
      <c r="I1321" s="37"/>
      <c r="J1321" s="138">
        <f t="shared" si="106"/>
        <v>0.77968490742404351</v>
      </c>
      <c r="K1321" s="114"/>
      <c r="L1321" s="37">
        <v>5.3766719260200002</v>
      </c>
      <c r="M1321" s="37" t="s">
        <v>142</v>
      </c>
      <c r="N1321" s="37">
        <v>696.6467060487804</v>
      </c>
      <c r="O1321" s="132">
        <f t="shared" si="103"/>
        <v>3745.6407867667849</v>
      </c>
      <c r="P1321" s="134">
        <f t="shared" si="104"/>
        <v>2920.4195900739824</v>
      </c>
      <c r="Q1321" s="261">
        <v>1</v>
      </c>
      <c r="R1321" s="94"/>
    </row>
    <row r="1322" spans="1:18" x14ac:dyDescent="0.25">
      <c r="A1322" s="367">
        <v>39508</v>
      </c>
      <c r="B1322" s="367" t="s">
        <v>279</v>
      </c>
      <c r="C1322" s="279" t="s">
        <v>637</v>
      </c>
      <c r="D1322" s="159" t="s">
        <v>1122</v>
      </c>
      <c r="E1322" s="45">
        <f t="shared" si="105"/>
        <v>39508</v>
      </c>
      <c r="F1322" s="148" t="str">
        <f t="shared" si="102"/>
        <v>2007-08</v>
      </c>
      <c r="G1322" s="1"/>
      <c r="H1322" s="163"/>
      <c r="I1322" s="37"/>
      <c r="J1322" s="138">
        <f t="shared" si="106"/>
        <v>0.77968490742404351</v>
      </c>
      <c r="K1322" s="114"/>
      <c r="L1322" s="37">
        <v>3.50046411209</v>
      </c>
      <c r="M1322" s="37" t="s">
        <v>142</v>
      </c>
      <c r="N1322" s="37">
        <v>1003.0093919999996</v>
      </c>
      <c r="O1322" s="132">
        <f t="shared" si="103"/>
        <v>3510.9983807852095</v>
      </c>
      <c r="P1322" s="134">
        <f t="shared" si="104"/>
        <v>2737.4724474884829</v>
      </c>
      <c r="Q1322" s="261">
        <v>1</v>
      </c>
      <c r="R1322" s="94"/>
    </row>
    <row r="1323" spans="1:18" x14ac:dyDescent="0.25">
      <c r="A1323" s="367">
        <v>39508</v>
      </c>
      <c r="B1323" s="367" t="s">
        <v>279</v>
      </c>
      <c r="C1323" s="279" t="s">
        <v>637</v>
      </c>
      <c r="D1323" s="159" t="s">
        <v>1122</v>
      </c>
      <c r="E1323" s="45">
        <f t="shared" si="105"/>
        <v>39508</v>
      </c>
      <c r="F1323" s="148" t="str">
        <f t="shared" si="102"/>
        <v>2007-08</v>
      </c>
      <c r="G1323" s="1"/>
      <c r="H1323" s="163"/>
      <c r="I1323" s="37"/>
      <c r="J1323" s="138">
        <f t="shared" si="106"/>
        <v>0.77968490742404351</v>
      </c>
      <c r="K1323" s="114"/>
      <c r="L1323" s="37">
        <v>1.50038528385</v>
      </c>
      <c r="M1323" s="37" t="s">
        <v>142</v>
      </c>
      <c r="N1323" s="37">
        <v>696.6467060487804</v>
      </c>
      <c r="O1323" s="132">
        <f t="shared" si="103"/>
        <v>1045.238465798167</v>
      </c>
      <c r="P1323" s="134">
        <f t="shared" si="104"/>
        <v>814.95665644189307</v>
      </c>
      <c r="Q1323" s="261">
        <v>1</v>
      </c>
      <c r="R1323" s="94"/>
    </row>
    <row r="1324" spans="1:18" x14ac:dyDescent="0.25">
      <c r="A1324" s="367">
        <v>39508</v>
      </c>
      <c r="B1324" s="367" t="s">
        <v>279</v>
      </c>
      <c r="C1324" s="279" t="s">
        <v>637</v>
      </c>
      <c r="D1324" s="159" t="s">
        <v>1122</v>
      </c>
      <c r="E1324" s="45">
        <f t="shared" si="105"/>
        <v>39508</v>
      </c>
      <c r="F1324" s="148" t="str">
        <f t="shared" si="102"/>
        <v>2007-08</v>
      </c>
      <c r="G1324" s="1"/>
      <c r="H1324" s="163"/>
      <c r="I1324" s="37"/>
      <c r="J1324" s="138">
        <f t="shared" si="106"/>
        <v>0.77968490742404351</v>
      </c>
      <c r="K1324" s="114"/>
      <c r="L1324" s="37">
        <v>1.20001499991</v>
      </c>
      <c r="M1324" s="37" t="s">
        <v>142</v>
      </c>
      <c r="N1324" s="37">
        <v>1181.2618378536583</v>
      </c>
      <c r="O1324" s="132">
        <f t="shared" si="103"/>
        <v>1417.5319242456444</v>
      </c>
      <c r="P1324" s="134">
        <f t="shared" si="104"/>
        <v>1105.2282471260914</v>
      </c>
      <c r="Q1324" s="261">
        <v>1</v>
      </c>
      <c r="R1324" s="94"/>
    </row>
    <row r="1325" spans="1:18" x14ac:dyDescent="0.25">
      <c r="A1325" s="367">
        <v>39508</v>
      </c>
      <c r="B1325" s="367" t="s">
        <v>279</v>
      </c>
      <c r="C1325" s="279" t="s">
        <v>637</v>
      </c>
      <c r="D1325" s="159" t="s">
        <v>1122</v>
      </c>
      <c r="E1325" s="45">
        <f t="shared" si="105"/>
        <v>39508</v>
      </c>
      <c r="F1325" s="148" t="str">
        <f t="shared" si="102"/>
        <v>2007-08</v>
      </c>
      <c r="G1325" s="1"/>
      <c r="H1325" s="163"/>
      <c r="I1325" s="37"/>
      <c r="J1325" s="138">
        <f t="shared" si="106"/>
        <v>0.77968490742404351</v>
      </c>
      <c r="K1325" s="114"/>
      <c r="L1325" s="37">
        <v>1.2000599985</v>
      </c>
      <c r="M1325" s="37" t="s">
        <v>142</v>
      </c>
      <c r="N1325" s="37">
        <v>696.6467060487804</v>
      </c>
      <c r="O1325" s="132">
        <f t="shared" si="103"/>
        <v>836.01784501592931</v>
      </c>
      <c r="P1325" s="134">
        <f t="shared" si="104"/>
        <v>651.83049609609316</v>
      </c>
      <c r="Q1325" s="261">
        <v>1</v>
      </c>
      <c r="R1325" s="94"/>
    </row>
    <row r="1326" spans="1:18" x14ac:dyDescent="0.25">
      <c r="A1326" s="367">
        <v>39508</v>
      </c>
      <c r="B1326" s="367" t="s">
        <v>279</v>
      </c>
      <c r="C1326" s="279" t="s">
        <v>637</v>
      </c>
      <c r="D1326" s="159" t="s">
        <v>1122</v>
      </c>
      <c r="E1326" s="45">
        <f t="shared" si="105"/>
        <v>39508</v>
      </c>
      <c r="F1326" s="148" t="str">
        <f t="shared" si="102"/>
        <v>2007-08</v>
      </c>
      <c r="G1326" s="1"/>
      <c r="H1326" s="163"/>
      <c r="I1326" s="37"/>
      <c r="J1326" s="138">
        <f t="shared" si="106"/>
        <v>0.77968490742404351</v>
      </c>
      <c r="K1326" s="114"/>
      <c r="L1326" s="37">
        <v>132.53348602099999</v>
      </c>
      <c r="M1326" s="37" t="s">
        <v>142</v>
      </c>
      <c r="N1326" s="37">
        <v>1385.4167692682922</v>
      </c>
      <c r="O1326" s="132">
        <f t="shared" si="103"/>
        <v>183614.11402307817</v>
      </c>
      <c r="P1326" s="134">
        <f t="shared" si="104"/>
        <v>143161.15349383149</v>
      </c>
      <c r="Q1326" s="261">
        <v>1</v>
      </c>
      <c r="R1326" s="94"/>
    </row>
    <row r="1327" spans="1:18" x14ac:dyDescent="0.25">
      <c r="A1327" s="367">
        <v>39508</v>
      </c>
      <c r="B1327" s="367" t="s">
        <v>279</v>
      </c>
      <c r="C1327" s="279" t="s">
        <v>637</v>
      </c>
      <c r="D1327" s="159" t="s">
        <v>1122</v>
      </c>
      <c r="E1327" s="45">
        <f t="shared" si="105"/>
        <v>39508</v>
      </c>
      <c r="F1327" s="148" t="str">
        <f t="shared" si="102"/>
        <v>2007-08</v>
      </c>
      <c r="G1327" s="1"/>
      <c r="H1327" s="163"/>
      <c r="I1327" s="37"/>
      <c r="J1327" s="138">
        <f t="shared" si="106"/>
        <v>0.77968490742404351</v>
      </c>
      <c r="K1327" s="114"/>
      <c r="L1327" s="37">
        <v>1.2003070440500001</v>
      </c>
      <c r="M1327" s="37" t="s">
        <v>142</v>
      </c>
      <c r="N1327" s="37">
        <v>696.6467060487804</v>
      </c>
      <c r="O1327" s="132">
        <f t="shared" si="103"/>
        <v>836.1899484845809</v>
      </c>
      <c r="P1327" s="134">
        <f t="shared" si="104"/>
        <v>651.96468257311619</v>
      </c>
      <c r="Q1327" s="261">
        <v>1</v>
      </c>
      <c r="R1327" s="94"/>
    </row>
    <row r="1328" spans="1:18" x14ac:dyDescent="0.25">
      <c r="A1328" s="367">
        <v>39508</v>
      </c>
      <c r="B1328" s="367" t="s">
        <v>279</v>
      </c>
      <c r="C1328" s="279" t="s">
        <v>637</v>
      </c>
      <c r="D1328" s="159" t="s">
        <v>1122</v>
      </c>
      <c r="E1328" s="45">
        <f t="shared" si="105"/>
        <v>39508</v>
      </c>
      <c r="F1328" s="148" t="str">
        <f t="shared" si="102"/>
        <v>2007-08</v>
      </c>
      <c r="G1328" s="1"/>
      <c r="H1328" s="163"/>
      <c r="I1328" s="37"/>
      <c r="J1328" s="138">
        <f t="shared" si="106"/>
        <v>0.77968490742404351</v>
      </c>
      <c r="K1328" s="114"/>
      <c r="L1328" s="37">
        <v>1.90019183242</v>
      </c>
      <c r="M1328" s="37" t="s">
        <v>142</v>
      </c>
      <c r="N1328" s="37">
        <v>696.6467060487804</v>
      </c>
      <c r="O1328" s="132">
        <f t="shared" si="103"/>
        <v>1323.7623809161892</v>
      </c>
      <c r="P1328" s="134">
        <f t="shared" si="104"/>
        <v>1032.1175494160705</v>
      </c>
      <c r="Q1328" s="261">
        <v>1</v>
      </c>
      <c r="R1328" s="94"/>
    </row>
    <row r="1329" spans="1:18" x14ac:dyDescent="0.25">
      <c r="A1329" s="367">
        <v>39508</v>
      </c>
      <c r="B1329" s="367" t="s">
        <v>279</v>
      </c>
      <c r="C1329" s="279" t="s">
        <v>637</v>
      </c>
      <c r="D1329" s="159" t="s">
        <v>1122</v>
      </c>
      <c r="E1329" s="45">
        <f t="shared" si="105"/>
        <v>39508</v>
      </c>
      <c r="F1329" s="148" t="str">
        <f t="shared" si="102"/>
        <v>2007-08</v>
      </c>
      <c r="G1329" s="1"/>
      <c r="H1329" s="163"/>
      <c r="I1329" s="37"/>
      <c r="J1329" s="138">
        <f t="shared" si="106"/>
        <v>0.77968490742404351</v>
      </c>
      <c r="K1329" s="114"/>
      <c r="L1329" s="37">
        <v>1.2002016497200001</v>
      </c>
      <c r="M1329" s="37" t="s">
        <v>142</v>
      </c>
      <c r="N1329" s="37">
        <v>696.6467060487804</v>
      </c>
      <c r="O1329" s="132">
        <f t="shared" si="103"/>
        <v>836.11652587175024</v>
      </c>
      <c r="P1329" s="134">
        <f t="shared" si="104"/>
        <v>651.90743607002844</v>
      </c>
      <c r="Q1329" s="261">
        <v>1</v>
      </c>
      <c r="R1329" s="94"/>
    </row>
    <row r="1330" spans="1:18" x14ac:dyDescent="0.25">
      <c r="A1330" s="367">
        <v>39508</v>
      </c>
      <c r="B1330" s="367" t="s">
        <v>279</v>
      </c>
      <c r="C1330" s="279" t="s">
        <v>637</v>
      </c>
      <c r="D1330" s="159" t="s">
        <v>1122</v>
      </c>
      <c r="E1330" s="45">
        <f t="shared" si="105"/>
        <v>39508</v>
      </c>
      <c r="F1330" s="148" t="str">
        <f t="shared" si="102"/>
        <v>2007-08</v>
      </c>
      <c r="G1330" s="1"/>
      <c r="H1330" s="163"/>
      <c r="I1330" s="37"/>
      <c r="J1330" s="138">
        <f t="shared" si="106"/>
        <v>0.77968490742404351</v>
      </c>
      <c r="K1330" s="114"/>
      <c r="L1330" s="37">
        <v>1.2000266663700001</v>
      </c>
      <c r="M1330" s="37" t="s">
        <v>142</v>
      </c>
      <c r="N1330" s="37">
        <v>696.6467060487804</v>
      </c>
      <c r="O1330" s="132">
        <f t="shared" si="103"/>
        <v>835.99462429735934</v>
      </c>
      <c r="P1330" s="134">
        <f t="shared" si="104"/>
        <v>651.81239125228467</v>
      </c>
      <c r="Q1330" s="261">
        <v>1</v>
      </c>
      <c r="R1330" s="94"/>
    </row>
    <row r="1331" spans="1:18" x14ac:dyDescent="0.25">
      <c r="A1331" s="367">
        <v>40406</v>
      </c>
      <c r="B1331" s="367" t="s">
        <v>279</v>
      </c>
      <c r="C1331" s="279" t="s">
        <v>637</v>
      </c>
      <c r="D1331" s="159" t="s">
        <v>1122</v>
      </c>
      <c r="E1331" s="45">
        <f t="shared" si="105"/>
        <v>40406</v>
      </c>
      <c r="F1331" s="148" t="str">
        <f t="shared" si="102"/>
        <v>2010-11</v>
      </c>
      <c r="G1331" s="1"/>
      <c r="H1331" s="163"/>
      <c r="I1331" s="37"/>
      <c r="J1331" s="138">
        <f t="shared" si="106"/>
        <v>0.77968490742404351</v>
      </c>
      <c r="K1331" s="114"/>
      <c r="L1331" s="37">
        <v>13.380182659300001</v>
      </c>
      <c r="M1331" s="37" t="s">
        <v>142</v>
      </c>
      <c r="N1331" s="37">
        <v>696.6467060487804</v>
      </c>
      <c r="O1331" s="132">
        <f t="shared" si="103"/>
        <v>9321.260175932357</v>
      </c>
      <c r="P1331" s="134">
        <f t="shared" si="104"/>
        <v>7267.6458773472432</v>
      </c>
      <c r="Q1331" s="261">
        <v>1</v>
      </c>
      <c r="R1331" s="94"/>
    </row>
    <row r="1332" spans="1:18" x14ac:dyDescent="0.25">
      <c r="A1332" s="367">
        <v>40406</v>
      </c>
      <c r="B1332" s="367" t="s">
        <v>279</v>
      </c>
      <c r="C1332" s="279" t="s">
        <v>637</v>
      </c>
      <c r="D1332" s="159" t="s">
        <v>1122</v>
      </c>
      <c r="E1332" s="45">
        <f t="shared" si="105"/>
        <v>40406</v>
      </c>
      <c r="F1332" s="148" t="str">
        <f t="shared" si="102"/>
        <v>2010-11</v>
      </c>
      <c r="G1332" s="1"/>
      <c r="H1332" s="163"/>
      <c r="I1332" s="37"/>
      <c r="J1332" s="138">
        <f t="shared" si="106"/>
        <v>0.77968490742404351</v>
      </c>
      <c r="K1332" s="114"/>
      <c r="L1332" s="37">
        <v>1.49936319816</v>
      </c>
      <c r="M1332" s="37" t="s">
        <v>142</v>
      </c>
      <c r="N1332" s="37">
        <v>936.5640883902438</v>
      </c>
      <c r="O1332" s="132">
        <f t="shared" si="103"/>
        <v>1404.2497268506008</v>
      </c>
      <c r="P1332" s="134">
        <f t="shared" si="104"/>
        <v>1094.8723182797492</v>
      </c>
      <c r="Q1332" s="261">
        <v>1</v>
      </c>
      <c r="R1332" s="94"/>
    </row>
    <row r="1333" spans="1:18" x14ac:dyDescent="0.25">
      <c r="A1333" s="367">
        <v>40406</v>
      </c>
      <c r="B1333" s="367" t="s">
        <v>279</v>
      </c>
      <c r="C1333" s="279" t="s">
        <v>637</v>
      </c>
      <c r="D1333" s="159" t="s">
        <v>1122</v>
      </c>
      <c r="E1333" s="45">
        <f t="shared" si="105"/>
        <v>40406</v>
      </c>
      <c r="F1333" s="148" t="str">
        <f t="shared" si="102"/>
        <v>2010-11</v>
      </c>
      <c r="G1333" s="1"/>
      <c r="H1333" s="163"/>
      <c r="I1333" s="37"/>
      <c r="J1333" s="138">
        <f t="shared" si="106"/>
        <v>0.77968490742404351</v>
      </c>
      <c r="K1333" s="114"/>
      <c r="L1333" s="37">
        <v>3.2526495355899998</v>
      </c>
      <c r="M1333" s="37" t="s">
        <v>142</v>
      </c>
      <c r="N1333" s="37">
        <v>936.5640883902438</v>
      </c>
      <c r="O1333" s="132">
        <f t="shared" si="103"/>
        <v>3046.3147471527982</v>
      </c>
      <c r="P1333" s="134">
        <f t="shared" si="104"/>
        <v>2375.165631618328</v>
      </c>
      <c r="Q1333" s="261">
        <v>1</v>
      </c>
      <c r="R1333" s="94"/>
    </row>
    <row r="1334" spans="1:18" x14ac:dyDescent="0.25">
      <c r="A1334" s="367">
        <v>40406</v>
      </c>
      <c r="B1334" s="367" t="s">
        <v>279</v>
      </c>
      <c r="C1334" s="279" t="s">
        <v>637</v>
      </c>
      <c r="D1334" s="159" t="s">
        <v>1122</v>
      </c>
      <c r="E1334" s="45">
        <f t="shared" si="105"/>
        <v>40406</v>
      </c>
      <c r="F1334" s="148" t="str">
        <f t="shared" si="102"/>
        <v>2010-11</v>
      </c>
      <c r="G1334" s="1"/>
      <c r="H1334" s="163"/>
      <c r="I1334" s="37"/>
      <c r="J1334" s="138">
        <f t="shared" si="106"/>
        <v>0.77968490742404351</v>
      </c>
      <c r="K1334" s="114"/>
      <c r="L1334" s="37">
        <v>1.200239976</v>
      </c>
      <c r="M1334" s="37" t="s">
        <v>142</v>
      </c>
      <c r="N1334" s="37">
        <v>696.6467060487804</v>
      </c>
      <c r="O1334" s="132">
        <f t="shared" si="103"/>
        <v>836.14322574846722</v>
      </c>
      <c r="P1334" s="134">
        <f t="shared" si="104"/>
        <v>651.92825356093476</v>
      </c>
      <c r="Q1334" s="261">
        <v>1</v>
      </c>
      <c r="R1334" s="94"/>
    </row>
    <row r="1335" spans="1:18" x14ac:dyDescent="0.25">
      <c r="A1335" s="367">
        <v>40406</v>
      </c>
      <c r="B1335" s="367" t="s">
        <v>279</v>
      </c>
      <c r="C1335" s="279" t="s">
        <v>637</v>
      </c>
      <c r="D1335" s="159" t="s">
        <v>1122</v>
      </c>
      <c r="E1335" s="45">
        <f t="shared" si="105"/>
        <v>40406</v>
      </c>
      <c r="F1335" s="148" t="str">
        <f t="shared" si="102"/>
        <v>2010-11</v>
      </c>
      <c r="G1335" s="1"/>
      <c r="H1335" s="163"/>
      <c r="I1335" s="37"/>
      <c r="J1335" s="138">
        <f t="shared" si="106"/>
        <v>0.77968490742404351</v>
      </c>
      <c r="K1335" s="114"/>
      <c r="L1335" s="37">
        <v>1.4994322258799999</v>
      </c>
      <c r="M1335" s="37" t="s">
        <v>142</v>
      </c>
      <c r="N1335" s="37">
        <v>1128.7084557073169</v>
      </c>
      <c r="O1335" s="132">
        <f t="shared" si="103"/>
        <v>1692.4218321107996</v>
      </c>
      <c r="P1335" s="134">
        <f t="shared" si="104"/>
        <v>1319.5557594917389</v>
      </c>
      <c r="Q1335" s="261">
        <v>1</v>
      </c>
      <c r="R1335" s="94"/>
    </row>
    <row r="1336" spans="1:18" x14ac:dyDescent="0.25">
      <c r="A1336" s="367">
        <v>40406</v>
      </c>
      <c r="B1336" s="367" t="s">
        <v>279</v>
      </c>
      <c r="C1336" s="279" t="s">
        <v>637</v>
      </c>
      <c r="D1336" s="159" t="s">
        <v>1122</v>
      </c>
      <c r="E1336" s="45">
        <f t="shared" si="105"/>
        <v>40406</v>
      </c>
      <c r="F1336" s="148" t="str">
        <f t="shared" si="102"/>
        <v>2010-11</v>
      </c>
      <c r="G1336" s="1"/>
      <c r="H1336" s="163"/>
      <c r="I1336" s="37"/>
      <c r="J1336" s="138">
        <f t="shared" si="106"/>
        <v>0.77968490742404351</v>
      </c>
      <c r="K1336" s="114"/>
      <c r="L1336" s="37">
        <v>5.97247092919</v>
      </c>
      <c r="M1336" s="37" t="s">
        <v>142</v>
      </c>
      <c r="N1336" s="37">
        <v>1128.7084557073169</v>
      </c>
      <c r="O1336" s="132">
        <f t="shared" si="103"/>
        <v>6741.178439242889</v>
      </c>
      <c r="P1336" s="134">
        <f t="shared" si="104"/>
        <v>5255.9950873300504</v>
      </c>
      <c r="Q1336" s="261">
        <v>1</v>
      </c>
      <c r="R1336" s="94"/>
    </row>
    <row r="1337" spans="1:18" x14ac:dyDescent="0.25">
      <c r="A1337" s="367">
        <v>43166</v>
      </c>
      <c r="B1337" s="367" t="s">
        <v>279</v>
      </c>
      <c r="C1337" s="279" t="s">
        <v>649</v>
      </c>
      <c r="D1337" s="159" t="s">
        <v>1129</v>
      </c>
      <c r="E1337" s="45">
        <f t="shared" si="105"/>
        <v>43166</v>
      </c>
      <c r="F1337" s="148" t="str">
        <f t="shared" si="102"/>
        <v>2017-18</v>
      </c>
      <c r="G1337" s="1"/>
      <c r="H1337" s="163"/>
      <c r="I1337" s="37"/>
      <c r="J1337" s="138">
        <f t="shared" si="106"/>
        <v>0.77968490742404351</v>
      </c>
      <c r="K1337" s="114"/>
      <c r="L1337" s="37">
        <v>16.9095367766</v>
      </c>
      <c r="M1337" s="37" t="s">
        <v>142</v>
      </c>
      <c r="N1337" s="37">
        <v>771.6404230243902</v>
      </c>
      <c r="O1337" s="132">
        <f t="shared" si="103"/>
        <v>13048.082111442107</v>
      </c>
      <c r="P1337" s="134">
        <f t="shared" si="104"/>
        <v>10173.392693121057</v>
      </c>
      <c r="Q1337" s="261">
        <v>1</v>
      </c>
      <c r="R1337" s="94"/>
    </row>
    <row r="1338" spans="1:18" x14ac:dyDescent="0.25">
      <c r="A1338" s="367">
        <v>39363</v>
      </c>
      <c r="B1338" s="367" t="s">
        <v>279</v>
      </c>
      <c r="C1338" s="279" t="s">
        <v>647</v>
      </c>
      <c r="D1338" s="159" t="s">
        <v>1128</v>
      </c>
      <c r="E1338" s="45">
        <f t="shared" si="105"/>
        <v>39363</v>
      </c>
      <c r="F1338" s="148" t="str">
        <f t="shared" si="102"/>
        <v>2007-08</v>
      </c>
      <c r="G1338" s="1"/>
      <c r="H1338" s="163"/>
      <c r="I1338" s="37"/>
      <c r="J1338" s="138">
        <f t="shared" si="106"/>
        <v>0.77968490742404351</v>
      </c>
      <c r="K1338" s="114"/>
      <c r="L1338" s="37">
        <v>1.5409586714600001</v>
      </c>
      <c r="M1338" s="37" t="s">
        <v>142</v>
      </c>
      <c r="N1338" s="37">
        <v>696.6467060487804</v>
      </c>
      <c r="O1338" s="132">
        <f t="shared" si="103"/>
        <v>1073.5037826299138</v>
      </c>
      <c r="P1338" s="134">
        <f t="shared" si="104"/>
        <v>836.99469737916479</v>
      </c>
      <c r="Q1338" s="261">
        <v>1</v>
      </c>
      <c r="R1338" s="94"/>
    </row>
    <row r="1339" spans="1:18" x14ac:dyDescent="0.25">
      <c r="A1339" s="367">
        <v>39363</v>
      </c>
      <c r="B1339" s="367" t="s">
        <v>279</v>
      </c>
      <c r="C1339" s="279" t="s">
        <v>647</v>
      </c>
      <c r="D1339" s="159" t="s">
        <v>1128</v>
      </c>
      <c r="E1339" s="45">
        <f t="shared" si="105"/>
        <v>39363</v>
      </c>
      <c r="F1339" s="148" t="str">
        <f t="shared" si="102"/>
        <v>2007-08</v>
      </c>
      <c r="G1339" s="1"/>
      <c r="H1339" s="163"/>
      <c r="I1339" s="37"/>
      <c r="J1339" s="138">
        <f t="shared" si="106"/>
        <v>0.77968490742404351</v>
      </c>
      <c r="K1339" s="114"/>
      <c r="L1339" s="37">
        <v>1.5037989701200001</v>
      </c>
      <c r="M1339" s="37" t="s">
        <v>142</v>
      </c>
      <c r="N1339" s="37">
        <v>936.5640883902438</v>
      </c>
      <c r="O1339" s="132">
        <f t="shared" si="103"/>
        <v>1408.4041115726254</v>
      </c>
      <c r="P1339" s="134">
        <f t="shared" si="104"/>
        <v>1098.1114293471446</v>
      </c>
      <c r="Q1339" s="261">
        <v>1</v>
      </c>
      <c r="R1339" s="94"/>
    </row>
    <row r="1340" spans="1:18" x14ac:dyDescent="0.25">
      <c r="A1340" s="367">
        <v>39363</v>
      </c>
      <c r="B1340" s="367" t="s">
        <v>279</v>
      </c>
      <c r="C1340" s="279" t="s">
        <v>647</v>
      </c>
      <c r="D1340" s="159" t="s">
        <v>1128</v>
      </c>
      <c r="E1340" s="45">
        <f t="shared" si="105"/>
        <v>39363</v>
      </c>
      <c r="F1340" s="148" t="str">
        <f t="shared" si="102"/>
        <v>2007-08</v>
      </c>
      <c r="G1340" s="1"/>
      <c r="H1340" s="163"/>
      <c r="I1340" s="37"/>
      <c r="J1340" s="138">
        <f t="shared" si="106"/>
        <v>0.77968490742404351</v>
      </c>
      <c r="K1340" s="114"/>
      <c r="L1340" s="37">
        <v>1.7001367592000001</v>
      </c>
      <c r="M1340" s="37" t="s">
        <v>142</v>
      </c>
      <c r="N1340" s="37">
        <v>936.5640883902438</v>
      </c>
      <c r="O1340" s="132">
        <f t="shared" si="103"/>
        <v>1592.2870340188915</v>
      </c>
      <c r="P1340" s="134">
        <f t="shared" si="104"/>
        <v>1241.4821687115243</v>
      </c>
      <c r="Q1340" s="261">
        <v>1</v>
      </c>
      <c r="R1340" s="94"/>
    </row>
    <row r="1341" spans="1:18" x14ac:dyDescent="0.25">
      <c r="A1341" s="367">
        <v>39363</v>
      </c>
      <c r="B1341" s="367" t="s">
        <v>279</v>
      </c>
      <c r="C1341" s="279" t="s">
        <v>647</v>
      </c>
      <c r="D1341" s="159" t="s">
        <v>1128</v>
      </c>
      <c r="E1341" s="45">
        <f t="shared" si="105"/>
        <v>39363</v>
      </c>
      <c r="F1341" s="148" t="str">
        <f t="shared" si="102"/>
        <v>2007-08</v>
      </c>
      <c r="G1341" s="1"/>
      <c r="H1341" s="163"/>
      <c r="I1341" s="37"/>
      <c r="J1341" s="138">
        <f t="shared" si="106"/>
        <v>0.77968490742404351</v>
      </c>
      <c r="K1341" s="114"/>
      <c r="L1341" s="37">
        <v>1.7009734616400001</v>
      </c>
      <c r="M1341" s="37" t="s">
        <v>142</v>
      </c>
      <c r="N1341" s="37">
        <v>936.5640883902438</v>
      </c>
      <c r="O1341" s="132">
        <f t="shared" si="103"/>
        <v>1593.070659476864</v>
      </c>
      <c r="P1341" s="134">
        <f t="shared" si="104"/>
        <v>1242.0931496541787</v>
      </c>
      <c r="Q1341" s="261">
        <v>1</v>
      </c>
      <c r="R1341" s="94"/>
    </row>
    <row r="1342" spans="1:18" x14ac:dyDescent="0.25">
      <c r="A1342" s="367">
        <v>39363</v>
      </c>
      <c r="B1342" s="367" t="s">
        <v>279</v>
      </c>
      <c r="C1342" s="279" t="s">
        <v>647</v>
      </c>
      <c r="D1342" s="159" t="s">
        <v>1128</v>
      </c>
      <c r="E1342" s="45">
        <f t="shared" si="105"/>
        <v>39363</v>
      </c>
      <c r="F1342" s="148" t="str">
        <f t="shared" si="102"/>
        <v>2007-08</v>
      </c>
      <c r="G1342" s="1"/>
      <c r="H1342" s="163"/>
      <c r="I1342" s="37"/>
      <c r="J1342" s="138">
        <f t="shared" si="106"/>
        <v>0.77968490742404351</v>
      </c>
      <c r="K1342" s="114"/>
      <c r="L1342" s="37">
        <v>23.359448092699999</v>
      </c>
      <c r="M1342" s="37" t="s">
        <v>142</v>
      </c>
      <c r="N1342" s="37">
        <v>696.6467060487804</v>
      </c>
      <c r="O1342" s="132">
        <f t="shared" si="103"/>
        <v>16273.282568896921</v>
      </c>
      <c r="P1342" s="134">
        <f t="shared" si="104"/>
        <v>12688.032813215696</v>
      </c>
      <c r="Q1342" s="261">
        <v>1</v>
      </c>
      <c r="R1342" s="94"/>
    </row>
    <row r="1343" spans="1:18" x14ac:dyDescent="0.25">
      <c r="A1343" s="367">
        <v>39363</v>
      </c>
      <c r="B1343" s="367" t="s">
        <v>279</v>
      </c>
      <c r="C1343" s="279" t="s">
        <v>647</v>
      </c>
      <c r="D1343" s="159" t="s">
        <v>1128</v>
      </c>
      <c r="E1343" s="45">
        <f t="shared" si="105"/>
        <v>39363</v>
      </c>
      <c r="F1343" s="148" t="str">
        <f t="shared" si="102"/>
        <v>2007-08</v>
      </c>
      <c r="G1343" s="1"/>
      <c r="H1343" s="163"/>
      <c r="I1343" s="37"/>
      <c r="J1343" s="138">
        <f t="shared" si="106"/>
        <v>0.77968490742404351</v>
      </c>
      <c r="K1343" s="114"/>
      <c r="L1343" s="37">
        <v>3.9031902133299998</v>
      </c>
      <c r="M1343" s="37" t="s">
        <v>142</v>
      </c>
      <c r="N1343" s="37">
        <v>1422.8466506341463</v>
      </c>
      <c r="O1343" s="132">
        <f t="shared" si="103"/>
        <v>5553.6411218245694</v>
      </c>
      <c r="P1343" s="134">
        <f t="shared" si="104"/>
        <v>4330.0901639361509</v>
      </c>
      <c r="Q1343" s="261">
        <v>1</v>
      </c>
      <c r="R1343" s="94"/>
    </row>
    <row r="1344" spans="1:18" x14ac:dyDescent="0.25">
      <c r="A1344" s="367">
        <v>39363</v>
      </c>
      <c r="B1344" s="367" t="s">
        <v>279</v>
      </c>
      <c r="C1344" s="279" t="s">
        <v>647</v>
      </c>
      <c r="D1344" s="159" t="s">
        <v>1128</v>
      </c>
      <c r="E1344" s="45">
        <f t="shared" si="105"/>
        <v>39363</v>
      </c>
      <c r="F1344" s="148" t="str">
        <f t="shared" si="102"/>
        <v>2007-08</v>
      </c>
      <c r="G1344" s="1"/>
      <c r="H1344" s="163"/>
      <c r="I1344" s="37"/>
      <c r="J1344" s="138">
        <f t="shared" si="106"/>
        <v>0.77968490742404351</v>
      </c>
      <c r="K1344" s="114"/>
      <c r="L1344" s="37">
        <v>4.9994916299199996</v>
      </c>
      <c r="M1344" s="37" t="s">
        <v>142</v>
      </c>
      <c r="N1344" s="37">
        <v>696.6467060487804</v>
      </c>
      <c r="O1344" s="132">
        <f t="shared" si="103"/>
        <v>3482.879375902216</v>
      </c>
      <c r="P1344" s="134">
        <f t="shared" si="104"/>
        <v>2715.5484837694298</v>
      </c>
      <c r="Q1344" s="261">
        <v>1</v>
      </c>
      <c r="R1344" s="94"/>
    </row>
    <row r="1345" spans="1:18" x14ac:dyDescent="0.25">
      <c r="A1345" s="367">
        <v>39363</v>
      </c>
      <c r="B1345" s="367" t="s">
        <v>279</v>
      </c>
      <c r="C1345" s="279" t="s">
        <v>647</v>
      </c>
      <c r="D1345" s="159" t="s">
        <v>1128</v>
      </c>
      <c r="E1345" s="45">
        <f t="shared" si="105"/>
        <v>39363</v>
      </c>
      <c r="F1345" s="148" t="str">
        <f t="shared" si="102"/>
        <v>2007-08</v>
      </c>
      <c r="G1345" s="1"/>
      <c r="H1345" s="163"/>
      <c r="I1345" s="37"/>
      <c r="J1345" s="138">
        <f t="shared" si="106"/>
        <v>0.77968490742404351</v>
      </c>
      <c r="K1345" s="114"/>
      <c r="L1345" s="37">
        <v>3.8105780401399998</v>
      </c>
      <c r="M1345" s="37" t="s">
        <v>142</v>
      </c>
      <c r="N1345" s="37">
        <v>696.6467060487804</v>
      </c>
      <c r="O1345" s="132">
        <f t="shared" si="103"/>
        <v>2654.6266398053481</v>
      </c>
      <c r="P1345" s="134">
        <f t="shared" si="104"/>
        <v>2069.7723259020327</v>
      </c>
      <c r="Q1345" s="261">
        <v>1</v>
      </c>
      <c r="R1345" s="94"/>
    </row>
    <row r="1346" spans="1:18" x14ac:dyDescent="0.25">
      <c r="A1346" s="367">
        <v>40721</v>
      </c>
      <c r="B1346" s="367" t="s">
        <v>279</v>
      </c>
      <c r="C1346" s="279" t="s">
        <v>296</v>
      </c>
      <c r="D1346" s="159" t="s">
        <v>1128</v>
      </c>
      <c r="E1346" s="45">
        <f t="shared" si="105"/>
        <v>40721</v>
      </c>
      <c r="F1346" s="148" t="str">
        <f t="shared" si="102"/>
        <v>2010-11</v>
      </c>
      <c r="G1346" s="1"/>
      <c r="H1346" s="163"/>
      <c r="I1346" s="37"/>
      <c r="J1346" s="138">
        <f t="shared" si="106"/>
        <v>0.77968490742404351</v>
      </c>
      <c r="K1346" s="114"/>
      <c r="L1346" s="37">
        <v>4.0008929003400002</v>
      </c>
      <c r="M1346" s="37" t="s">
        <v>142</v>
      </c>
      <c r="N1346" s="37">
        <v>1003.0093919999996</v>
      </c>
      <c r="O1346" s="132">
        <f t="shared" si="103"/>
        <v>4012.9331554271384</v>
      </c>
      <c r="P1346" s="134">
        <f t="shared" si="104"/>
        <v>3128.8234157880834</v>
      </c>
      <c r="Q1346" s="261">
        <v>1</v>
      </c>
      <c r="R1346" s="94"/>
    </row>
    <row r="1347" spans="1:18" x14ac:dyDescent="0.25">
      <c r="A1347" s="367">
        <v>40327</v>
      </c>
      <c r="B1347" s="367" t="s">
        <v>279</v>
      </c>
      <c r="C1347" s="279" t="s">
        <v>650</v>
      </c>
      <c r="D1347" s="159" t="s">
        <v>1128</v>
      </c>
      <c r="E1347" s="45">
        <f t="shared" si="105"/>
        <v>40327</v>
      </c>
      <c r="F1347" s="148" t="str">
        <f t="shared" si="102"/>
        <v>2009-10</v>
      </c>
      <c r="G1347" s="1"/>
      <c r="H1347" s="163"/>
      <c r="I1347" s="37"/>
      <c r="J1347" s="138">
        <f t="shared" si="106"/>
        <v>0.77968490742404351</v>
      </c>
      <c r="K1347" s="114"/>
      <c r="L1347" s="37">
        <v>3.0004566319100001</v>
      </c>
      <c r="M1347" s="37" t="s">
        <v>142</v>
      </c>
      <c r="N1347" s="37">
        <v>696.6467060487804</v>
      </c>
      <c r="O1347" s="132">
        <f t="shared" si="103"/>
        <v>2090.2582292623197</v>
      </c>
      <c r="P1347" s="134">
        <f t="shared" si="104"/>
        <v>1629.7427939747367</v>
      </c>
      <c r="Q1347" s="261">
        <v>1</v>
      </c>
      <c r="R1347" s="94"/>
    </row>
    <row r="1348" spans="1:18" x14ac:dyDescent="0.25">
      <c r="A1348" s="367">
        <v>40327</v>
      </c>
      <c r="B1348" s="367" t="s">
        <v>279</v>
      </c>
      <c r="C1348" s="279" t="s">
        <v>650</v>
      </c>
      <c r="D1348" s="159" t="s">
        <v>1128</v>
      </c>
      <c r="E1348" s="45">
        <f t="shared" si="105"/>
        <v>40327</v>
      </c>
      <c r="F1348" s="148" t="str">
        <f t="shared" si="102"/>
        <v>2009-10</v>
      </c>
      <c r="G1348" s="1"/>
      <c r="H1348" s="163"/>
      <c r="I1348" s="37"/>
      <c r="J1348" s="138">
        <f t="shared" si="106"/>
        <v>0.77968490742404351</v>
      </c>
      <c r="K1348" s="114"/>
      <c r="L1348" s="37">
        <v>1.4998093212100001</v>
      </c>
      <c r="M1348" s="37" t="s">
        <v>142</v>
      </c>
      <c r="N1348" s="37">
        <v>696.6467060487804</v>
      </c>
      <c r="O1348" s="132">
        <f t="shared" si="103"/>
        <v>1044.8372233222037</v>
      </c>
      <c r="P1348" s="134">
        <f t="shared" si="104"/>
        <v>814.64381373916706</v>
      </c>
      <c r="Q1348" s="261">
        <v>1</v>
      </c>
      <c r="R1348" s="94"/>
    </row>
    <row r="1349" spans="1:18" x14ac:dyDescent="0.25">
      <c r="A1349" s="367">
        <v>41456</v>
      </c>
      <c r="B1349" s="367" t="s">
        <v>279</v>
      </c>
      <c r="C1349" s="279" t="s">
        <v>651</v>
      </c>
      <c r="D1349" s="159" t="s">
        <v>1130</v>
      </c>
      <c r="E1349" s="45">
        <f t="shared" si="105"/>
        <v>41456</v>
      </c>
      <c r="F1349" s="148" t="str">
        <f t="shared" si="102"/>
        <v>2013-14</v>
      </c>
      <c r="G1349" s="1"/>
      <c r="H1349" s="163"/>
      <c r="I1349" s="37"/>
      <c r="J1349" s="138">
        <f t="shared" si="106"/>
        <v>0.77968490742404351</v>
      </c>
      <c r="K1349" s="114"/>
      <c r="L1349" s="37">
        <v>31.211450904199999</v>
      </c>
      <c r="M1349" s="37" t="s">
        <v>142</v>
      </c>
      <c r="N1349" s="37">
        <v>696.6467060487804</v>
      </c>
      <c r="O1349" s="132">
        <f t="shared" si="103"/>
        <v>21743.354463414158</v>
      </c>
      <c r="P1349" s="134">
        <f t="shared" si="104"/>
        <v>16952.96531189523</v>
      </c>
      <c r="Q1349" s="261">
        <v>1</v>
      </c>
      <c r="R1349" s="94"/>
    </row>
    <row r="1350" spans="1:18" x14ac:dyDescent="0.25">
      <c r="A1350" s="367">
        <v>41456</v>
      </c>
      <c r="B1350" s="367" t="s">
        <v>279</v>
      </c>
      <c r="C1350" s="279" t="s">
        <v>651</v>
      </c>
      <c r="D1350" s="159" t="s">
        <v>1130</v>
      </c>
      <c r="E1350" s="45">
        <f t="shared" si="105"/>
        <v>41456</v>
      </c>
      <c r="F1350" s="148" t="str">
        <f t="shared" si="102"/>
        <v>2013-14</v>
      </c>
      <c r="G1350" s="1"/>
      <c r="H1350" s="163"/>
      <c r="I1350" s="37"/>
      <c r="J1350" s="138">
        <f t="shared" si="106"/>
        <v>0.77968490742404351</v>
      </c>
      <c r="K1350" s="114"/>
      <c r="L1350" s="37">
        <v>1.99252124222</v>
      </c>
      <c r="M1350" s="37" t="s">
        <v>142</v>
      </c>
      <c r="N1350" s="37">
        <v>696.6467060487804</v>
      </c>
      <c r="O1350" s="132">
        <f t="shared" si="103"/>
        <v>1388.0833601247871</v>
      </c>
      <c r="P1350" s="134">
        <f t="shared" si="104"/>
        <v>1082.2676461357498</v>
      </c>
      <c r="Q1350" s="261">
        <v>1</v>
      </c>
      <c r="R1350" s="94"/>
    </row>
    <row r="1351" spans="1:18" x14ac:dyDescent="0.25">
      <c r="A1351" s="367">
        <v>40846</v>
      </c>
      <c r="B1351" s="367" t="s">
        <v>279</v>
      </c>
      <c r="C1351" s="279" t="s">
        <v>652</v>
      </c>
      <c r="D1351" s="159" t="s">
        <v>1131</v>
      </c>
      <c r="E1351" s="45">
        <f t="shared" si="105"/>
        <v>40846</v>
      </c>
      <c r="F1351" s="148" t="str">
        <f t="shared" si="102"/>
        <v>2011-12</v>
      </c>
      <c r="G1351" s="1"/>
      <c r="H1351" s="163"/>
      <c r="I1351" s="37"/>
      <c r="J1351" s="138">
        <f t="shared" si="106"/>
        <v>0.77968490742404351</v>
      </c>
      <c r="K1351" s="114"/>
      <c r="L1351" s="37">
        <v>18.626763302800001</v>
      </c>
      <c r="M1351" s="37" t="s">
        <v>142</v>
      </c>
      <c r="N1351" s="37">
        <v>936.5640883902438</v>
      </c>
      <c r="O1351" s="132">
        <f t="shared" si="103"/>
        <v>17445.157592347728</v>
      </c>
      <c r="P1351" s="134">
        <f t="shared" si="104"/>
        <v>13601.726082387488</v>
      </c>
      <c r="Q1351" s="261">
        <v>1</v>
      </c>
      <c r="R1351" s="94"/>
    </row>
    <row r="1352" spans="1:18" x14ac:dyDescent="0.25">
      <c r="A1352" s="367">
        <v>40846</v>
      </c>
      <c r="B1352" s="367" t="s">
        <v>279</v>
      </c>
      <c r="C1352" s="279" t="s">
        <v>652</v>
      </c>
      <c r="D1352" s="159" t="s">
        <v>1131</v>
      </c>
      <c r="E1352" s="45">
        <f t="shared" si="105"/>
        <v>40846</v>
      </c>
      <c r="F1352" s="148" t="str">
        <f t="shared" si="102"/>
        <v>2011-12</v>
      </c>
      <c r="G1352" s="1"/>
      <c r="H1352" s="163"/>
      <c r="I1352" s="37"/>
      <c r="J1352" s="138">
        <f t="shared" si="106"/>
        <v>0.77968490742404351</v>
      </c>
      <c r="K1352" s="114"/>
      <c r="L1352" s="37">
        <v>1.8120320085499999</v>
      </c>
      <c r="M1352" s="37" t="s">
        <v>142</v>
      </c>
      <c r="N1352" s="37">
        <v>771.6404230243902</v>
      </c>
      <c r="O1352" s="132">
        <f t="shared" si="103"/>
        <v>1398.2371456112573</v>
      </c>
      <c r="P1352" s="134">
        <f t="shared" si="104"/>
        <v>1090.1843994327721</v>
      </c>
      <c r="Q1352" s="261">
        <v>1</v>
      </c>
      <c r="R1352" s="94"/>
    </row>
    <row r="1353" spans="1:18" x14ac:dyDescent="0.25">
      <c r="A1353" s="367">
        <v>40846</v>
      </c>
      <c r="B1353" s="367" t="s">
        <v>279</v>
      </c>
      <c r="C1353" s="279" t="s">
        <v>652</v>
      </c>
      <c r="D1353" s="159" t="s">
        <v>1131</v>
      </c>
      <c r="E1353" s="45">
        <f t="shared" si="105"/>
        <v>40846</v>
      </c>
      <c r="F1353" s="148" t="str">
        <f t="shared" si="102"/>
        <v>2011-12</v>
      </c>
      <c r="G1353" s="1"/>
      <c r="H1353" s="163"/>
      <c r="I1353" s="37"/>
      <c r="J1353" s="138">
        <f t="shared" si="106"/>
        <v>0.77968490742404351</v>
      </c>
      <c r="K1353" s="114"/>
      <c r="L1353" s="37">
        <v>2.4997411947399999</v>
      </c>
      <c r="M1353" s="37" t="s">
        <v>142</v>
      </c>
      <c r="N1353" s="37">
        <v>771.6404230243902</v>
      </c>
      <c r="O1353" s="132">
        <f t="shared" si="103"/>
        <v>1928.9013529606682</v>
      </c>
      <c r="P1353" s="134">
        <f t="shared" si="104"/>
        <v>1503.9352728132508</v>
      </c>
      <c r="Q1353" s="261">
        <v>1</v>
      </c>
      <c r="R1353" s="94"/>
    </row>
    <row r="1354" spans="1:18" x14ac:dyDescent="0.25">
      <c r="A1354" s="367">
        <v>43070</v>
      </c>
      <c r="B1354" s="367" t="s">
        <v>279</v>
      </c>
      <c r="C1354" s="279" t="s">
        <v>653</v>
      </c>
      <c r="D1354" s="159" t="s">
        <v>1046</v>
      </c>
      <c r="E1354" s="45">
        <f t="shared" si="105"/>
        <v>43070</v>
      </c>
      <c r="F1354" s="148" t="str">
        <f t="shared" si="102"/>
        <v>2017-18</v>
      </c>
      <c r="G1354" s="1"/>
      <c r="H1354" s="163"/>
      <c r="I1354" s="37"/>
      <c r="J1354" s="138">
        <f t="shared" si="106"/>
        <v>0.77968490742404351</v>
      </c>
      <c r="K1354" s="114"/>
      <c r="L1354" s="37">
        <v>156.34437150100001</v>
      </c>
      <c r="M1354" s="37" t="s">
        <v>142</v>
      </c>
      <c r="N1354" s="37">
        <v>696.6467060487804</v>
      </c>
      <c r="O1354" s="132">
        <f t="shared" si="103"/>
        <v>108916.79141543848</v>
      </c>
      <c r="P1354" s="134">
        <f t="shared" si="104"/>
        <v>84920.778431670013</v>
      </c>
      <c r="Q1354" s="261">
        <v>1</v>
      </c>
      <c r="R1354" s="94"/>
    </row>
    <row r="1355" spans="1:18" x14ac:dyDescent="0.25">
      <c r="A1355" s="367">
        <v>43070</v>
      </c>
      <c r="B1355" s="367" t="s">
        <v>279</v>
      </c>
      <c r="C1355" s="279" t="s">
        <v>653</v>
      </c>
      <c r="D1355" s="159" t="s">
        <v>1046</v>
      </c>
      <c r="E1355" s="45">
        <f t="shared" si="105"/>
        <v>43070</v>
      </c>
      <c r="F1355" s="148" t="str">
        <f t="shared" si="102"/>
        <v>2017-18</v>
      </c>
      <c r="G1355" s="1"/>
      <c r="H1355" s="163"/>
      <c r="I1355" s="37"/>
      <c r="J1355" s="138">
        <f t="shared" si="106"/>
        <v>0.77968490742404351</v>
      </c>
      <c r="K1355" s="114"/>
      <c r="L1355" s="37">
        <v>2.49969641635</v>
      </c>
      <c r="M1355" s="37" t="s">
        <v>142</v>
      </c>
      <c r="N1355" s="37">
        <v>696.6467060487804</v>
      </c>
      <c r="O1355" s="132">
        <f t="shared" si="103"/>
        <v>1741.4052745721683</v>
      </c>
      <c r="P1355" s="134">
        <f t="shared" si="104"/>
        <v>1357.7474102925421</v>
      </c>
      <c r="Q1355" s="261">
        <v>1</v>
      </c>
      <c r="R1355" s="94"/>
    </row>
    <row r="1356" spans="1:18" x14ac:dyDescent="0.25">
      <c r="A1356" s="367">
        <v>43070</v>
      </c>
      <c r="B1356" s="367" t="s">
        <v>279</v>
      </c>
      <c r="C1356" s="279" t="s">
        <v>653</v>
      </c>
      <c r="D1356" s="159" t="s">
        <v>1047</v>
      </c>
      <c r="E1356" s="45">
        <f t="shared" si="105"/>
        <v>43070</v>
      </c>
      <c r="F1356" s="148" t="str">
        <f t="shared" si="102"/>
        <v>2017-18</v>
      </c>
      <c r="G1356" s="1"/>
      <c r="H1356" s="163"/>
      <c r="I1356" s="37"/>
      <c r="J1356" s="138">
        <f t="shared" si="106"/>
        <v>0.77968490742404351</v>
      </c>
      <c r="K1356" s="114"/>
      <c r="L1356" s="37">
        <v>63.8267897152</v>
      </c>
      <c r="M1356" s="37" t="s">
        <v>142</v>
      </c>
      <c r="N1356" s="37">
        <v>696.6467060487804</v>
      </c>
      <c r="O1356" s="132">
        <f t="shared" si="103"/>
        <v>44464.722812762258</v>
      </c>
      <c r="P1356" s="134">
        <f t="shared" si="104"/>
        <v>34668.473289904294</v>
      </c>
      <c r="Q1356" s="261">
        <v>1</v>
      </c>
      <c r="R1356" s="94"/>
    </row>
    <row r="1357" spans="1:18" x14ac:dyDescent="0.25">
      <c r="A1357" s="367">
        <v>43070</v>
      </c>
      <c r="B1357" s="367" t="s">
        <v>279</v>
      </c>
      <c r="C1357" s="279" t="s">
        <v>653</v>
      </c>
      <c r="D1357" s="159" t="s">
        <v>1047</v>
      </c>
      <c r="E1357" s="45">
        <f t="shared" si="105"/>
        <v>43070</v>
      </c>
      <c r="F1357" s="148" t="str">
        <f t="shared" si="102"/>
        <v>2017-18</v>
      </c>
      <c r="G1357" s="1"/>
      <c r="H1357" s="163"/>
      <c r="I1357" s="37"/>
      <c r="J1357" s="138">
        <f t="shared" si="106"/>
        <v>0.77968490742404351</v>
      </c>
      <c r="K1357" s="114"/>
      <c r="L1357" s="37">
        <v>1.7000073529299999</v>
      </c>
      <c r="M1357" s="37" t="s">
        <v>142</v>
      </c>
      <c r="N1357" s="37">
        <v>696.6467060487804</v>
      </c>
      <c r="O1357" s="132">
        <f t="shared" si="103"/>
        <v>1184.3045226773909</v>
      </c>
      <c r="P1357" s="134">
        <f t="shared" si="104"/>
        <v>923.38436212559759</v>
      </c>
      <c r="Q1357" s="261">
        <v>1</v>
      </c>
      <c r="R1357" s="94"/>
    </row>
    <row r="1358" spans="1:18" x14ac:dyDescent="0.25">
      <c r="A1358" s="367">
        <v>43070</v>
      </c>
      <c r="B1358" s="367" t="s">
        <v>279</v>
      </c>
      <c r="C1358" s="279" t="s">
        <v>653</v>
      </c>
      <c r="D1358" s="159" t="s">
        <v>1047</v>
      </c>
      <c r="E1358" s="45">
        <f t="shared" si="105"/>
        <v>43070</v>
      </c>
      <c r="F1358" s="148" t="str">
        <f t="shared" si="102"/>
        <v>2017-18</v>
      </c>
      <c r="G1358" s="1"/>
      <c r="H1358" s="163"/>
      <c r="I1358" s="37"/>
      <c r="J1358" s="138">
        <f t="shared" si="106"/>
        <v>0.77968490742404351</v>
      </c>
      <c r="K1358" s="114"/>
      <c r="L1358" s="37">
        <v>2.37601346798</v>
      </c>
      <c r="M1358" s="37" t="s">
        <v>142</v>
      </c>
      <c r="N1358" s="37">
        <v>696.6467060487804</v>
      </c>
      <c r="O1358" s="132">
        <f t="shared" si="103"/>
        <v>1655.2419559958064</v>
      </c>
      <c r="P1358" s="134">
        <f t="shared" si="104"/>
        <v>1290.567171224983</v>
      </c>
      <c r="Q1358" s="261">
        <v>1</v>
      </c>
      <c r="R1358" s="94"/>
    </row>
    <row r="1359" spans="1:18" x14ac:dyDescent="0.25">
      <c r="A1359" s="367">
        <v>43070</v>
      </c>
      <c r="B1359" s="367" t="s">
        <v>279</v>
      </c>
      <c r="C1359" s="279" t="s">
        <v>653</v>
      </c>
      <c r="D1359" s="159" t="s">
        <v>1047</v>
      </c>
      <c r="E1359" s="45">
        <f t="shared" si="105"/>
        <v>43070</v>
      </c>
      <c r="F1359" s="148" t="str">
        <f t="shared" si="102"/>
        <v>2017-18</v>
      </c>
      <c r="G1359" s="1"/>
      <c r="H1359" s="163"/>
      <c r="I1359" s="37"/>
      <c r="J1359" s="138">
        <f t="shared" si="106"/>
        <v>0.77968490742404351</v>
      </c>
      <c r="K1359" s="114"/>
      <c r="L1359" s="37">
        <v>4.4190254581800001</v>
      </c>
      <c r="M1359" s="37" t="s">
        <v>142</v>
      </c>
      <c r="N1359" s="37">
        <v>696.6467060487804</v>
      </c>
      <c r="O1359" s="132">
        <f t="shared" si="103"/>
        <v>3078.4995293867996</v>
      </c>
      <c r="P1359" s="134">
        <f t="shared" si="104"/>
        <v>2400.2596205749082</v>
      </c>
      <c r="Q1359" s="261">
        <v>1</v>
      </c>
      <c r="R1359" s="94"/>
    </row>
    <row r="1360" spans="1:18" x14ac:dyDescent="0.25">
      <c r="A1360" s="367">
        <v>43070</v>
      </c>
      <c r="B1360" s="367" t="s">
        <v>279</v>
      </c>
      <c r="C1360" s="279" t="s">
        <v>653</v>
      </c>
      <c r="D1360" s="159" t="s">
        <v>1046</v>
      </c>
      <c r="E1360" s="45">
        <f t="shared" si="105"/>
        <v>43070</v>
      </c>
      <c r="F1360" s="148" t="str">
        <f t="shared" si="102"/>
        <v>2017-18</v>
      </c>
      <c r="G1360" s="1"/>
      <c r="H1360" s="163"/>
      <c r="I1360" s="37"/>
      <c r="J1360" s="138">
        <f t="shared" si="106"/>
        <v>0.77968490742404351</v>
      </c>
      <c r="K1360" s="114"/>
      <c r="L1360" s="37">
        <v>182.51256975999999</v>
      </c>
      <c r="M1360" s="37" t="s">
        <v>142</v>
      </c>
      <c r="N1360" s="37">
        <v>696.6467060487804</v>
      </c>
      <c r="O1360" s="132">
        <f t="shared" si="103"/>
        <v>127146.78053580225</v>
      </c>
      <c r="P1360" s="134">
        <f t="shared" si="104"/>
        <v>99134.425811322144</v>
      </c>
      <c r="Q1360" s="261">
        <v>1</v>
      </c>
      <c r="R1360" s="94"/>
    </row>
    <row r="1361" spans="1:18" x14ac:dyDescent="0.25">
      <c r="A1361" s="367">
        <v>43070</v>
      </c>
      <c r="B1361" s="367" t="s">
        <v>279</v>
      </c>
      <c r="C1361" s="279" t="s">
        <v>653</v>
      </c>
      <c r="D1361" s="159" t="s">
        <v>1046</v>
      </c>
      <c r="E1361" s="45">
        <f t="shared" si="105"/>
        <v>43070</v>
      </c>
      <c r="F1361" s="148" t="str">
        <f t="shared" si="102"/>
        <v>2017-18</v>
      </c>
      <c r="G1361" s="1"/>
      <c r="H1361" s="163"/>
      <c r="I1361" s="37"/>
      <c r="J1361" s="138">
        <f t="shared" si="106"/>
        <v>0.77968490742404351</v>
      </c>
      <c r="K1361" s="114"/>
      <c r="L1361" s="37">
        <v>1.9507255060599999</v>
      </c>
      <c r="M1361" s="37" t="s">
        <v>142</v>
      </c>
      <c r="N1361" s="37">
        <v>696.6467060487804</v>
      </c>
      <c r="O1361" s="132">
        <f t="shared" si="103"/>
        <v>1358.9664982020392</v>
      </c>
      <c r="P1361" s="134">
        <f t="shared" si="104"/>
        <v>1059.5656683430336</v>
      </c>
      <c r="Q1361" s="261">
        <v>1</v>
      </c>
      <c r="R1361" s="94"/>
    </row>
    <row r="1362" spans="1:18" x14ac:dyDescent="0.25">
      <c r="A1362" s="367">
        <v>43070</v>
      </c>
      <c r="B1362" s="367" t="s">
        <v>279</v>
      </c>
      <c r="C1362" s="279" t="s">
        <v>653</v>
      </c>
      <c r="D1362" s="159" t="s">
        <v>1046</v>
      </c>
      <c r="E1362" s="45">
        <f t="shared" si="105"/>
        <v>43070</v>
      </c>
      <c r="F1362" s="148" t="str">
        <f t="shared" ref="F1362:F1425" si="107">IF(E1362="","-",IF(OR(E1362&lt;$E$15,E1362&gt;$E$16),"ERROR - date outside of range",IF(MONTH(E1362)&gt;=7,YEAR(E1362)&amp;"-"&amp;IF(YEAR(E1362)=1999,"00",IF(AND(YEAR(E1362)&gt;=2000,YEAR(E1362)&lt;2009),"0","")&amp;RIGHT(YEAR(E1362),2)+1),RIGHT(YEAR(E1362),4)-1&amp;"-"&amp;RIGHT(YEAR(E1362),2))))</f>
        <v>2017-18</v>
      </c>
      <c r="G1362" s="1"/>
      <c r="H1362" s="163"/>
      <c r="I1362" s="37"/>
      <c r="J1362" s="138">
        <f t="shared" si="106"/>
        <v>0.77968490742404351</v>
      </c>
      <c r="K1362" s="114"/>
      <c r="L1362" s="37">
        <v>2.3122915041100001</v>
      </c>
      <c r="M1362" s="37" t="s">
        <v>142</v>
      </c>
      <c r="N1362" s="37">
        <v>696.6467060487804</v>
      </c>
      <c r="O1362" s="132">
        <f t="shared" ref="O1362:O1425" si="108">IF(N1362="","-",L1362*N1362)</f>
        <v>1610.8502597628114</v>
      </c>
      <c r="P1362" s="134">
        <f t="shared" ref="P1362:P1425" si="109">IF(O1362="-","-",IF(OR(E1362&lt;$E$15,E1362&gt;$E$16),0,O1362*J1362))*Q1362</f>
        <v>1255.9556356571641</v>
      </c>
      <c r="Q1362" s="261">
        <v>1</v>
      </c>
      <c r="R1362" s="94"/>
    </row>
    <row r="1363" spans="1:18" x14ac:dyDescent="0.25">
      <c r="A1363" s="367">
        <v>40801</v>
      </c>
      <c r="B1363" s="367" t="s">
        <v>279</v>
      </c>
      <c r="C1363" s="279" t="s">
        <v>614</v>
      </c>
      <c r="D1363" s="159" t="s">
        <v>1132</v>
      </c>
      <c r="E1363" s="45">
        <f t="shared" si="105"/>
        <v>40801</v>
      </c>
      <c r="F1363" s="148" t="str">
        <f t="shared" si="107"/>
        <v>2011-12</v>
      </c>
      <c r="G1363" s="1"/>
      <c r="H1363" s="163"/>
      <c r="I1363" s="37"/>
      <c r="J1363" s="138">
        <f t="shared" si="106"/>
        <v>0.77968490742404351</v>
      </c>
      <c r="K1363" s="114"/>
      <c r="L1363" s="37">
        <v>2.4999300075600002</v>
      </c>
      <c r="M1363" s="37" t="s">
        <v>142</v>
      </c>
      <c r="N1363" s="37">
        <v>3100.7755036097556</v>
      </c>
      <c r="O1363" s="132">
        <f t="shared" si="108"/>
        <v>7751.7217281809999</v>
      </c>
      <c r="P1363" s="134">
        <f t="shared" si="109"/>
        <v>6043.9004380137494</v>
      </c>
      <c r="Q1363" s="261">
        <v>1</v>
      </c>
      <c r="R1363" s="94"/>
    </row>
    <row r="1364" spans="1:18" x14ac:dyDescent="0.25">
      <c r="A1364" s="367">
        <v>40452</v>
      </c>
      <c r="B1364" s="367" t="s">
        <v>279</v>
      </c>
      <c r="C1364" s="279" t="s">
        <v>654</v>
      </c>
      <c r="D1364" s="159" t="s">
        <v>1133</v>
      </c>
      <c r="E1364" s="45">
        <f t="shared" si="105"/>
        <v>40452</v>
      </c>
      <c r="F1364" s="148" t="str">
        <f t="shared" si="107"/>
        <v>2010-11</v>
      </c>
      <c r="G1364" s="1"/>
      <c r="H1364" s="163"/>
      <c r="I1364" s="37"/>
      <c r="J1364" s="138">
        <f t="shared" si="106"/>
        <v>0.77968490742404351</v>
      </c>
      <c r="K1364" s="114"/>
      <c r="L1364" s="37">
        <v>2.9848432119599999</v>
      </c>
      <c r="M1364" s="37" t="s">
        <v>142</v>
      </c>
      <c r="N1364" s="37">
        <v>696.6467060487804</v>
      </c>
      <c r="O1364" s="132">
        <f t="shared" si="108"/>
        <v>2079.3811916839954</v>
      </c>
      <c r="P1364" s="134">
        <f t="shared" si="109"/>
        <v>1621.2621319374332</v>
      </c>
      <c r="Q1364" s="261">
        <v>1</v>
      </c>
      <c r="R1364" s="94"/>
    </row>
    <row r="1365" spans="1:18" x14ac:dyDescent="0.25">
      <c r="A1365" s="367">
        <v>40452</v>
      </c>
      <c r="B1365" s="367" t="s">
        <v>279</v>
      </c>
      <c r="C1365" s="279" t="s">
        <v>654</v>
      </c>
      <c r="D1365" s="159" t="s">
        <v>1133</v>
      </c>
      <c r="E1365" s="45">
        <f t="shared" si="105"/>
        <v>40452</v>
      </c>
      <c r="F1365" s="148" t="str">
        <f t="shared" si="107"/>
        <v>2010-11</v>
      </c>
      <c r="G1365" s="1"/>
      <c r="H1365" s="163"/>
      <c r="I1365" s="37"/>
      <c r="J1365" s="138">
        <f t="shared" si="106"/>
        <v>0.77968490742404351</v>
      </c>
      <c r="K1365" s="114"/>
      <c r="L1365" s="37">
        <v>2.9843299080399999</v>
      </c>
      <c r="M1365" s="37" t="s">
        <v>142</v>
      </c>
      <c r="N1365" s="37">
        <v>696.6467060487804</v>
      </c>
      <c r="O1365" s="132">
        <f t="shared" si="108"/>
        <v>2079.0236001989256</v>
      </c>
      <c r="P1365" s="134">
        <f t="shared" si="109"/>
        <v>1620.9833232535009</v>
      </c>
      <c r="Q1365" s="261">
        <v>1</v>
      </c>
      <c r="R1365" s="94"/>
    </row>
    <row r="1366" spans="1:18" x14ac:dyDescent="0.25">
      <c r="A1366" s="367">
        <v>40452</v>
      </c>
      <c r="B1366" s="367" t="s">
        <v>279</v>
      </c>
      <c r="C1366" s="279" t="s">
        <v>654</v>
      </c>
      <c r="D1366" s="159" t="s">
        <v>1133</v>
      </c>
      <c r="E1366" s="45">
        <f t="shared" si="105"/>
        <v>40452</v>
      </c>
      <c r="F1366" s="148" t="str">
        <f t="shared" si="107"/>
        <v>2010-11</v>
      </c>
      <c r="G1366" s="1"/>
      <c r="H1366" s="163"/>
      <c r="I1366" s="37"/>
      <c r="J1366" s="138">
        <f t="shared" si="106"/>
        <v>0.77968490742404351</v>
      </c>
      <c r="K1366" s="114"/>
      <c r="L1366" s="37">
        <v>54.066933697099998</v>
      </c>
      <c r="M1366" s="37" t="s">
        <v>142</v>
      </c>
      <c r="N1366" s="37">
        <v>696.6467060487804</v>
      </c>
      <c r="O1366" s="132">
        <f t="shared" si="108"/>
        <v>37665.551266242524</v>
      </c>
      <c r="P1366" s="134">
        <f t="shared" si="109"/>
        <v>29367.261852095868</v>
      </c>
      <c r="Q1366" s="261">
        <v>1</v>
      </c>
      <c r="R1366" s="94"/>
    </row>
    <row r="1367" spans="1:18" x14ac:dyDescent="0.25">
      <c r="A1367" s="367">
        <v>40452</v>
      </c>
      <c r="B1367" s="367" t="s">
        <v>279</v>
      </c>
      <c r="C1367" s="279" t="s">
        <v>654</v>
      </c>
      <c r="D1367" s="159" t="s">
        <v>1133</v>
      </c>
      <c r="E1367" s="45">
        <f t="shared" ref="E1367:E1430" si="110">IF(A1367&lt;2022,DATEVALUE("30 Jun "&amp;A1367),A1367)</f>
        <v>40452</v>
      </c>
      <c r="F1367" s="148" t="str">
        <f t="shared" si="107"/>
        <v>2010-11</v>
      </c>
      <c r="G1367" s="1"/>
      <c r="H1367" s="163"/>
      <c r="I1367" s="37"/>
      <c r="J1367" s="138">
        <f t="shared" si="106"/>
        <v>0.77968490742404351</v>
      </c>
      <c r="K1367" s="114"/>
      <c r="L1367" s="37">
        <v>3.3373992868700002</v>
      </c>
      <c r="M1367" s="37" t="s">
        <v>142</v>
      </c>
      <c r="N1367" s="37">
        <v>696.6467060487804</v>
      </c>
      <c r="O1367" s="132">
        <f t="shared" si="108"/>
        <v>2324.9882199675344</v>
      </c>
      <c r="P1367" s="134">
        <f t="shared" si="109"/>
        <v>1812.7582250473788</v>
      </c>
      <c r="Q1367" s="261">
        <v>1</v>
      </c>
      <c r="R1367" s="94"/>
    </row>
    <row r="1368" spans="1:18" x14ac:dyDescent="0.25">
      <c r="A1368" s="367">
        <v>43081</v>
      </c>
      <c r="B1368" s="367" t="s">
        <v>279</v>
      </c>
      <c r="C1368" s="279" t="s">
        <v>655</v>
      </c>
      <c r="D1368" s="159" t="s">
        <v>1134</v>
      </c>
      <c r="E1368" s="45">
        <f t="shared" si="110"/>
        <v>43081</v>
      </c>
      <c r="F1368" s="148" t="str">
        <f t="shared" si="107"/>
        <v>2017-18</v>
      </c>
      <c r="G1368" s="1"/>
      <c r="H1368" s="163"/>
      <c r="I1368" s="37"/>
      <c r="J1368" s="138">
        <f t="shared" ref="J1368:J1431" si="111">J1367</f>
        <v>0.77968490742404351</v>
      </c>
      <c r="K1368" s="114"/>
      <c r="L1368" s="37">
        <v>516.36699570899998</v>
      </c>
      <c r="M1368" s="37" t="s">
        <v>142</v>
      </c>
      <c r="N1368" s="37">
        <v>1385.4167692682922</v>
      </c>
      <c r="O1368" s="132">
        <f t="shared" si="108"/>
        <v>715383.49495193688</v>
      </c>
      <c r="P1368" s="134">
        <f t="shared" si="109"/>
        <v>557773.71403428959</v>
      </c>
      <c r="Q1368" s="261">
        <v>1</v>
      </c>
      <c r="R1368" s="94"/>
    </row>
    <row r="1369" spans="1:18" x14ac:dyDescent="0.25">
      <c r="A1369" s="367">
        <v>40504</v>
      </c>
      <c r="B1369" s="367" t="s">
        <v>279</v>
      </c>
      <c r="C1369" s="279" t="s">
        <v>656</v>
      </c>
      <c r="D1369" s="159" t="s">
        <v>1135</v>
      </c>
      <c r="E1369" s="45">
        <f t="shared" si="110"/>
        <v>40504</v>
      </c>
      <c r="F1369" s="148" t="str">
        <f t="shared" si="107"/>
        <v>2010-11</v>
      </c>
      <c r="G1369" s="1"/>
      <c r="H1369" s="163"/>
      <c r="I1369" s="37"/>
      <c r="J1369" s="138">
        <f t="shared" si="111"/>
        <v>0.77968490742404351</v>
      </c>
      <c r="K1369" s="114"/>
      <c r="L1369" s="37">
        <v>144.654462935</v>
      </c>
      <c r="M1369" s="37" t="s">
        <v>142</v>
      </c>
      <c r="N1369" s="37">
        <v>771.6404230243902</v>
      </c>
      <c r="O1369" s="132">
        <f t="shared" si="108"/>
        <v>111621.23097152937</v>
      </c>
      <c r="P1369" s="134">
        <f t="shared" si="109"/>
        <v>87029.389136594647</v>
      </c>
      <c r="Q1369" s="261">
        <v>1</v>
      </c>
      <c r="R1369" s="94"/>
    </row>
    <row r="1370" spans="1:18" x14ac:dyDescent="0.25">
      <c r="A1370" s="367">
        <v>40504</v>
      </c>
      <c r="B1370" s="367" t="s">
        <v>279</v>
      </c>
      <c r="C1370" s="279" t="s">
        <v>656</v>
      </c>
      <c r="D1370" s="159" t="s">
        <v>1135</v>
      </c>
      <c r="E1370" s="45">
        <f t="shared" si="110"/>
        <v>40504</v>
      </c>
      <c r="F1370" s="148" t="str">
        <f t="shared" si="107"/>
        <v>2010-11</v>
      </c>
      <c r="G1370" s="1"/>
      <c r="H1370" s="163"/>
      <c r="I1370" s="37"/>
      <c r="J1370" s="138">
        <f t="shared" si="111"/>
        <v>0.77968490742404351</v>
      </c>
      <c r="K1370" s="114"/>
      <c r="L1370" s="37">
        <v>11.5902373618</v>
      </c>
      <c r="M1370" s="37" t="s">
        <v>142</v>
      </c>
      <c r="N1370" s="37">
        <v>771.6404230243902</v>
      </c>
      <c r="O1370" s="132">
        <f t="shared" si="108"/>
        <v>8943.4956608124448</v>
      </c>
      <c r="P1370" s="134">
        <f t="shared" si="109"/>
        <v>6973.1085863478856</v>
      </c>
      <c r="Q1370" s="261">
        <v>1</v>
      </c>
      <c r="R1370" s="94"/>
    </row>
    <row r="1371" spans="1:18" x14ac:dyDescent="0.25">
      <c r="A1371" s="367">
        <v>40504</v>
      </c>
      <c r="B1371" s="367" t="s">
        <v>279</v>
      </c>
      <c r="C1371" s="279" t="s">
        <v>656</v>
      </c>
      <c r="D1371" s="159" t="s">
        <v>1136</v>
      </c>
      <c r="E1371" s="45">
        <f t="shared" si="110"/>
        <v>40504</v>
      </c>
      <c r="F1371" s="148" t="str">
        <f t="shared" si="107"/>
        <v>2010-11</v>
      </c>
      <c r="G1371" s="1"/>
      <c r="H1371" s="163"/>
      <c r="I1371" s="37"/>
      <c r="J1371" s="138">
        <f t="shared" si="111"/>
        <v>0.77968490742404351</v>
      </c>
      <c r="K1371" s="114"/>
      <c r="L1371" s="37">
        <v>210.661353499</v>
      </c>
      <c r="M1371" s="37" t="s">
        <v>142</v>
      </c>
      <c r="N1371" s="37">
        <v>771.6404230243902</v>
      </c>
      <c r="O1371" s="132">
        <f t="shared" si="108"/>
        <v>162554.81592885897</v>
      </c>
      <c r="P1371" s="134">
        <f t="shared" si="109"/>
        <v>126741.53660882484</v>
      </c>
      <c r="Q1371" s="261">
        <v>1</v>
      </c>
      <c r="R1371" s="94"/>
    </row>
    <row r="1372" spans="1:18" x14ac:dyDescent="0.25">
      <c r="A1372" s="367">
        <v>40504</v>
      </c>
      <c r="B1372" s="367" t="s">
        <v>279</v>
      </c>
      <c r="C1372" s="279" t="s">
        <v>656</v>
      </c>
      <c r="D1372" s="159" t="s">
        <v>1137</v>
      </c>
      <c r="E1372" s="45">
        <f t="shared" si="110"/>
        <v>40504</v>
      </c>
      <c r="F1372" s="148" t="str">
        <f t="shared" si="107"/>
        <v>2010-11</v>
      </c>
      <c r="G1372" s="1"/>
      <c r="H1372" s="163"/>
      <c r="I1372" s="37"/>
      <c r="J1372" s="138">
        <f t="shared" si="111"/>
        <v>0.77968490742404351</v>
      </c>
      <c r="K1372" s="114"/>
      <c r="L1372" s="37">
        <v>0.95295802635799998</v>
      </c>
      <c r="M1372" s="37" t="s">
        <v>142</v>
      </c>
      <c r="N1372" s="37">
        <v>936.56682926829262</v>
      </c>
      <c r="O1372" s="132">
        <f t="shared" si="108"/>
        <v>892.50887717188209</v>
      </c>
      <c r="P1372" s="134">
        <f t="shared" si="109"/>
        <v>695.87570127289587</v>
      </c>
      <c r="Q1372" s="261">
        <v>1</v>
      </c>
      <c r="R1372" s="94"/>
    </row>
    <row r="1373" spans="1:18" x14ac:dyDescent="0.25">
      <c r="A1373" s="367">
        <v>40504</v>
      </c>
      <c r="B1373" s="367" t="s">
        <v>279</v>
      </c>
      <c r="C1373" s="279" t="s">
        <v>656</v>
      </c>
      <c r="D1373" s="159" t="s">
        <v>1136</v>
      </c>
      <c r="E1373" s="45">
        <f t="shared" si="110"/>
        <v>40504</v>
      </c>
      <c r="F1373" s="148" t="str">
        <f t="shared" si="107"/>
        <v>2010-11</v>
      </c>
      <c r="G1373" s="1"/>
      <c r="H1373" s="163"/>
      <c r="I1373" s="37"/>
      <c r="J1373" s="138">
        <f t="shared" si="111"/>
        <v>0.77968490742404351</v>
      </c>
      <c r="K1373" s="114"/>
      <c r="L1373" s="37">
        <v>34.663321205300001</v>
      </c>
      <c r="M1373" s="37" t="s">
        <v>142</v>
      </c>
      <c r="N1373" s="37">
        <v>1272.2340968780488</v>
      </c>
      <c r="O1373" s="132">
        <f t="shared" si="108"/>
        <v>44099.859148418567</v>
      </c>
      <c r="P1373" s="134">
        <f t="shared" si="109"/>
        <v>34383.994597548088</v>
      </c>
      <c r="Q1373" s="261">
        <v>1</v>
      </c>
      <c r="R1373" s="94"/>
    </row>
    <row r="1374" spans="1:18" x14ac:dyDescent="0.25">
      <c r="A1374" s="367">
        <v>40504</v>
      </c>
      <c r="B1374" s="367" t="s">
        <v>279</v>
      </c>
      <c r="C1374" s="279" t="s">
        <v>656</v>
      </c>
      <c r="D1374" s="159" t="s">
        <v>1136</v>
      </c>
      <c r="E1374" s="45">
        <f t="shared" si="110"/>
        <v>40504</v>
      </c>
      <c r="F1374" s="148" t="str">
        <f t="shared" si="107"/>
        <v>2010-11</v>
      </c>
      <c r="G1374" s="1"/>
      <c r="H1374" s="163"/>
      <c r="I1374" s="37"/>
      <c r="J1374" s="138">
        <f t="shared" si="111"/>
        <v>0.77968490742404351</v>
      </c>
      <c r="K1374" s="114"/>
      <c r="L1374" s="37">
        <v>16.3909657383</v>
      </c>
      <c r="M1374" s="37" t="s">
        <v>142</v>
      </c>
      <c r="N1374" s="37">
        <v>771.6404230243902</v>
      </c>
      <c r="O1374" s="132">
        <f t="shared" si="108"/>
        <v>12647.931736080098</v>
      </c>
      <c r="P1374" s="134">
        <f t="shared" si="109"/>
        <v>9861.4014847512335</v>
      </c>
      <c r="Q1374" s="261">
        <v>1</v>
      </c>
      <c r="R1374" s="94"/>
    </row>
    <row r="1375" spans="1:18" x14ac:dyDescent="0.25">
      <c r="A1375" s="367">
        <v>40504</v>
      </c>
      <c r="B1375" s="367" t="s">
        <v>279</v>
      </c>
      <c r="C1375" s="279" t="s">
        <v>656</v>
      </c>
      <c r="D1375" s="159" t="s">
        <v>1136</v>
      </c>
      <c r="E1375" s="45">
        <f t="shared" si="110"/>
        <v>40504</v>
      </c>
      <c r="F1375" s="148" t="str">
        <f t="shared" si="107"/>
        <v>2010-11</v>
      </c>
      <c r="G1375" s="1"/>
      <c r="H1375" s="163"/>
      <c r="I1375" s="37"/>
      <c r="J1375" s="138">
        <f t="shared" si="111"/>
        <v>0.77968490742404351</v>
      </c>
      <c r="K1375" s="114"/>
      <c r="L1375" s="37">
        <v>3.98083681525</v>
      </c>
      <c r="M1375" s="37" t="s">
        <v>142</v>
      </c>
      <c r="N1375" s="37">
        <v>771.6404230243902</v>
      </c>
      <c r="O1375" s="132">
        <f t="shared" si="108"/>
        <v>3071.7746041105761</v>
      </c>
      <c r="P1375" s="134">
        <f t="shared" si="109"/>
        <v>2395.0162978334824</v>
      </c>
      <c r="Q1375" s="261">
        <v>1</v>
      </c>
      <c r="R1375" s="94"/>
    </row>
    <row r="1376" spans="1:18" x14ac:dyDescent="0.25">
      <c r="A1376" s="367">
        <v>39571</v>
      </c>
      <c r="B1376" s="367" t="s">
        <v>279</v>
      </c>
      <c r="C1376" s="279" t="s">
        <v>657</v>
      </c>
      <c r="D1376" s="159" t="s">
        <v>1135</v>
      </c>
      <c r="E1376" s="45">
        <f t="shared" si="110"/>
        <v>39571</v>
      </c>
      <c r="F1376" s="148" t="str">
        <f t="shared" si="107"/>
        <v>2007-08</v>
      </c>
      <c r="G1376" s="1"/>
      <c r="H1376" s="163"/>
      <c r="I1376" s="37"/>
      <c r="J1376" s="138">
        <f t="shared" si="111"/>
        <v>0.77968490742404351</v>
      </c>
      <c r="K1376" s="114"/>
      <c r="L1376" s="37">
        <v>10.4914465193</v>
      </c>
      <c r="M1376" s="37" t="s">
        <v>142</v>
      </c>
      <c r="N1376" s="37">
        <v>1003.0093919999996</v>
      </c>
      <c r="O1376" s="132">
        <f t="shared" si="108"/>
        <v>10523.019394523606</v>
      </c>
      <c r="P1376" s="134">
        <f t="shared" si="109"/>
        <v>8204.6394024405527</v>
      </c>
      <c r="Q1376" s="261">
        <v>1</v>
      </c>
      <c r="R1376" s="94"/>
    </row>
    <row r="1377" spans="1:18" x14ac:dyDescent="0.25">
      <c r="A1377" s="367">
        <v>39571</v>
      </c>
      <c r="B1377" s="367" t="s">
        <v>279</v>
      </c>
      <c r="C1377" s="279" t="s">
        <v>657</v>
      </c>
      <c r="D1377" s="159" t="s">
        <v>1138</v>
      </c>
      <c r="E1377" s="45">
        <f t="shared" si="110"/>
        <v>39571</v>
      </c>
      <c r="F1377" s="148" t="str">
        <f t="shared" si="107"/>
        <v>2007-08</v>
      </c>
      <c r="G1377" s="1"/>
      <c r="H1377" s="163"/>
      <c r="I1377" s="37"/>
      <c r="J1377" s="138">
        <f t="shared" si="111"/>
        <v>0.77968490742404351</v>
      </c>
      <c r="K1377" s="114"/>
      <c r="L1377" s="37">
        <v>6.7314825261599998</v>
      </c>
      <c r="M1377" s="37" t="s">
        <v>142</v>
      </c>
      <c r="N1377" s="37">
        <v>696.6467060487804</v>
      </c>
      <c r="O1377" s="132">
        <f t="shared" si="108"/>
        <v>4689.4651286742874</v>
      </c>
      <c r="P1377" s="134">
        <f t="shared" si="109"/>
        <v>3656.3051847186921</v>
      </c>
      <c r="Q1377" s="261">
        <v>1</v>
      </c>
      <c r="R1377" s="94"/>
    </row>
    <row r="1378" spans="1:18" x14ac:dyDescent="0.25">
      <c r="A1378" s="367">
        <v>39571</v>
      </c>
      <c r="B1378" s="367" t="s">
        <v>279</v>
      </c>
      <c r="C1378" s="279" t="s">
        <v>657</v>
      </c>
      <c r="D1378" s="159" t="s">
        <v>1138</v>
      </c>
      <c r="E1378" s="45">
        <f t="shared" si="110"/>
        <v>39571</v>
      </c>
      <c r="F1378" s="148" t="str">
        <f t="shared" si="107"/>
        <v>2007-08</v>
      </c>
      <c r="G1378" s="1"/>
      <c r="H1378" s="163"/>
      <c r="I1378" s="37"/>
      <c r="J1378" s="138">
        <f t="shared" si="111"/>
        <v>0.77968490742404351</v>
      </c>
      <c r="K1378" s="114"/>
      <c r="L1378" s="37">
        <v>3.8507308632599999</v>
      </c>
      <c r="M1378" s="37" t="s">
        <v>142</v>
      </c>
      <c r="N1378" s="37">
        <v>696.6467060487804</v>
      </c>
      <c r="O1378" s="132">
        <f t="shared" si="108"/>
        <v>2682.5989717704556</v>
      </c>
      <c r="P1378" s="134">
        <f t="shared" si="109"/>
        <v>2091.5819309606818</v>
      </c>
      <c r="Q1378" s="261">
        <v>1</v>
      </c>
      <c r="R1378" s="94"/>
    </row>
    <row r="1379" spans="1:18" x14ac:dyDescent="0.25">
      <c r="A1379" s="367">
        <v>39571</v>
      </c>
      <c r="B1379" s="367" t="s">
        <v>279</v>
      </c>
      <c r="C1379" s="279" t="s">
        <v>657</v>
      </c>
      <c r="D1379" s="159" t="s">
        <v>1135</v>
      </c>
      <c r="E1379" s="45">
        <f t="shared" si="110"/>
        <v>39571</v>
      </c>
      <c r="F1379" s="148" t="str">
        <f t="shared" si="107"/>
        <v>2007-08</v>
      </c>
      <c r="G1379" s="1"/>
      <c r="H1379" s="163"/>
      <c r="I1379" s="37"/>
      <c r="J1379" s="138">
        <f t="shared" si="111"/>
        <v>0.77968490742404351</v>
      </c>
      <c r="K1379" s="114"/>
      <c r="L1379" s="37">
        <v>1.08411300149</v>
      </c>
      <c r="M1379" s="37" t="s">
        <v>142</v>
      </c>
      <c r="N1379" s="37">
        <v>696.6467060487804</v>
      </c>
      <c r="O1379" s="132">
        <f t="shared" si="108"/>
        <v>755.24375147266505</v>
      </c>
      <c r="P1379" s="134">
        <f t="shared" si="109"/>
        <v>588.85215444955213</v>
      </c>
      <c r="Q1379" s="261">
        <v>1</v>
      </c>
      <c r="R1379" s="94"/>
    </row>
    <row r="1380" spans="1:18" x14ac:dyDescent="0.25">
      <c r="A1380" s="367">
        <v>40086</v>
      </c>
      <c r="B1380" s="367" t="s">
        <v>279</v>
      </c>
      <c r="C1380" s="279" t="s">
        <v>658</v>
      </c>
      <c r="D1380" s="159" t="s">
        <v>1136</v>
      </c>
      <c r="E1380" s="45">
        <f t="shared" si="110"/>
        <v>40086</v>
      </c>
      <c r="F1380" s="148" t="str">
        <f t="shared" si="107"/>
        <v>2009-10</v>
      </c>
      <c r="G1380" s="1"/>
      <c r="H1380" s="163"/>
      <c r="I1380" s="37"/>
      <c r="J1380" s="138">
        <f t="shared" si="111"/>
        <v>0.77968490742404351</v>
      </c>
      <c r="K1380" s="114"/>
      <c r="L1380" s="37">
        <v>245.363532163</v>
      </c>
      <c r="M1380" s="37" t="s">
        <v>142</v>
      </c>
      <c r="N1380" s="37">
        <v>1181.2618378536583</v>
      </c>
      <c r="O1380" s="132">
        <f t="shared" si="108"/>
        <v>289838.5769451306</v>
      </c>
      <c r="P1380" s="134">
        <f t="shared" si="109"/>
        <v>225982.76403338066</v>
      </c>
      <c r="Q1380" s="261">
        <v>1</v>
      </c>
      <c r="R1380" s="94"/>
    </row>
    <row r="1381" spans="1:18" x14ac:dyDescent="0.25">
      <c r="A1381" s="367">
        <v>40086</v>
      </c>
      <c r="B1381" s="367" t="s">
        <v>279</v>
      </c>
      <c r="C1381" s="279" t="s">
        <v>658</v>
      </c>
      <c r="D1381" s="159" t="s">
        <v>1136</v>
      </c>
      <c r="E1381" s="45">
        <f t="shared" si="110"/>
        <v>40086</v>
      </c>
      <c r="F1381" s="148" t="str">
        <f t="shared" si="107"/>
        <v>2009-10</v>
      </c>
      <c r="G1381" s="1"/>
      <c r="H1381" s="163"/>
      <c r="I1381" s="37"/>
      <c r="J1381" s="138">
        <f t="shared" si="111"/>
        <v>0.77968490742404351</v>
      </c>
      <c r="K1381" s="114"/>
      <c r="L1381" s="37">
        <v>155.10487797799999</v>
      </c>
      <c r="M1381" s="37" t="s">
        <v>142</v>
      </c>
      <c r="N1381" s="37">
        <v>696.6467060487804</v>
      </c>
      <c r="O1381" s="132">
        <f t="shared" si="108"/>
        <v>108053.30233547172</v>
      </c>
      <c r="P1381" s="134">
        <f t="shared" si="109"/>
        <v>84247.529028294448</v>
      </c>
      <c r="Q1381" s="261">
        <v>1</v>
      </c>
      <c r="R1381" s="94"/>
    </row>
    <row r="1382" spans="1:18" x14ac:dyDescent="0.25">
      <c r="A1382" s="367">
        <v>40086</v>
      </c>
      <c r="B1382" s="367" t="s">
        <v>279</v>
      </c>
      <c r="C1382" s="279" t="s">
        <v>658</v>
      </c>
      <c r="D1382" s="159" t="s">
        <v>1136</v>
      </c>
      <c r="E1382" s="45">
        <f t="shared" si="110"/>
        <v>40086</v>
      </c>
      <c r="F1382" s="148" t="str">
        <f t="shared" si="107"/>
        <v>2009-10</v>
      </c>
      <c r="G1382" s="1"/>
      <c r="H1382" s="163"/>
      <c r="I1382" s="37"/>
      <c r="J1382" s="138">
        <f t="shared" si="111"/>
        <v>0.77968490742404351</v>
      </c>
      <c r="K1382" s="114"/>
      <c r="L1382" s="37">
        <v>1.4995562677000001</v>
      </c>
      <c r="M1382" s="37" t="s">
        <v>142</v>
      </c>
      <c r="N1382" s="37">
        <v>696.6467060487804</v>
      </c>
      <c r="O1382" s="132">
        <f t="shared" si="108"/>
        <v>1044.6609344280082</v>
      </c>
      <c r="P1382" s="134">
        <f t="shared" si="109"/>
        <v>814.5063639490163</v>
      </c>
      <c r="Q1382" s="261">
        <v>1</v>
      </c>
      <c r="R1382" s="94"/>
    </row>
    <row r="1383" spans="1:18" x14ac:dyDescent="0.25">
      <c r="A1383" s="367">
        <v>40086</v>
      </c>
      <c r="B1383" s="367" t="s">
        <v>279</v>
      </c>
      <c r="C1383" s="279" t="s">
        <v>658</v>
      </c>
      <c r="D1383" s="159" t="s">
        <v>1136</v>
      </c>
      <c r="E1383" s="45">
        <f t="shared" si="110"/>
        <v>40086</v>
      </c>
      <c r="F1383" s="148" t="str">
        <f t="shared" si="107"/>
        <v>2009-10</v>
      </c>
      <c r="G1383" s="1"/>
      <c r="H1383" s="163"/>
      <c r="I1383" s="37"/>
      <c r="J1383" s="138">
        <f t="shared" si="111"/>
        <v>0.77968490742404351</v>
      </c>
      <c r="K1383" s="114"/>
      <c r="L1383" s="37">
        <v>36.515523140600003</v>
      </c>
      <c r="M1383" s="37" t="s">
        <v>142</v>
      </c>
      <c r="N1383" s="37">
        <v>771.6404230243902</v>
      </c>
      <c r="O1383" s="132">
        <f t="shared" si="108"/>
        <v>28176.853723169497</v>
      </c>
      <c r="P1383" s="134">
        <f t="shared" si="109"/>
        <v>21969.067586650224</v>
      </c>
      <c r="Q1383" s="261">
        <v>1</v>
      </c>
      <c r="R1383" s="94"/>
    </row>
    <row r="1384" spans="1:18" x14ac:dyDescent="0.25">
      <c r="A1384" s="367">
        <v>40086</v>
      </c>
      <c r="B1384" s="367" t="s">
        <v>279</v>
      </c>
      <c r="C1384" s="279" t="s">
        <v>658</v>
      </c>
      <c r="D1384" s="159" t="s">
        <v>1136</v>
      </c>
      <c r="E1384" s="45">
        <f t="shared" si="110"/>
        <v>40086</v>
      </c>
      <c r="F1384" s="148" t="str">
        <f t="shared" si="107"/>
        <v>2009-10</v>
      </c>
      <c r="G1384" s="1"/>
      <c r="H1384" s="163"/>
      <c r="I1384" s="37"/>
      <c r="J1384" s="138">
        <f t="shared" si="111"/>
        <v>0.77968490742404351</v>
      </c>
      <c r="K1384" s="114"/>
      <c r="L1384" s="37">
        <v>4.5724798772100002</v>
      </c>
      <c r="M1384" s="37" t="s">
        <v>142</v>
      </c>
      <c r="N1384" s="37">
        <v>771.6404230243902</v>
      </c>
      <c r="O1384" s="132">
        <f t="shared" si="108"/>
        <v>3528.3103067208363</v>
      </c>
      <c r="P1384" s="134">
        <f t="shared" si="109"/>
        <v>2750.9702948589338</v>
      </c>
      <c r="Q1384" s="261">
        <v>1</v>
      </c>
      <c r="R1384" s="94"/>
    </row>
    <row r="1385" spans="1:18" x14ac:dyDescent="0.25">
      <c r="A1385" s="367">
        <v>40086</v>
      </c>
      <c r="B1385" s="367" t="s">
        <v>279</v>
      </c>
      <c r="C1385" s="279" t="s">
        <v>658</v>
      </c>
      <c r="D1385" s="159" t="s">
        <v>1136</v>
      </c>
      <c r="E1385" s="45">
        <f t="shared" si="110"/>
        <v>40086</v>
      </c>
      <c r="F1385" s="148" t="str">
        <f t="shared" si="107"/>
        <v>2009-10</v>
      </c>
      <c r="G1385" s="1"/>
      <c r="H1385" s="163"/>
      <c r="I1385" s="37"/>
      <c r="J1385" s="138">
        <f t="shared" si="111"/>
        <v>0.77968490742404351</v>
      </c>
      <c r="K1385" s="114"/>
      <c r="L1385" s="37">
        <v>4.0003986353399998</v>
      </c>
      <c r="M1385" s="37" t="s">
        <v>142</v>
      </c>
      <c r="N1385" s="37">
        <v>771.6404230243902</v>
      </c>
      <c r="O1385" s="132">
        <f t="shared" si="108"/>
        <v>3086.8692952399506</v>
      </c>
      <c r="P1385" s="134">
        <f t="shared" si="109"/>
        <v>2406.7854006892835</v>
      </c>
      <c r="Q1385" s="261">
        <v>1</v>
      </c>
      <c r="R1385" s="94"/>
    </row>
    <row r="1386" spans="1:18" x14ac:dyDescent="0.25">
      <c r="A1386" s="367">
        <v>40086</v>
      </c>
      <c r="B1386" s="367" t="s">
        <v>279</v>
      </c>
      <c r="C1386" s="279" t="s">
        <v>658</v>
      </c>
      <c r="D1386" s="159" t="s">
        <v>1136</v>
      </c>
      <c r="E1386" s="45">
        <f t="shared" si="110"/>
        <v>40086</v>
      </c>
      <c r="F1386" s="148" t="str">
        <f t="shared" si="107"/>
        <v>2009-10</v>
      </c>
      <c r="G1386" s="1"/>
      <c r="H1386" s="163"/>
      <c r="I1386" s="37"/>
      <c r="J1386" s="138">
        <f t="shared" si="111"/>
        <v>0.77968490742404351</v>
      </c>
      <c r="K1386" s="114"/>
      <c r="L1386" s="37">
        <v>2.4998663964299999</v>
      </c>
      <c r="M1386" s="37" t="s">
        <v>142</v>
      </c>
      <c r="N1386" s="37">
        <v>771.6404230243902</v>
      </c>
      <c r="O1386" s="132">
        <f t="shared" si="108"/>
        <v>1928.9979636457031</v>
      </c>
      <c r="P1386" s="134">
        <f t="shared" si="109"/>
        <v>1504.0105987062684</v>
      </c>
      <c r="Q1386" s="261">
        <v>1</v>
      </c>
      <c r="R1386" s="94"/>
    </row>
    <row r="1387" spans="1:18" x14ac:dyDescent="0.25">
      <c r="A1387" s="367">
        <v>40049</v>
      </c>
      <c r="B1387" s="367" t="s">
        <v>279</v>
      </c>
      <c r="C1387" s="279" t="s">
        <v>659</v>
      </c>
      <c r="D1387" s="159" t="s">
        <v>1134</v>
      </c>
      <c r="E1387" s="45">
        <f t="shared" si="110"/>
        <v>40049</v>
      </c>
      <c r="F1387" s="148" t="str">
        <f t="shared" si="107"/>
        <v>2009-10</v>
      </c>
      <c r="G1387" s="1"/>
      <c r="H1387" s="163"/>
      <c r="I1387" s="37"/>
      <c r="J1387" s="138">
        <f t="shared" si="111"/>
        <v>0.77968490742404351</v>
      </c>
      <c r="K1387" s="114"/>
      <c r="L1387" s="37">
        <v>3.00102449174</v>
      </c>
      <c r="M1387" s="37" t="s">
        <v>142</v>
      </c>
      <c r="N1387" s="37">
        <v>1422.8419512195119</v>
      </c>
      <c r="O1387" s="132">
        <f t="shared" si="108"/>
        <v>4269.9835434848856</v>
      </c>
      <c r="P1387" s="134">
        <f t="shared" si="109"/>
        <v>3329.2417238042021</v>
      </c>
      <c r="Q1387" s="261">
        <v>1</v>
      </c>
      <c r="R1387" s="94"/>
    </row>
    <row r="1388" spans="1:18" x14ac:dyDescent="0.25">
      <c r="A1388" s="367">
        <v>40049</v>
      </c>
      <c r="B1388" s="367" t="s">
        <v>279</v>
      </c>
      <c r="C1388" s="279" t="s">
        <v>659</v>
      </c>
      <c r="D1388" s="159" t="s">
        <v>1134</v>
      </c>
      <c r="E1388" s="45">
        <f t="shared" si="110"/>
        <v>40049</v>
      </c>
      <c r="F1388" s="148" t="str">
        <f t="shared" si="107"/>
        <v>2009-10</v>
      </c>
      <c r="G1388" s="1"/>
      <c r="H1388" s="163"/>
      <c r="I1388" s="37"/>
      <c r="J1388" s="138">
        <f t="shared" si="111"/>
        <v>0.77968490742404351</v>
      </c>
      <c r="K1388" s="114"/>
      <c r="L1388" s="37">
        <v>1.4998966631099999</v>
      </c>
      <c r="M1388" s="37" t="s">
        <v>142</v>
      </c>
      <c r="N1388" s="37">
        <v>1422.8419512195119</v>
      </c>
      <c r="O1388" s="132">
        <f t="shared" si="108"/>
        <v>2134.1158947670669</v>
      </c>
      <c r="P1388" s="134">
        <f t="shared" si="109"/>
        <v>1663.9379538436403</v>
      </c>
      <c r="Q1388" s="261">
        <v>1</v>
      </c>
      <c r="R1388" s="94"/>
    </row>
    <row r="1389" spans="1:18" x14ac:dyDescent="0.25">
      <c r="A1389" s="367">
        <v>40049</v>
      </c>
      <c r="B1389" s="367" t="s">
        <v>279</v>
      </c>
      <c r="C1389" s="279" t="s">
        <v>659</v>
      </c>
      <c r="D1389" s="159" t="s">
        <v>1134</v>
      </c>
      <c r="E1389" s="45">
        <f t="shared" si="110"/>
        <v>40049</v>
      </c>
      <c r="F1389" s="148" t="str">
        <f t="shared" si="107"/>
        <v>2009-10</v>
      </c>
      <c r="G1389" s="1"/>
      <c r="H1389" s="163"/>
      <c r="I1389" s="37"/>
      <c r="J1389" s="138">
        <f t="shared" si="111"/>
        <v>0.77968490742404351</v>
      </c>
      <c r="K1389" s="114"/>
      <c r="L1389" s="37">
        <v>1.4906793753200001</v>
      </c>
      <c r="M1389" s="37" t="s">
        <v>142</v>
      </c>
      <c r="N1389" s="37">
        <v>1422.8419512195119</v>
      </c>
      <c r="O1389" s="132">
        <f t="shared" si="108"/>
        <v>2121.001151022992</v>
      </c>
      <c r="P1389" s="134">
        <f t="shared" si="109"/>
        <v>1653.7125860816511</v>
      </c>
      <c r="Q1389" s="261">
        <v>1</v>
      </c>
      <c r="R1389" s="94"/>
    </row>
    <row r="1390" spans="1:18" x14ac:dyDescent="0.25">
      <c r="A1390" s="367">
        <v>39680</v>
      </c>
      <c r="B1390" s="367" t="s">
        <v>279</v>
      </c>
      <c r="C1390" s="279" t="s">
        <v>299</v>
      </c>
      <c r="D1390" s="159" t="s">
        <v>1134</v>
      </c>
      <c r="E1390" s="45">
        <f t="shared" si="110"/>
        <v>39680</v>
      </c>
      <c r="F1390" s="148" t="str">
        <f t="shared" si="107"/>
        <v>2008-09</v>
      </c>
      <c r="G1390" s="1"/>
      <c r="H1390" s="163"/>
      <c r="I1390" s="37"/>
      <c r="J1390" s="138">
        <f t="shared" si="111"/>
        <v>0.77968490742404351</v>
      </c>
      <c r="K1390" s="114"/>
      <c r="L1390" s="37">
        <v>1.9996649719399999</v>
      </c>
      <c r="M1390" s="37" t="s">
        <v>142</v>
      </c>
      <c r="N1390" s="37">
        <v>1422.8419512195119</v>
      </c>
      <c r="O1390" s="132">
        <f t="shared" si="108"/>
        <v>2845.2072104604199</v>
      </c>
      <c r="P1390" s="134">
        <f t="shared" si="109"/>
        <v>2218.3651204900534</v>
      </c>
      <c r="Q1390" s="261">
        <v>1</v>
      </c>
      <c r="R1390" s="94"/>
    </row>
    <row r="1391" spans="1:18" x14ac:dyDescent="0.25">
      <c r="A1391" s="367">
        <v>39053</v>
      </c>
      <c r="B1391" s="367" t="s">
        <v>279</v>
      </c>
      <c r="C1391" s="279" t="s">
        <v>660</v>
      </c>
      <c r="D1391" s="159" t="s">
        <v>1139</v>
      </c>
      <c r="E1391" s="45">
        <f t="shared" si="110"/>
        <v>39053</v>
      </c>
      <c r="F1391" s="148" t="str">
        <f t="shared" si="107"/>
        <v>2006-07</v>
      </c>
      <c r="G1391" s="1"/>
      <c r="H1391" s="163"/>
      <c r="I1391" s="37"/>
      <c r="J1391" s="138">
        <f t="shared" si="111"/>
        <v>0.77968490742404351</v>
      </c>
      <c r="K1391" s="114"/>
      <c r="L1391" s="37">
        <v>73.666979354099993</v>
      </c>
      <c r="M1391" s="37" t="s">
        <v>142</v>
      </c>
      <c r="N1391" s="37">
        <v>1422.8419512195119</v>
      </c>
      <c r="O1391" s="132">
        <f t="shared" si="108"/>
        <v>104816.46864463513</v>
      </c>
      <c r="P1391" s="134">
        <f t="shared" si="109"/>
        <v>81723.818651707494</v>
      </c>
      <c r="Q1391" s="261">
        <v>1</v>
      </c>
      <c r="R1391" s="94"/>
    </row>
    <row r="1392" spans="1:18" x14ac:dyDescent="0.25">
      <c r="A1392" s="367">
        <v>43081</v>
      </c>
      <c r="B1392" s="367" t="s">
        <v>279</v>
      </c>
      <c r="C1392" s="279" t="s">
        <v>655</v>
      </c>
      <c r="D1392" s="159" t="s">
        <v>1134</v>
      </c>
      <c r="E1392" s="45">
        <f t="shared" si="110"/>
        <v>43081</v>
      </c>
      <c r="F1392" s="148" t="str">
        <f t="shared" si="107"/>
        <v>2017-18</v>
      </c>
      <c r="G1392" s="1"/>
      <c r="H1392" s="163"/>
      <c r="I1392" s="37"/>
      <c r="J1392" s="138">
        <f t="shared" si="111"/>
        <v>0.77968490742404351</v>
      </c>
      <c r="K1392" s="114"/>
      <c r="L1392" s="37">
        <v>3.6003815170200002</v>
      </c>
      <c r="M1392" s="37" t="s">
        <v>142</v>
      </c>
      <c r="N1392" s="37">
        <v>936.5640883902438</v>
      </c>
      <c r="O1392" s="132">
        <f t="shared" si="108"/>
        <v>3371.9880333449196</v>
      </c>
      <c r="P1392" s="134">
        <f t="shared" si="109"/>
        <v>2629.0881776135161</v>
      </c>
      <c r="Q1392" s="261">
        <v>1</v>
      </c>
      <c r="R1392" s="94"/>
    </row>
    <row r="1393" spans="1:18" x14ac:dyDescent="0.25">
      <c r="A1393" s="367">
        <v>43081</v>
      </c>
      <c r="B1393" s="367" t="s">
        <v>279</v>
      </c>
      <c r="C1393" s="279" t="s">
        <v>655</v>
      </c>
      <c r="D1393" s="159" t="s">
        <v>1134</v>
      </c>
      <c r="E1393" s="45">
        <f t="shared" si="110"/>
        <v>43081</v>
      </c>
      <c r="F1393" s="148" t="str">
        <f t="shared" si="107"/>
        <v>2017-18</v>
      </c>
      <c r="G1393" s="1"/>
      <c r="H1393" s="163"/>
      <c r="I1393" s="37"/>
      <c r="J1393" s="138">
        <f t="shared" si="111"/>
        <v>0.77968490742404351</v>
      </c>
      <c r="K1393" s="114"/>
      <c r="L1393" s="37">
        <v>1.19908506787</v>
      </c>
      <c r="M1393" s="37" t="s">
        <v>142</v>
      </c>
      <c r="N1393" s="37">
        <v>936.5640883902438</v>
      </c>
      <c r="O1393" s="132">
        <f t="shared" si="108"/>
        <v>1123.0200134920201</v>
      </c>
      <c r="P1393" s="134">
        <f t="shared" si="109"/>
        <v>875.60175525487375</v>
      </c>
      <c r="Q1393" s="261">
        <v>1</v>
      </c>
      <c r="R1393" s="94"/>
    </row>
    <row r="1394" spans="1:18" x14ac:dyDescent="0.25">
      <c r="A1394" s="367">
        <v>43081</v>
      </c>
      <c r="B1394" s="367" t="s">
        <v>279</v>
      </c>
      <c r="C1394" s="279" t="s">
        <v>655</v>
      </c>
      <c r="D1394" s="159" t="s">
        <v>1134</v>
      </c>
      <c r="E1394" s="45">
        <f t="shared" si="110"/>
        <v>43081</v>
      </c>
      <c r="F1394" s="148" t="str">
        <f t="shared" si="107"/>
        <v>2017-18</v>
      </c>
      <c r="G1394" s="1"/>
      <c r="H1394" s="163"/>
      <c r="I1394" s="37"/>
      <c r="J1394" s="138">
        <f t="shared" si="111"/>
        <v>0.77968490742404351</v>
      </c>
      <c r="K1394" s="114"/>
      <c r="L1394" s="37">
        <v>21.794828196299999</v>
      </c>
      <c r="M1394" s="37" t="s">
        <v>142</v>
      </c>
      <c r="N1394" s="37">
        <v>696.6467060487804</v>
      </c>
      <c r="O1394" s="132">
        <f t="shared" si="108"/>
        <v>15183.295271851477</v>
      </c>
      <c r="P1394" s="134">
        <f t="shared" si="109"/>
        <v>11838.186168425436</v>
      </c>
      <c r="Q1394" s="261">
        <v>1</v>
      </c>
      <c r="R1394" s="94"/>
    </row>
    <row r="1395" spans="1:18" x14ac:dyDescent="0.25">
      <c r="A1395" s="367">
        <v>43081</v>
      </c>
      <c r="B1395" s="367" t="s">
        <v>279</v>
      </c>
      <c r="C1395" s="279" t="s">
        <v>655</v>
      </c>
      <c r="D1395" s="159" t="s">
        <v>1140</v>
      </c>
      <c r="E1395" s="45">
        <f t="shared" si="110"/>
        <v>43081</v>
      </c>
      <c r="F1395" s="148" t="str">
        <f t="shared" si="107"/>
        <v>2017-18</v>
      </c>
      <c r="G1395" s="1"/>
      <c r="H1395" s="163"/>
      <c r="I1395" s="37"/>
      <c r="J1395" s="138">
        <f t="shared" si="111"/>
        <v>0.77968490742404351</v>
      </c>
      <c r="K1395" s="114"/>
      <c r="L1395" s="37">
        <v>51.376051130500002</v>
      </c>
      <c r="M1395" s="37" t="s">
        <v>142</v>
      </c>
      <c r="N1395" s="37">
        <v>936.5640883902438</v>
      </c>
      <c r="O1395" s="132">
        <f t="shared" si="108"/>
        <v>48116.964492127292</v>
      </c>
      <c r="P1395" s="134">
        <f t="shared" si="109"/>
        <v>37516.071005570258</v>
      </c>
      <c r="Q1395" s="261">
        <v>1</v>
      </c>
      <c r="R1395" s="94"/>
    </row>
    <row r="1396" spans="1:18" x14ac:dyDescent="0.25">
      <c r="A1396" s="367">
        <v>43081</v>
      </c>
      <c r="B1396" s="367" t="s">
        <v>279</v>
      </c>
      <c r="C1396" s="279" t="s">
        <v>655</v>
      </c>
      <c r="D1396" s="159" t="s">
        <v>1140</v>
      </c>
      <c r="E1396" s="45">
        <f t="shared" si="110"/>
        <v>43081</v>
      </c>
      <c r="F1396" s="148" t="str">
        <f t="shared" si="107"/>
        <v>2017-18</v>
      </c>
      <c r="G1396" s="1"/>
      <c r="H1396" s="163"/>
      <c r="I1396" s="37"/>
      <c r="J1396" s="138">
        <f t="shared" si="111"/>
        <v>0.77968490742404351</v>
      </c>
      <c r="K1396" s="114"/>
      <c r="L1396" s="37">
        <v>3.22808069912</v>
      </c>
      <c r="M1396" s="37" t="s">
        <v>142</v>
      </c>
      <c r="N1396" s="37">
        <v>696.6467060487804</v>
      </c>
      <c r="O1396" s="132">
        <f t="shared" si="108"/>
        <v>2248.831785901592</v>
      </c>
      <c r="P1396" s="134">
        <f t="shared" si="109"/>
        <v>1753.3802028029293</v>
      </c>
      <c r="Q1396" s="261">
        <v>1</v>
      </c>
      <c r="R1396" s="94"/>
    </row>
    <row r="1397" spans="1:18" x14ac:dyDescent="0.25">
      <c r="A1397" s="367">
        <v>43081</v>
      </c>
      <c r="B1397" s="367" t="s">
        <v>279</v>
      </c>
      <c r="C1397" s="279" t="s">
        <v>655</v>
      </c>
      <c r="D1397" s="159" t="s">
        <v>1140</v>
      </c>
      <c r="E1397" s="45">
        <f t="shared" si="110"/>
        <v>43081</v>
      </c>
      <c r="F1397" s="148" t="str">
        <f t="shared" si="107"/>
        <v>2017-18</v>
      </c>
      <c r="G1397" s="1"/>
      <c r="H1397" s="163"/>
      <c r="I1397" s="37"/>
      <c r="J1397" s="138">
        <f t="shared" si="111"/>
        <v>0.77968490742404351</v>
      </c>
      <c r="K1397" s="114"/>
      <c r="L1397" s="37">
        <v>2.4713563114800001</v>
      </c>
      <c r="M1397" s="37" t="s">
        <v>142</v>
      </c>
      <c r="N1397" s="37">
        <v>936.5640883902438</v>
      </c>
      <c r="O1397" s="132">
        <f t="shared" si="108"/>
        <v>2314.5835709487419</v>
      </c>
      <c r="P1397" s="134">
        <f t="shared" si="109"/>
        <v>1804.6458772403819</v>
      </c>
      <c r="Q1397" s="261">
        <v>1</v>
      </c>
      <c r="R1397" s="94"/>
    </row>
    <row r="1398" spans="1:18" x14ac:dyDescent="0.25">
      <c r="A1398" s="367">
        <v>40940</v>
      </c>
      <c r="B1398" s="367" t="s">
        <v>279</v>
      </c>
      <c r="C1398" s="279" t="s">
        <v>296</v>
      </c>
      <c r="D1398" s="159" t="s">
        <v>1134</v>
      </c>
      <c r="E1398" s="45">
        <f t="shared" si="110"/>
        <v>40940</v>
      </c>
      <c r="F1398" s="148" t="str">
        <f t="shared" si="107"/>
        <v>2011-12</v>
      </c>
      <c r="G1398" s="1"/>
      <c r="H1398" s="163"/>
      <c r="I1398" s="37"/>
      <c r="J1398" s="138">
        <f t="shared" si="111"/>
        <v>0.77968490742404351</v>
      </c>
      <c r="K1398" s="114"/>
      <c r="L1398" s="37">
        <v>6.0832449065700001</v>
      </c>
      <c r="M1398" s="37" t="s">
        <v>142</v>
      </c>
      <c r="N1398" s="37">
        <v>1422.8419512195119</v>
      </c>
      <c r="O1398" s="132">
        <f t="shared" si="108"/>
        <v>8655.4960526102168</v>
      </c>
      <c r="P1398" s="134">
        <f t="shared" si="109"/>
        <v>6748.5596384885712</v>
      </c>
      <c r="Q1398" s="261">
        <v>1</v>
      </c>
      <c r="R1398" s="94"/>
    </row>
    <row r="1399" spans="1:18" x14ac:dyDescent="0.25">
      <c r="A1399" s="367">
        <v>43081</v>
      </c>
      <c r="B1399" s="367" t="s">
        <v>279</v>
      </c>
      <c r="C1399" s="279" t="s">
        <v>655</v>
      </c>
      <c r="D1399" s="159" t="s">
        <v>1140</v>
      </c>
      <c r="E1399" s="45">
        <f t="shared" si="110"/>
        <v>43081</v>
      </c>
      <c r="F1399" s="148" t="str">
        <f t="shared" si="107"/>
        <v>2017-18</v>
      </c>
      <c r="G1399" s="1"/>
      <c r="H1399" s="163"/>
      <c r="I1399" s="37"/>
      <c r="J1399" s="138">
        <f t="shared" si="111"/>
        <v>0.77968490742404351</v>
      </c>
      <c r="K1399" s="114"/>
      <c r="L1399" s="37">
        <v>2.6383707093600002</v>
      </c>
      <c r="M1399" s="37" t="s">
        <v>142</v>
      </c>
      <c r="N1399" s="37">
        <v>771.6404230243902</v>
      </c>
      <c r="O1399" s="132">
        <f t="shared" si="108"/>
        <v>2035.8734902657111</v>
      </c>
      <c r="P1399" s="134">
        <f t="shared" si="109"/>
        <v>1587.3398337848853</v>
      </c>
      <c r="Q1399" s="261">
        <v>1</v>
      </c>
      <c r="R1399" s="94"/>
    </row>
    <row r="1400" spans="1:18" x14ac:dyDescent="0.25">
      <c r="A1400" s="367">
        <v>43081</v>
      </c>
      <c r="B1400" s="367" t="s">
        <v>279</v>
      </c>
      <c r="C1400" s="279" t="s">
        <v>655</v>
      </c>
      <c r="D1400" s="159" t="s">
        <v>1140</v>
      </c>
      <c r="E1400" s="45">
        <f t="shared" si="110"/>
        <v>43081</v>
      </c>
      <c r="F1400" s="148" t="str">
        <f t="shared" si="107"/>
        <v>2017-18</v>
      </c>
      <c r="G1400" s="1"/>
      <c r="H1400" s="163"/>
      <c r="I1400" s="37"/>
      <c r="J1400" s="138">
        <f t="shared" si="111"/>
        <v>0.77968490742404351</v>
      </c>
      <c r="K1400" s="114"/>
      <c r="L1400" s="37">
        <v>0.97449320161800002</v>
      </c>
      <c r="M1400" s="37" t="s">
        <v>142</v>
      </c>
      <c r="N1400" s="37">
        <v>771.6404230243902</v>
      </c>
      <c r="O1400" s="132">
        <f t="shared" si="108"/>
        <v>751.9583463309059</v>
      </c>
      <c r="P1400" s="134">
        <f t="shared" si="109"/>
        <v>586.29057364574919</v>
      </c>
      <c r="Q1400" s="261">
        <v>1</v>
      </c>
      <c r="R1400" s="94"/>
    </row>
    <row r="1401" spans="1:18" x14ac:dyDescent="0.25">
      <c r="A1401" s="367">
        <v>39417</v>
      </c>
      <c r="B1401" s="367" t="s">
        <v>279</v>
      </c>
      <c r="C1401" s="279" t="s">
        <v>660</v>
      </c>
      <c r="D1401" s="159" t="s">
        <v>1139</v>
      </c>
      <c r="E1401" s="45">
        <f t="shared" si="110"/>
        <v>39417</v>
      </c>
      <c r="F1401" s="148" t="str">
        <f t="shared" si="107"/>
        <v>2007-08</v>
      </c>
      <c r="G1401" s="1"/>
      <c r="H1401" s="163"/>
      <c r="I1401" s="37"/>
      <c r="J1401" s="138">
        <f t="shared" si="111"/>
        <v>0.77968490742404351</v>
      </c>
      <c r="K1401" s="114"/>
      <c r="L1401" s="37">
        <v>11.8041812362</v>
      </c>
      <c r="M1401" s="37" t="s">
        <v>142</v>
      </c>
      <c r="N1401" s="37">
        <v>1422.8419512195119</v>
      </c>
      <c r="O1401" s="132">
        <f t="shared" si="108"/>
        <v>16795.484262663558</v>
      </c>
      <c r="P1401" s="134">
        <f t="shared" si="109"/>
        <v>13095.185592476815</v>
      </c>
      <c r="Q1401" s="261">
        <v>1</v>
      </c>
      <c r="R1401" s="94"/>
    </row>
    <row r="1402" spans="1:18" x14ac:dyDescent="0.25">
      <c r="A1402" s="367">
        <v>42845</v>
      </c>
      <c r="B1402" s="367" t="s">
        <v>279</v>
      </c>
      <c r="C1402" s="279" t="s">
        <v>645</v>
      </c>
      <c r="D1402" s="159" t="s">
        <v>1140</v>
      </c>
      <c r="E1402" s="45">
        <f t="shared" si="110"/>
        <v>42845</v>
      </c>
      <c r="F1402" s="148" t="str">
        <f t="shared" si="107"/>
        <v>2016-17</v>
      </c>
      <c r="G1402" s="1"/>
      <c r="H1402" s="163"/>
      <c r="I1402" s="37"/>
      <c r="J1402" s="138">
        <f t="shared" si="111"/>
        <v>0.77968490742404351</v>
      </c>
      <c r="K1402" s="114"/>
      <c r="L1402" s="37">
        <v>53.514565023099998</v>
      </c>
      <c r="M1402" s="37" t="s">
        <v>142</v>
      </c>
      <c r="N1402" s="37">
        <v>1512.3320841951218</v>
      </c>
      <c r="O1402" s="132">
        <f t="shared" si="108"/>
        <v>80931.793656180176</v>
      </c>
      <c r="P1402" s="134">
        <f t="shared" si="109"/>
        <v>63101.298044480631</v>
      </c>
      <c r="Q1402" s="261">
        <v>1</v>
      </c>
      <c r="R1402" s="94"/>
    </row>
    <row r="1403" spans="1:18" x14ac:dyDescent="0.25">
      <c r="A1403" s="367">
        <v>42845</v>
      </c>
      <c r="B1403" s="367" t="s">
        <v>279</v>
      </c>
      <c r="C1403" s="279" t="s">
        <v>645</v>
      </c>
      <c r="D1403" s="159" t="s">
        <v>1126</v>
      </c>
      <c r="E1403" s="45">
        <f t="shared" si="110"/>
        <v>42845</v>
      </c>
      <c r="F1403" s="148" t="str">
        <f t="shared" si="107"/>
        <v>2016-17</v>
      </c>
      <c r="G1403" s="1"/>
      <c r="H1403" s="163"/>
      <c r="I1403" s="37"/>
      <c r="J1403" s="138">
        <f t="shared" si="111"/>
        <v>0.77968490742404351</v>
      </c>
      <c r="K1403" s="114"/>
      <c r="L1403" s="37">
        <v>3.9995487805700001</v>
      </c>
      <c r="M1403" s="37" t="s">
        <v>142</v>
      </c>
      <c r="N1403" s="37">
        <v>771.6404230243902</v>
      </c>
      <c r="O1403" s="132">
        <f t="shared" si="108"/>
        <v>3086.2135129457188</v>
      </c>
      <c r="P1403" s="134">
        <f t="shared" si="109"/>
        <v>2406.2740971319149</v>
      </c>
      <c r="Q1403" s="261">
        <v>1</v>
      </c>
      <c r="R1403" s="94"/>
    </row>
    <row r="1404" spans="1:18" x14ac:dyDescent="0.25">
      <c r="A1404" s="367">
        <v>42845</v>
      </c>
      <c r="B1404" s="367" t="s">
        <v>279</v>
      </c>
      <c r="C1404" s="279" t="s">
        <v>645</v>
      </c>
      <c r="D1404" s="159" t="s">
        <v>1126</v>
      </c>
      <c r="E1404" s="45">
        <f t="shared" si="110"/>
        <v>42845</v>
      </c>
      <c r="F1404" s="148" t="str">
        <f t="shared" si="107"/>
        <v>2016-17</v>
      </c>
      <c r="G1404" s="1"/>
      <c r="H1404" s="163"/>
      <c r="I1404" s="37"/>
      <c r="J1404" s="138">
        <f t="shared" si="111"/>
        <v>0.77968490742404351</v>
      </c>
      <c r="K1404" s="114"/>
      <c r="L1404" s="37">
        <v>3.99940497961</v>
      </c>
      <c r="M1404" s="37" t="s">
        <v>142</v>
      </c>
      <c r="N1404" s="37">
        <v>771.6404230243902</v>
      </c>
      <c r="O1404" s="132">
        <f t="shared" si="108"/>
        <v>3086.1025503121132</v>
      </c>
      <c r="P1404" s="134">
        <f t="shared" si="109"/>
        <v>2406.1875812412045</v>
      </c>
      <c r="Q1404" s="261">
        <v>1</v>
      </c>
      <c r="R1404" s="94"/>
    </row>
    <row r="1405" spans="1:18" x14ac:dyDescent="0.25">
      <c r="A1405" s="367">
        <v>42845</v>
      </c>
      <c r="B1405" s="367" t="s">
        <v>279</v>
      </c>
      <c r="C1405" s="279" t="s">
        <v>645</v>
      </c>
      <c r="D1405" s="159" t="s">
        <v>1140</v>
      </c>
      <c r="E1405" s="45">
        <f t="shared" si="110"/>
        <v>42845</v>
      </c>
      <c r="F1405" s="148" t="str">
        <f t="shared" si="107"/>
        <v>2016-17</v>
      </c>
      <c r="G1405" s="1"/>
      <c r="H1405" s="163"/>
      <c r="I1405" s="37"/>
      <c r="J1405" s="138">
        <f t="shared" si="111"/>
        <v>0.77968490742404351</v>
      </c>
      <c r="K1405" s="114"/>
      <c r="L1405" s="37">
        <v>3.5001088880100002</v>
      </c>
      <c r="M1405" s="37" t="s">
        <v>142</v>
      </c>
      <c r="N1405" s="37">
        <v>1422.8466506341463</v>
      </c>
      <c r="O1405" s="132">
        <f t="shared" si="108"/>
        <v>4980.1182081598354</v>
      </c>
      <c r="P1405" s="134">
        <f t="shared" si="109"/>
        <v>3882.9230040898947</v>
      </c>
      <c r="Q1405" s="261">
        <v>1</v>
      </c>
      <c r="R1405" s="94"/>
    </row>
    <row r="1406" spans="1:18" x14ac:dyDescent="0.25">
      <c r="A1406" s="367">
        <v>42845</v>
      </c>
      <c r="B1406" s="367" t="s">
        <v>279</v>
      </c>
      <c r="C1406" s="279" t="s">
        <v>645</v>
      </c>
      <c r="D1406" s="159" t="s">
        <v>1140</v>
      </c>
      <c r="E1406" s="45">
        <f t="shared" si="110"/>
        <v>42845</v>
      </c>
      <c r="F1406" s="148" t="str">
        <f t="shared" si="107"/>
        <v>2016-17</v>
      </c>
      <c r="G1406" s="1"/>
      <c r="H1406" s="163"/>
      <c r="I1406" s="37"/>
      <c r="J1406" s="138">
        <f t="shared" si="111"/>
        <v>0.77968490742404351</v>
      </c>
      <c r="K1406" s="114"/>
      <c r="L1406" s="37">
        <v>3.4992942610600002</v>
      </c>
      <c r="M1406" s="37" t="s">
        <v>142</v>
      </c>
      <c r="N1406" s="37">
        <v>1422.8466506341463</v>
      </c>
      <c r="O1406" s="132">
        <f t="shared" si="108"/>
        <v>4978.959118932511</v>
      </c>
      <c r="P1406" s="134">
        <f t="shared" si="109"/>
        <v>3882.0192797129921</v>
      </c>
      <c r="Q1406" s="261">
        <v>1</v>
      </c>
      <c r="R1406" s="94"/>
    </row>
    <row r="1407" spans="1:18" x14ac:dyDescent="0.25">
      <c r="A1407" s="367">
        <v>42845</v>
      </c>
      <c r="B1407" s="367" t="s">
        <v>279</v>
      </c>
      <c r="C1407" s="279" t="s">
        <v>645</v>
      </c>
      <c r="D1407" s="159" t="s">
        <v>1140</v>
      </c>
      <c r="E1407" s="45">
        <f t="shared" si="110"/>
        <v>42845</v>
      </c>
      <c r="F1407" s="148" t="str">
        <f t="shared" si="107"/>
        <v>2016-17</v>
      </c>
      <c r="G1407" s="1"/>
      <c r="H1407" s="163"/>
      <c r="I1407" s="37"/>
      <c r="J1407" s="138">
        <f t="shared" si="111"/>
        <v>0.77968490742404351</v>
      </c>
      <c r="K1407" s="114"/>
      <c r="L1407" s="37">
        <v>10.1945360891</v>
      </c>
      <c r="M1407" s="37" t="s">
        <v>142</v>
      </c>
      <c r="N1407" s="37">
        <v>1422.8466506341463</v>
      </c>
      <c r="O1407" s="132">
        <f t="shared" si="108"/>
        <v>14505.261529144864</v>
      </c>
      <c r="P1407" s="134">
        <f t="shared" si="109"/>
        <v>11309.533492512854</v>
      </c>
      <c r="Q1407" s="261">
        <v>1</v>
      </c>
      <c r="R1407" s="94"/>
    </row>
    <row r="1408" spans="1:18" x14ac:dyDescent="0.25">
      <c r="A1408" s="367">
        <v>42845</v>
      </c>
      <c r="B1408" s="367" t="s">
        <v>279</v>
      </c>
      <c r="C1408" s="279" t="s">
        <v>645</v>
      </c>
      <c r="D1408" s="159" t="s">
        <v>1126</v>
      </c>
      <c r="E1408" s="45">
        <f t="shared" si="110"/>
        <v>42845</v>
      </c>
      <c r="F1408" s="148" t="str">
        <f t="shared" si="107"/>
        <v>2016-17</v>
      </c>
      <c r="G1408" s="1"/>
      <c r="H1408" s="163"/>
      <c r="I1408" s="37"/>
      <c r="J1408" s="138">
        <f t="shared" si="111"/>
        <v>0.77968490742404351</v>
      </c>
      <c r="K1408" s="114"/>
      <c r="L1408" s="37">
        <v>43.423764340200002</v>
      </c>
      <c r="M1408" s="37" t="s">
        <v>142</v>
      </c>
      <c r="N1408" s="37">
        <v>1128.7084557073169</v>
      </c>
      <c r="O1408" s="132">
        <f t="shared" si="108"/>
        <v>49012.7699894256</v>
      </c>
      <c r="P1408" s="134">
        <f t="shared" si="109"/>
        <v>38214.517031801239</v>
      </c>
      <c r="Q1408" s="261">
        <v>1</v>
      </c>
      <c r="R1408" s="94"/>
    </row>
    <row r="1409" spans="1:18" x14ac:dyDescent="0.25">
      <c r="A1409" s="367">
        <v>42845</v>
      </c>
      <c r="B1409" s="367" t="s">
        <v>279</v>
      </c>
      <c r="C1409" s="279" t="s">
        <v>645</v>
      </c>
      <c r="D1409" s="159" t="s">
        <v>1126</v>
      </c>
      <c r="E1409" s="45">
        <f t="shared" si="110"/>
        <v>42845</v>
      </c>
      <c r="F1409" s="148" t="str">
        <f t="shared" si="107"/>
        <v>2016-17</v>
      </c>
      <c r="G1409" s="1"/>
      <c r="H1409" s="163"/>
      <c r="I1409" s="37"/>
      <c r="J1409" s="138">
        <f t="shared" si="111"/>
        <v>0.77968490742404351</v>
      </c>
      <c r="K1409" s="114"/>
      <c r="L1409" s="37">
        <v>3.40008779298</v>
      </c>
      <c r="M1409" s="37" t="s">
        <v>142</v>
      </c>
      <c r="N1409" s="37">
        <v>771.6404230243902</v>
      </c>
      <c r="O1409" s="132">
        <f t="shared" si="108"/>
        <v>2623.6451828951526</v>
      </c>
      <c r="P1409" s="134">
        <f t="shared" si="109"/>
        <v>2045.6165515391447</v>
      </c>
      <c r="Q1409" s="261">
        <v>1</v>
      </c>
      <c r="R1409" s="94"/>
    </row>
    <row r="1410" spans="1:18" x14ac:dyDescent="0.25">
      <c r="A1410" s="367">
        <v>42845</v>
      </c>
      <c r="B1410" s="367" t="s">
        <v>279</v>
      </c>
      <c r="C1410" s="279" t="s">
        <v>645</v>
      </c>
      <c r="D1410" s="159" t="s">
        <v>1140</v>
      </c>
      <c r="E1410" s="45">
        <f t="shared" si="110"/>
        <v>42845</v>
      </c>
      <c r="F1410" s="148" t="str">
        <f t="shared" si="107"/>
        <v>2016-17</v>
      </c>
      <c r="G1410" s="1"/>
      <c r="H1410" s="163"/>
      <c r="I1410" s="37"/>
      <c r="J1410" s="138">
        <f t="shared" si="111"/>
        <v>0.77968490742404351</v>
      </c>
      <c r="K1410" s="114"/>
      <c r="L1410" s="37">
        <v>3.2000001564099998</v>
      </c>
      <c r="M1410" s="37" t="s">
        <v>142</v>
      </c>
      <c r="N1410" s="37">
        <v>771.6404230243902</v>
      </c>
      <c r="O1410" s="132">
        <f t="shared" si="108"/>
        <v>2469.2494743703269</v>
      </c>
      <c r="P1410" s="134">
        <f t="shared" si="109"/>
        <v>1925.2365478312963</v>
      </c>
      <c r="Q1410" s="261">
        <v>1</v>
      </c>
      <c r="R1410" s="94"/>
    </row>
    <row r="1411" spans="1:18" x14ac:dyDescent="0.25">
      <c r="A1411" s="367">
        <v>42845</v>
      </c>
      <c r="B1411" s="367" t="s">
        <v>279</v>
      </c>
      <c r="C1411" s="279" t="s">
        <v>645</v>
      </c>
      <c r="D1411" s="159" t="s">
        <v>1140</v>
      </c>
      <c r="E1411" s="45">
        <f t="shared" si="110"/>
        <v>42845</v>
      </c>
      <c r="F1411" s="148" t="str">
        <f t="shared" si="107"/>
        <v>2016-17</v>
      </c>
      <c r="G1411" s="1"/>
      <c r="H1411" s="163"/>
      <c r="I1411" s="37"/>
      <c r="J1411" s="138">
        <f t="shared" si="111"/>
        <v>0.77968490742404351</v>
      </c>
      <c r="K1411" s="114"/>
      <c r="L1411" s="37">
        <v>3.5000578183900002</v>
      </c>
      <c r="M1411" s="37" t="s">
        <v>142</v>
      </c>
      <c r="N1411" s="37">
        <v>1422.8466506341463</v>
      </c>
      <c r="O1411" s="132">
        <f t="shared" si="108"/>
        <v>4980.0455439220686</v>
      </c>
      <c r="P1411" s="134">
        <f t="shared" si="109"/>
        <v>3882.8663488803986</v>
      </c>
      <c r="Q1411" s="261">
        <v>1</v>
      </c>
      <c r="R1411" s="94"/>
    </row>
    <row r="1412" spans="1:18" x14ac:dyDescent="0.25">
      <c r="A1412" s="367">
        <v>42845</v>
      </c>
      <c r="B1412" s="367" t="s">
        <v>279</v>
      </c>
      <c r="C1412" s="279" t="s">
        <v>645</v>
      </c>
      <c r="D1412" s="159" t="s">
        <v>1126</v>
      </c>
      <c r="E1412" s="45">
        <f t="shared" si="110"/>
        <v>42845</v>
      </c>
      <c r="F1412" s="148" t="str">
        <f t="shared" si="107"/>
        <v>2016-17</v>
      </c>
      <c r="G1412" s="1"/>
      <c r="H1412" s="163"/>
      <c r="I1412" s="37"/>
      <c r="J1412" s="138">
        <f t="shared" si="111"/>
        <v>0.77968490742404351</v>
      </c>
      <c r="K1412" s="114"/>
      <c r="L1412" s="37">
        <v>243.733431739</v>
      </c>
      <c r="M1412" s="37" t="s">
        <v>142</v>
      </c>
      <c r="N1412" s="37">
        <v>1128.7084557073169</v>
      </c>
      <c r="O1412" s="132">
        <f t="shared" si="108"/>
        <v>275103.98534237145</v>
      </c>
      <c r="P1412" s="134">
        <f t="shared" si="109"/>
        <v>214494.42534365231</v>
      </c>
      <c r="Q1412" s="261">
        <v>1</v>
      </c>
      <c r="R1412" s="94"/>
    </row>
    <row r="1413" spans="1:18" x14ac:dyDescent="0.25">
      <c r="A1413" s="367">
        <v>42845</v>
      </c>
      <c r="B1413" s="367" t="s">
        <v>279</v>
      </c>
      <c r="C1413" s="279" t="s">
        <v>645</v>
      </c>
      <c r="D1413" s="159" t="s">
        <v>1126</v>
      </c>
      <c r="E1413" s="45">
        <f t="shared" si="110"/>
        <v>42845</v>
      </c>
      <c r="F1413" s="148" t="str">
        <f t="shared" si="107"/>
        <v>2016-17</v>
      </c>
      <c r="G1413" s="1"/>
      <c r="H1413" s="163"/>
      <c r="I1413" s="37"/>
      <c r="J1413" s="138">
        <f t="shared" si="111"/>
        <v>0.77968490742404351</v>
      </c>
      <c r="K1413" s="114"/>
      <c r="L1413" s="37">
        <v>204.71862577600001</v>
      </c>
      <c r="M1413" s="37" t="s">
        <v>142</v>
      </c>
      <c r="N1413" s="37">
        <v>1128.7084557073169</v>
      </c>
      <c r="O1413" s="132">
        <f t="shared" si="108"/>
        <v>231067.64395415311</v>
      </c>
      <c r="P1413" s="134">
        <f t="shared" si="109"/>
        <v>180159.95458508571</v>
      </c>
      <c r="Q1413" s="261">
        <v>1</v>
      </c>
      <c r="R1413" s="94"/>
    </row>
    <row r="1414" spans="1:18" x14ac:dyDescent="0.25">
      <c r="A1414" s="367">
        <v>42845</v>
      </c>
      <c r="B1414" s="367" t="s">
        <v>279</v>
      </c>
      <c r="C1414" s="279" t="s">
        <v>645</v>
      </c>
      <c r="D1414" s="159" t="s">
        <v>1126</v>
      </c>
      <c r="E1414" s="45">
        <f t="shared" si="110"/>
        <v>42845</v>
      </c>
      <c r="F1414" s="148" t="str">
        <f t="shared" si="107"/>
        <v>2016-17</v>
      </c>
      <c r="G1414" s="1"/>
      <c r="H1414" s="163"/>
      <c r="I1414" s="37"/>
      <c r="J1414" s="138">
        <f t="shared" si="111"/>
        <v>0.77968490742404351</v>
      </c>
      <c r="K1414" s="114"/>
      <c r="L1414" s="37">
        <v>5.1589761581199998</v>
      </c>
      <c r="M1414" s="37" t="s">
        <v>142</v>
      </c>
      <c r="N1414" s="37">
        <v>696.6467060487804</v>
      </c>
      <c r="O1414" s="132">
        <f t="shared" si="108"/>
        <v>3593.9837471384899</v>
      </c>
      <c r="P1414" s="134">
        <f t="shared" si="109"/>
        <v>2802.1748851711905</v>
      </c>
      <c r="Q1414" s="261">
        <v>1</v>
      </c>
      <c r="R1414" s="94"/>
    </row>
    <row r="1415" spans="1:18" x14ac:dyDescent="0.25">
      <c r="A1415" s="367">
        <v>42845</v>
      </c>
      <c r="B1415" s="367" t="s">
        <v>279</v>
      </c>
      <c r="C1415" s="279" t="s">
        <v>645</v>
      </c>
      <c r="D1415" s="159" t="s">
        <v>1126</v>
      </c>
      <c r="E1415" s="45">
        <f t="shared" si="110"/>
        <v>42845</v>
      </c>
      <c r="F1415" s="148" t="str">
        <f t="shared" si="107"/>
        <v>2016-17</v>
      </c>
      <c r="G1415" s="1"/>
      <c r="H1415" s="163"/>
      <c r="I1415" s="37"/>
      <c r="J1415" s="138">
        <f t="shared" si="111"/>
        <v>0.77968490742404351</v>
      </c>
      <c r="K1415" s="114"/>
      <c r="L1415" s="37">
        <v>2.0005859141800002</v>
      </c>
      <c r="M1415" s="37" t="s">
        <v>142</v>
      </c>
      <c r="N1415" s="37">
        <v>2042.4636684878049</v>
      </c>
      <c r="O1415" s="132">
        <f t="shared" si="108"/>
        <v>4086.1240454011117</v>
      </c>
      <c r="P1415" s="134">
        <f t="shared" si="109"/>
        <v>3185.8892480617242</v>
      </c>
      <c r="Q1415" s="261">
        <v>1</v>
      </c>
      <c r="R1415" s="94"/>
    </row>
    <row r="1416" spans="1:18" x14ac:dyDescent="0.25">
      <c r="A1416" s="367">
        <v>42845</v>
      </c>
      <c r="B1416" s="367" t="s">
        <v>279</v>
      </c>
      <c r="C1416" s="279" t="s">
        <v>645</v>
      </c>
      <c r="D1416" s="159" t="s">
        <v>1126</v>
      </c>
      <c r="E1416" s="45">
        <f t="shared" si="110"/>
        <v>42845</v>
      </c>
      <c r="F1416" s="148" t="str">
        <f t="shared" si="107"/>
        <v>2016-17</v>
      </c>
      <c r="G1416" s="1"/>
      <c r="H1416" s="163"/>
      <c r="I1416" s="37"/>
      <c r="J1416" s="138">
        <f t="shared" si="111"/>
        <v>0.77968490742404351</v>
      </c>
      <c r="K1416" s="114"/>
      <c r="L1416" s="37">
        <v>45.085448913199997</v>
      </c>
      <c r="M1416" s="37" t="s">
        <v>142</v>
      </c>
      <c r="N1416" s="37">
        <v>1128.7084557073169</v>
      </c>
      <c r="O1416" s="132">
        <f t="shared" si="108"/>
        <v>50888.327417689099</v>
      </c>
      <c r="P1416" s="134">
        <f t="shared" si="109"/>
        <v>39676.860851625337</v>
      </c>
      <c r="Q1416" s="261">
        <v>1</v>
      </c>
      <c r="R1416" s="94"/>
    </row>
    <row r="1417" spans="1:18" x14ac:dyDescent="0.25">
      <c r="A1417" s="367">
        <v>42845</v>
      </c>
      <c r="B1417" s="367" t="s">
        <v>279</v>
      </c>
      <c r="C1417" s="279" t="s">
        <v>645</v>
      </c>
      <c r="D1417" s="159" t="s">
        <v>1126</v>
      </c>
      <c r="E1417" s="45">
        <f t="shared" si="110"/>
        <v>42845</v>
      </c>
      <c r="F1417" s="148" t="str">
        <f t="shared" si="107"/>
        <v>2016-17</v>
      </c>
      <c r="G1417" s="1"/>
      <c r="H1417" s="163"/>
      <c r="I1417" s="37"/>
      <c r="J1417" s="138">
        <f t="shared" si="111"/>
        <v>0.77968490742404351</v>
      </c>
      <c r="K1417" s="114"/>
      <c r="L1417" s="37">
        <v>15.696605230499999</v>
      </c>
      <c r="M1417" s="37" t="s">
        <v>142</v>
      </c>
      <c r="N1417" s="37">
        <v>1128.7084557073169</v>
      </c>
      <c r="O1417" s="132">
        <f t="shared" si="108"/>
        <v>17716.891049565049</v>
      </c>
      <c r="P1417" s="134">
        <f t="shared" si="109"/>
        <v>13813.59255782199</v>
      </c>
      <c r="Q1417" s="261">
        <v>1</v>
      </c>
      <c r="R1417" s="94"/>
    </row>
    <row r="1418" spans="1:18" x14ac:dyDescent="0.25">
      <c r="A1418" s="367">
        <v>42845</v>
      </c>
      <c r="B1418" s="367" t="s">
        <v>279</v>
      </c>
      <c r="C1418" s="279" t="s">
        <v>645</v>
      </c>
      <c r="D1418" s="159" t="s">
        <v>1126</v>
      </c>
      <c r="E1418" s="45">
        <f t="shared" si="110"/>
        <v>42845</v>
      </c>
      <c r="F1418" s="148" t="str">
        <f t="shared" si="107"/>
        <v>2016-17</v>
      </c>
      <c r="G1418" s="1"/>
      <c r="H1418" s="163"/>
      <c r="I1418" s="37"/>
      <c r="J1418" s="138">
        <f t="shared" si="111"/>
        <v>0.77968490742404351</v>
      </c>
      <c r="K1418" s="114"/>
      <c r="L1418" s="37">
        <v>2.5006529147399998</v>
      </c>
      <c r="M1418" s="37" t="s">
        <v>142</v>
      </c>
      <c r="N1418" s="37">
        <v>771.6404230243902</v>
      </c>
      <c r="O1418" s="132">
        <f t="shared" si="108"/>
        <v>1929.6048729671479</v>
      </c>
      <c r="P1418" s="134">
        <f t="shared" si="109"/>
        <v>1504.4837967443739</v>
      </c>
      <c r="Q1418" s="261">
        <v>1</v>
      </c>
      <c r="R1418" s="94"/>
    </row>
    <row r="1419" spans="1:18" x14ac:dyDescent="0.25">
      <c r="A1419" s="367">
        <v>42845</v>
      </c>
      <c r="B1419" s="367" t="s">
        <v>279</v>
      </c>
      <c r="C1419" s="279" t="s">
        <v>645</v>
      </c>
      <c r="D1419" s="159" t="s">
        <v>1126</v>
      </c>
      <c r="E1419" s="45">
        <f t="shared" si="110"/>
        <v>42845</v>
      </c>
      <c r="F1419" s="148" t="str">
        <f t="shared" si="107"/>
        <v>2016-17</v>
      </c>
      <c r="G1419" s="1"/>
      <c r="H1419" s="163"/>
      <c r="I1419" s="37"/>
      <c r="J1419" s="138">
        <f t="shared" si="111"/>
        <v>0.77968490742404351</v>
      </c>
      <c r="K1419" s="114"/>
      <c r="L1419" s="37">
        <v>1.40006464136</v>
      </c>
      <c r="M1419" s="37" t="s">
        <v>142</v>
      </c>
      <c r="N1419" s="37">
        <v>696.6467060487804</v>
      </c>
      <c r="O1419" s="132">
        <f t="shared" si="108"/>
        <v>975.350420658811</v>
      </c>
      <c r="P1419" s="134">
        <f t="shared" si="109"/>
        <v>760.46600243736691</v>
      </c>
      <c r="Q1419" s="261">
        <v>1</v>
      </c>
      <c r="R1419" s="94"/>
    </row>
    <row r="1420" spans="1:18" x14ac:dyDescent="0.25">
      <c r="A1420" s="367">
        <v>42845</v>
      </c>
      <c r="B1420" s="367" t="s">
        <v>279</v>
      </c>
      <c r="C1420" s="279" t="s">
        <v>645</v>
      </c>
      <c r="D1420" s="159" t="s">
        <v>1126</v>
      </c>
      <c r="E1420" s="45">
        <f t="shared" si="110"/>
        <v>42845</v>
      </c>
      <c r="F1420" s="148" t="str">
        <f t="shared" si="107"/>
        <v>2016-17</v>
      </c>
      <c r="G1420" s="1"/>
      <c r="H1420" s="163"/>
      <c r="I1420" s="37"/>
      <c r="J1420" s="138">
        <f t="shared" si="111"/>
        <v>0.77968490742404351</v>
      </c>
      <c r="K1420" s="114"/>
      <c r="L1420" s="37">
        <v>1.49999233331</v>
      </c>
      <c r="M1420" s="37" t="s">
        <v>142</v>
      </c>
      <c r="N1420" s="37">
        <v>696.6467060487804</v>
      </c>
      <c r="O1420" s="132">
        <f t="shared" si="108"/>
        <v>1044.9647180988359</v>
      </c>
      <c r="P1420" s="134">
        <f t="shared" si="109"/>
        <v>814.74321949228261</v>
      </c>
      <c r="Q1420" s="261">
        <v>1</v>
      </c>
      <c r="R1420" s="94"/>
    </row>
    <row r="1421" spans="1:18" x14ac:dyDescent="0.25">
      <c r="A1421" s="367">
        <v>42845</v>
      </c>
      <c r="B1421" s="367" t="s">
        <v>279</v>
      </c>
      <c r="C1421" s="279" t="s">
        <v>645</v>
      </c>
      <c r="D1421" s="159" t="s">
        <v>1126</v>
      </c>
      <c r="E1421" s="45">
        <f t="shared" si="110"/>
        <v>42845</v>
      </c>
      <c r="F1421" s="148" t="str">
        <f t="shared" si="107"/>
        <v>2016-17</v>
      </c>
      <c r="G1421" s="1"/>
      <c r="H1421" s="163"/>
      <c r="I1421" s="37"/>
      <c r="J1421" s="138">
        <f t="shared" si="111"/>
        <v>0.77968490742404351</v>
      </c>
      <c r="K1421" s="114"/>
      <c r="L1421" s="37">
        <v>5.4002023110300001</v>
      </c>
      <c r="M1421" s="37" t="s">
        <v>142</v>
      </c>
      <c r="N1421" s="37">
        <v>771.6404230243902</v>
      </c>
      <c r="O1421" s="132">
        <f t="shared" si="108"/>
        <v>4167.0143957004793</v>
      </c>
      <c r="P1421" s="134">
        <f t="shared" si="109"/>
        <v>3248.958233346385</v>
      </c>
      <c r="Q1421" s="261">
        <v>1</v>
      </c>
      <c r="R1421" s="94"/>
    </row>
    <row r="1422" spans="1:18" x14ac:dyDescent="0.25">
      <c r="A1422" s="367">
        <v>42845</v>
      </c>
      <c r="B1422" s="367" t="s">
        <v>279</v>
      </c>
      <c r="C1422" s="279" t="s">
        <v>645</v>
      </c>
      <c r="D1422" s="159" t="s">
        <v>1126</v>
      </c>
      <c r="E1422" s="45">
        <f t="shared" si="110"/>
        <v>42845</v>
      </c>
      <c r="F1422" s="148" t="str">
        <f t="shared" si="107"/>
        <v>2016-17</v>
      </c>
      <c r="G1422" s="1"/>
      <c r="H1422" s="163"/>
      <c r="I1422" s="37"/>
      <c r="J1422" s="138">
        <f t="shared" si="111"/>
        <v>0.77968490742404351</v>
      </c>
      <c r="K1422" s="114"/>
      <c r="L1422" s="37">
        <v>2.4996249718699999</v>
      </c>
      <c r="M1422" s="37" t="s">
        <v>142</v>
      </c>
      <c r="N1422" s="37">
        <v>771.6404230243902</v>
      </c>
      <c r="O1422" s="132">
        <f t="shared" si="108"/>
        <v>1928.8116706960961</v>
      </c>
      <c r="P1422" s="134">
        <f t="shared" si="109"/>
        <v>1503.8653489051005</v>
      </c>
      <c r="Q1422" s="261">
        <v>1</v>
      </c>
      <c r="R1422" s="94"/>
    </row>
    <row r="1423" spans="1:18" x14ac:dyDescent="0.25">
      <c r="A1423" s="367">
        <v>42845</v>
      </c>
      <c r="B1423" s="367" t="s">
        <v>279</v>
      </c>
      <c r="C1423" s="279" t="s">
        <v>645</v>
      </c>
      <c r="D1423" s="159" t="s">
        <v>1126</v>
      </c>
      <c r="E1423" s="45">
        <f t="shared" si="110"/>
        <v>42845</v>
      </c>
      <c r="F1423" s="148" t="str">
        <f t="shared" si="107"/>
        <v>2016-17</v>
      </c>
      <c r="G1423" s="1"/>
      <c r="H1423" s="163"/>
      <c r="I1423" s="37"/>
      <c r="J1423" s="138">
        <f t="shared" si="111"/>
        <v>0.77968490742404351</v>
      </c>
      <c r="K1423" s="114"/>
      <c r="L1423" s="37">
        <v>1.49977498312</v>
      </c>
      <c r="M1423" s="37" t="s">
        <v>142</v>
      </c>
      <c r="N1423" s="37">
        <v>771.6404230243902</v>
      </c>
      <c r="O1423" s="132">
        <f t="shared" si="108"/>
        <v>1157.2870024161145</v>
      </c>
      <c r="P1423" s="134">
        <f t="shared" si="109"/>
        <v>902.31920934185712</v>
      </c>
      <c r="Q1423" s="261">
        <v>1</v>
      </c>
      <c r="R1423" s="94"/>
    </row>
    <row r="1424" spans="1:18" x14ac:dyDescent="0.25">
      <c r="A1424" s="367">
        <v>42845</v>
      </c>
      <c r="B1424" s="367" t="s">
        <v>279</v>
      </c>
      <c r="C1424" s="279" t="s">
        <v>645</v>
      </c>
      <c r="D1424" s="159" t="s">
        <v>1126</v>
      </c>
      <c r="E1424" s="45">
        <f t="shared" si="110"/>
        <v>42845</v>
      </c>
      <c r="F1424" s="148" t="str">
        <f t="shared" si="107"/>
        <v>2016-17</v>
      </c>
      <c r="G1424" s="1"/>
      <c r="H1424" s="163"/>
      <c r="I1424" s="37"/>
      <c r="J1424" s="138">
        <f t="shared" si="111"/>
        <v>0.77968490742404351</v>
      </c>
      <c r="K1424" s="114"/>
      <c r="L1424" s="37">
        <v>2.5001055977700002</v>
      </c>
      <c r="M1424" s="37" t="s">
        <v>142</v>
      </c>
      <c r="N1424" s="37">
        <v>771.6404230243902</v>
      </c>
      <c r="O1424" s="132">
        <f t="shared" si="108"/>
        <v>1929.1825410688889</v>
      </c>
      <c r="P1424" s="134">
        <f t="shared" si="109"/>
        <v>1504.1545109373776</v>
      </c>
      <c r="Q1424" s="261">
        <v>1</v>
      </c>
      <c r="R1424" s="94"/>
    </row>
    <row r="1425" spans="1:18" x14ac:dyDescent="0.25">
      <c r="A1425" s="367">
        <v>42845</v>
      </c>
      <c r="B1425" s="367" t="s">
        <v>279</v>
      </c>
      <c r="C1425" s="279" t="s">
        <v>645</v>
      </c>
      <c r="D1425" s="159" t="s">
        <v>1126</v>
      </c>
      <c r="E1425" s="45">
        <f t="shared" si="110"/>
        <v>42845</v>
      </c>
      <c r="F1425" s="148" t="str">
        <f t="shared" si="107"/>
        <v>2016-17</v>
      </c>
      <c r="G1425" s="1"/>
      <c r="H1425" s="163"/>
      <c r="I1425" s="37"/>
      <c r="J1425" s="138">
        <f t="shared" si="111"/>
        <v>0.77968490742404351</v>
      </c>
      <c r="K1425" s="114"/>
      <c r="L1425" s="37">
        <v>2.5198057464799999</v>
      </c>
      <c r="M1425" s="37" t="s">
        <v>142</v>
      </c>
      <c r="N1425" s="37">
        <v>771.6404230243902</v>
      </c>
      <c r="O1425" s="132">
        <f t="shared" si="108"/>
        <v>1944.3839721531165</v>
      </c>
      <c r="P1425" s="134">
        <f t="shared" si="109"/>
        <v>1516.0068373249967</v>
      </c>
      <c r="Q1425" s="261">
        <v>1</v>
      </c>
      <c r="R1425" s="94"/>
    </row>
    <row r="1426" spans="1:18" x14ac:dyDescent="0.25">
      <c r="A1426" s="367">
        <v>42845</v>
      </c>
      <c r="B1426" s="367" t="s">
        <v>279</v>
      </c>
      <c r="C1426" s="279" t="s">
        <v>645</v>
      </c>
      <c r="D1426" s="159" t="s">
        <v>1126</v>
      </c>
      <c r="E1426" s="45">
        <f t="shared" si="110"/>
        <v>42845</v>
      </c>
      <c r="F1426" s="148" t="str">
        <f t="shared" ref="F1426:F1489" si="112">IF(E1426="","-",IF(OR(E1426&lt;$E$15,E1426&gt;$E$16),"ERROR - date outside of range",IF(MONTH(E1426)&gt;=7,YEAR(E1426)&amp;"-"&amp;IF(YEAR(E1426)=1999,"00",IF(AND(YEAR(E1426)&gt;=2000,YEAR(E1426)&lt;2009),"0","")&amp;RIGHT(YEAR(E1426),2)+1),RIGHT(YEAR(E1426),4)-1&amp;"-"&amp;RIGHT(YEAR(E1426),2))))</f>
        <v>2016-17</v>
      </c>
      <c r="G1426" s="1"/>
      <c r="H1426" s="163"/>
      <c r="I1426" s="37"/>
      <c r="J1426" s="138">
        <f t="shared" si="111"/>
        <v>0.77968490742404351</v>
      </c>
      <c r="K1426" s="114"/>
      <c r="L1426" s="37">
        <v>1.7652628699399999</v>
      </c>
      <c r="M1426" s="37" t="s">
        <v>142</v>
      </c>
      <c r="N1426" s="37">
        <v>771.6404230243902</v>
      </c>
      <c r="O1426" s="132">
        <f t="shared" ref="O1426:O1489" si="113">IF(N1426="","-",L1426*N1426)</f>
        <v>1362.1481877097506</v>
      </c>
      <c r="P1426" s="134">
        <f t="shared" ref="P1426:P1489" si="114">IF(O1426="-","-",IF(OR(E1426&lt;$E$15,E1426&gt;$E$16),0,O1426*J1426))*Q1426</f>
        <v>1062.0463836323056</v>
      </c>
      <c r="Q1426" s="261">
        <v>1</v>
      </c>
      <c r="R1426" s="94"/>
    </row>
    <row r="1427" spans="1:18" x14ac:dyDescent="0.25">
      <c r="A1427" s="367">
        <v>42845</v>
      </c>
      <c r="B1427" s="367" t="s">
        <v>279</v>
      </c>
      <c r="C1427" s="279" t="s">
        <v>645</v>
      </c>
      <c r="D1427" s="159" t="s">
        <v>1126</v>
      </c>
      <c r="E1427" s="45">
        <f t="shared" si="110"/>
        <v>42845</v>
      </c>
      <c r="F1427" s="148" t="str">
        <f t="shared" si="112"/>
        <v>2016-17</v>
      </c>
      <c r="G1427" s="1"/>
      <c r="H1427" s="163"/>
      <c r="I1427" s="37"/>
      <c r="J1427" s="138">
        <f t="shared" si="111"/>
        <v>0.77968490742404351</v>
      </c>
      <c r="K1427" s="114"/>
      <c r="L1427" s="37">
        <v>51.7014972009</v>
      </c>
      <c r="M1427" s="37" t="s">
        <v>142</v>
      </c>
      <c r="N1427" s="37">
        <v>1128.7084557073169</v>
      </c>
      <c r="O1427" s="132">
        <f t="shared" si="113"/>
        <v>58355.917063384011</v>
      </c>
      <c r="P1427" s="134">
        <f t="shared" si="114"/>
        <v>45499.22779320972</v>
      </c>
      <c r="Q1427" s="261">
        <v>1</v>
      </c>
      <c r="R1427" s="94"/>
    </row>
    <row r="1428" spans="1:18" x14ac:dyDescent="0.25">
      <c r="A1428" s="367">
        <v>42845</v>
      </c>
      <c r="B1428" s="367" t="s">
        <v>279</v>
      </c>
      <c r="C1428" s="279" t="s">
        <v>645</v>
      </c>
      <c r="D1428" s="159" t="s">
        <v>1126</v>
      </c>
      <c r="E1428" s="45">
        <f t="shared" si="110"/>
        <v>42845</v>
      </c>
      <c r="F1428" s="148" t="str">
        <f t="shared" si="112"/>
        <v>2016-17</v>
      </c>
      <c r="G1428" s="1"/>
      <c r="H1428" s="163"/>
      <c r="I1428" s="37"/>
      <c r="J1428" s="138">
        <f t="shared" si="111"/>
        <v>0.77968490742404351</v>
      </c>
      <c r="K1428" s="114"/>
      <c r="L1428" s="37">
        <v>3.5007668182999998</v>
      </c>
      <c r="M1428" s="37" t="s">
        <v>142</v>
      </c>
      <c r="N1428" s="37">
        <v>1181.2618378536583</v>
      </c>
      <c r="O1428" s="132">
        <f t="shared" si="113"/>
        <v>4135.3222456821613</v>
      </c>
      <c r="P1428" s="134">
        <f t="shared" si="114"/>
        <v>3224.2483422932837</v>
      </c>
      <c r="Q1428" s="261">
        <v>1</v>
      </c>
      <c r="R1428" s="94"/>
    </row>
    <row r="1429" spans="1:18" x14ac:dyDescent="0.25">
      <c r="A1429" s="367">
        <v>42845</v>
      </c>
      <c r="B1429" s="367" t="s">
        <v>279</v>
      </c>
      <c r="C1429" s="279" t="s">
        <v>645</v>
      </c>
      <c r="D1429" s="159" t="s">
        <v>1126</v>
      </c>
      <c r="E1429" s="45">
        <f t="shared" si="110"/>
        <v>42845</v>
      </c>
      <c r="F1429" s="148" t="str">
        <f t="shared" si="112"/>
        <v>2016-17</v>
      </c>
      <c r="G1429" s="1"/>
      <c r="H1429" s="163"/>
      <c r="I1429" s="37"/>
      <c r="J1429" s="138">
        <f t="shared" si="111"/>
        <v>0.77968490742404351</v>
      </c>
      <c r="K1429" s="114"/>
      <c r="L1429" s="37">
        <v>3.49993785759</v>
      </c>
      <c r="M1429" s="37" t="s">
        <v>142</v>
      </c>
      <c r="N1429" s="37">
        <v>1181.2618378536583</v>
      </c>
      <c r="O1429" s="132">
        <f t="shared" si="113"/>
        <v>4134.3430260303585</v>
      </c>
      <c r="P1429" s="134">
        <f t="shared" si="114"/>
        <v>3223.4848595097201</v>
      </c>
      <c r="Q1429" s="261">
        <v>1</v>
      </c>
      <c r="R1429" s="94"/>
    </row>
    <row r="1430" spans="1:18" x14ac:dyDescent="0.25">
      <c r="A1430" s="367">
        <v>42845</v>
      </c>
      <c r="B1430" s="367" t="s">
        <v>279</v>
      </c>
      <c r="C1430" s="279" t="s">
        <v>645</v>
      </c>
      <c r="D1430" s="159" t="s">
        <v>1126</v>
      </c>
      <c r="E1430" s="45">
        <f t="shared" si="110"/>
        <v>42845</v>
      </c>
      <c r="F1430" s="148" t="str">
        <f t="shared" si="112"/>
        <v>2016-17</v>
      </c>
      <c r="G1430" s="1"/>
      <c r="H1430" s="163"/>
      <c r="I1430" s="37"/>
      <c r="J1430" s="138">
        <f t="shared" si="111"/>
        <v>0.77968490742404351</v>
      </c>
      <c r="K1430" s="114"/>
      <c r="L1430" s="37">
        <v>2.82383653664</v>
      </c>
      <c r="M1430" s="37" t="s">
        <v>142</v>
      </c>
      <c r="N1430" s="37">
        <v>771.6404230243902</v>
      </c>
      <c r="O1430" s="132">
        <f t="shared" si="113"/>
        <v>2178.9864196846183</v>
      </c>
      <c r="P1430" s="134">
        <f t="shared" si="114"/>
        <v>1698.9228249100497</v>
      </c>
      <c r="Q1430" s="261">
        <v>1</v>
      </c>
      <c r="R1430" s="94"/>
    </row>
    <row r="1431" spans="1:18" x14ac:dyDescent="0.25">
      <c r="A1431" s="367">
        <v>42845</v>
      </c>
      <c r="B1431" s="367" t="s">
        <v>279</v>
      </c>
      <c r="C1431" s="279" t="s">
        <v>645</v>
      </c>
      <c r="D1431" s="159" t="s">
        <v>1126</v>
      </c>
      <c r="E1431" s="45">
        <f t="shared" ref="E1431:E1494" si="115">IF(A1431&lt;2022,DATEVALUE("30 Jun "&amp;A1431),A1431)</f>
        <v>42845</v>
      </c>
      <c r="F1431" s="148" t="str">
        <f t="shared" si="112"/>
        <v>2016-17</v>
      </c>
      <c r="G1431" s="1"/>
      <c r="H1431" s="163"/>
      <c r="I1431" s="37"/>
      <c r="J1431" s="138">
        <f t="shared" si="111"/>
        <v>0.77968490742404351</v>
      </c>
      <c r="K1431" s="114"/>
      <c r="L1431" s="37">
        <v>2.69956541554</v>
      </c>
      <c r="M1431" s="37" t="s">
        <v>142</v>
      </c>
      <c r="N1431" s="37">
        <v>771.6404230243902</v>
      </c>
      <c r="O1431" s="132">
        <f t="shared" si="113"/>
        <v>2083.0937992292993</v>
      </c>
      <c r="P1431" s="134">
        <f t="shared" si="114"/>
        <v>1624.1567960076952</v>
      </c>
      <c r="Q1431" s="261">
        <v>1</v>
      </c>
      <c r="R1431" s="94"/>
    </row>
    <row r="1432" spans="1:18" x14ac:dyDescent="0.25">
      <c r="A1432" s="367">
        <v>42845</v>
      </c>
      <c r="B1432" s="367" t="s">
        <v>279</v>
      </c>
      <c r="C1432" s="279" t="s">
        <v>645</v>
      </c>
      <c r="D1432" s="159" t="s">
        <v>1126</v>
      </c>
      <c r="E1432" s="45">
        <f t="shared" si="115"/>
        <v>42845</v>
      </c>
      <c r="F1432" s="148" t="str">
        <f t="shared" si="112"/>
        <v>2016-17</v>
      </c>
      <c r="G1432" s="1"/>
      <c r="H1432" s="163"/>
      <c r="I1432" s="37"/>
      <c r="J1432" s="138">
        <f t="shared" ref="J1432:J1495" si="116">J1431</f>
        <v>0.77968490742404351</v>
      </c>
      <c r="K1432" s="114"/>
      <c r="L1432" s="37">
        <v>3.8160666922900002</v>
      </c>
      <c r="M1432" s="37" t="s">
        <v>142</v>
      </c>
      <c r="N1432" s="37">
        <v>771.6404230243902</v>
      </c>
      <c r="O1432" s="132">
        <f t="shared" si="113"/>
        <v>2944.6313167279413</v>
      </c>
      <c r="P1432" s="134">
        <f t="shared" si="114"/>
        <v>2295.8845955809643</v>
      </c>
      <c r="Q1432" s="261">
        <v>1</v>
      </c>
      <c r="R1432" s="94"/>
    </row>
    <row r="1433" spans="1:18" x14ac:dyDescent="0.25">
      <c r="A1433" s="367">
        <v>42845</v>
      </c>
      <c r="B1433" s="367" t="s">
        <v>279</v>
      </c>
      <c r="C1433" s="279" t="s">
        <v>645</v>
      </c>
      <c r="D1433" s="159" t="s">
        <v>1126</v>
      </c>
      <c r="E1433" s="45">
        <f t="shared" si="115"/>
        <v>42845</v>
      </c>
      <c r="F1433" s="148" t="str">
        <f t="shared" si="112"/>
        <v>2016-17</v>
      </c>
      <c r="G1433" s="1"/>
      <c r="H1433" s="163"/>
      <c r="I1433" s="37"/>
      <c r="J1433" s="138">
        <f t="shared" si="116"/>
        <v>0.77968490742404351</v>
      </c>
      <c r="K1433" s="114"/>
      <c r="L1433" s="37">
        <v>2.4003333101900002</v>
      </c>
      <c r="M1433" s="37" t="s">
        <v>142</v>
      </c>
      <c r="N1433" s="37">
        <v>771.6404230243902</v>
      </c>
      <c r="O1433" s="132">
        <f t="shared" si="113"/>
        <v>1852.1942108745466</v>
      </c>
      <c r="P1433" s="134">
        <f t="shared" si="114"/>
        <v>1444.1278718370702</v>
      </c>
      <c r="Q1433" s="261">
        <v>1</v>
      </c>
      <c r="R1433" s="94"/>
    </row>
    <row r="1434" spans="1:18" x14ac:dyDescent="0.25">
      <c r="A1434" s="367">
        <v>42845</v>
      </c>
      <c r="B1434" s="367" t="s">
        <v>279</v>
      </c>
      <c r="C1434" s="279" t="s">
        <v>645</v>
      </c>
      <c r="D1434" s="159" t="s">
        <v>1126</v>
      </c>
      <c r="E1434" s="45">
        <f t="shared" si="115"/>
        <v>42845</v>
      </c>
      <c r="F1434" s="148" t="str">
        <f t="shared" si="112"/>
        <v>2016-17</v>
      </c>
      <c r="G1434" s="1"/>
      <c r="H1434" s="163"/>
      <c r="I1434" s="37"/>
      <c r="J1434" s="138">
        <f t="shared" si="116"/>
        <v>0.77968490742404351</v>
      </c>
      <c r="K1434" s="114"/>
      <c r="L1434" s="37">
        <v>2.70064455269</v>
      </c>
      <c r="M1434" s="37" t="s">
        <v>142</v>
      </c>
      <c r="N1434" s="37">
        <v>771.6404230243902</v>
      </c>
      <c r="O1434" s="132">
        <f t="shared" si="113"/>
        <v>2083.9265050762265</v>
      </c>
      <c r="P1434" s="134">
        <f t="shared" si="114"/>
        <v>1624.8060441888681</v>
      </c>
      <c r="Q1434" s="261">
        <v>1</v>
      </c>
      <c r="R1434" s="94"/>
    </row>
    <row r="1435" spans="1:18" x14ac:dyDescent="0.25">
      <c r="A1435" s="367">
        <v>42845</v>
      </c>
      <c r="B1435" s="367" t="s">
        <v>279</v>
      </c>
      <c r="C1435" s="279" t="s">
        <v>645</v>
      </c>
      <c r="D1435" s="159" t="s">
        <v>1126</v>
      </c>
      <c r="E1435" s="45">
        <f t="shared" si="115"/>
        <v>42845</v>
      </c>
      <c r="F1435" s="148" t="str">
        <f t="shared" si="112"/>
        <v>2016-17</v>
      </c>
      <c r="G1435" s="1"/>
      <c r="H1435" s="163"/>
      <c r="I1435" s="37"/>
      <c r="J1435" s="138">
        <f t="shared" si="116"/>
        <v>0.77968490742404351</v>
      </c>
      <c r="K1435" s="114"/>
      <c r="L1435" s="37">
        <v>1.49968163288</v>
      </c>
      <c r="M1435" s="37" t="s">
        <v>142</v>
      </c>
      <c r="N1435" s="37">
        <v>771.6404230243902</v>
      </c>
      <c r="O1435" s="132">
        <f t="shared" si="113"/>
        <v>1157.2149695974315</v>
      </c>
      <c r="P1435" s="134">
        <f t="shared" si="114"/>
        <v>902.26304644029074</v>
      </c>
      <c r="Q1435" s="261">
        <v>1</v>
      </c>
      <c r="R1435" s="94"/>
    </row>
    <row r="1436" spans="1:18" x14ac:dyDescent="0.25">
      <c r="A1436" s="367">
        <v>42845</v>
      </c>
      <c r="B1436" s="367" t="s">
        <v>279</v>
      </c>
      <c r="C1436" s="279" t="s">
        <v>645</v>
      </c>
      <c r="D1436" s="159" t="s">
        <v>1126</v>
      </c>
      <c r="E1436" s="45">
        <f t="shared" si="115"/>
        <v>42845</v>
      </c>
      <c r="F1436" s="148" t="str">
        <f t="shared" si="112"/>
        <v>2016-17</v>
      </c>
      <c r="G1436" s="1"/>
      <c r="H1436" s="163"/>
      <c r="I1436" s="37"/>
      <c r="J1436" s="138">
        <f t="shared" si="116"/>
        <v>0.77968490742404351</v>
      </c>
      <c r="K1436" s="114"/>
      <c r="L1436" s="37">
        <v>123.02622059399999</v>
      </c>
      <c r="M1436" s="37" t="s">
        <v>142</v>
      </c>
      <c r="N1436" s="37">
        <v>1512.3320841951218</v>
      </c>
      <c r="O1436" s="132">
        <f t="shared" si="113"/>
        <v>186056.50060157283</v>
      </c>
      <c r="P1436" s="134">
        <f t="shared" si="114"/>
        <v>145065.44544717882</v>
      </c>
      <c r="Q1436" s="261">
        <v>1</v>
      </c>
      <c r="R1436" s="94"/>
    </row>
    <row r="1437" spans="1:18" x14ac:dyDescent="0.25">
      <c r="A1437" s="367">
        <v>42845</v>
      </c>
      <c r="B1437" s="367" t="s">
        <v>279</v>
      </c>
      <c r="C1437" s="279" t="s">
        <v>645</v>
      </c>
      <c r="D1437" s="159" t="s">
        <v>1126</v>
      </c>
      <c r="E1437" s="45">
        <f t="shared" si="115"/>
        <v>42845</v>
      </c>
      <c r="F1437" s="148" t="str">
        <f t="shared" si="112"/>
        <v>2016-17</v>
      </c>
      <c r="G1437" s="1"/>
      <c r="H1437" s="163"/>
      <c r="I1437" s="37"/>
      <c r="J1437" s="138">
        <f t="shared" si="116"/>
        <v>0.77968490742404351</v>
      </c>
      <c r="K1437" s="114"/>
      <c r="L1437" s="37">
        <v>52.396131954499999</v>
      </c>
      <c r="M1437" s="37" t="s">
        <v>142</v>
      </c>
      <c r="N1437" s="37">
        <v>1512.3320841951218</v>
      </c>
      <c r="O1437" s="132">
        <f t="shared" si="113"/>
        <v>79240.351442511601</v>
      </c>
      <c r="P1437" s="134">
        <f t="shared" si="114"/>
        <v>61782.506078703329</v>
      </c>
      <c r="Q1437" s="261">
        <v>1</v>
      </c>
      <c r="R1437" s="94"/>
    </row>
    <row r="1438" spans="1:18" x14ac:dyDescent="0.25">
      <c r="A1438" s="367">
        <v>42845</v>
      </c>
      <c r="B1438" s="367" t="s">
        <v>279</v>
      </c>
      <c r="C1438" s="279" t="s">
        <v>645</v>
      </c>
      <c r="D1438" s="159" t="s">
        <v>1126</v>
      </c>
      <c r="E1438" s="45">
        <f t="shared" si="115"/>
        <v>42845</v>
      </c>
      <c r="F1438" s="148" t="str">
        <f t="shared" si="112"/>
        <v>2016-17</v>
      </c>
      <c r="G1438" s="1"/>
      <c r="H1438" s="163"/>
      <c r="I1438" s="37"/>
      <c r="J1438" s="138">
        <f t="shared" si="116"/>
        <v>0.77968490742404351</v>
      </c>
      <c r="K1438" s="114"/>
      <c r="L1438" s="37">
        <v>40.642248672599997</v>
      </c>
      <c r="M1438" s="37" t="s">
        <v>142</v>
      </c>
      <c r="N1438" s="37">
        <v>771.6404230243902</v>
      </c>
      <c r="O1438" s="132">
        <f t="shared" si="113"/>
        <v>31361.201958387523</v>
      </c>
      <c r="P1438" s="134">
        <f t="shared" si="114"/>
        <v>24451.855845632108</v>
      </c>
      <c r="Q1438" s="261">
        <v>1</v>
      </c>
      <c r="R1438" s="94"/>
    </row>
    <row r="1439" spans="1:18" x14ac:dyDescent="0.25">
      <c r="A1439" s="367">
        <v>42845</v>
      </c>
      <c r="B1439" s="367" t="s">
        <v>279</v>
      </c>
      <c r="C1439" s="279" t="s">
        <v>645</v>
      </c>
      <c r="D1439" s="159" t="s">
        <v>1126</v>
      </c>
      <c r="E1439" s="45">
        <f t="shared" si="115"/>
        <v>42845</v>
      </c>
      <c r="F1439" s="148" t="str">
        <f t="shared" si="112"/>
        <v>2016-17</v>
      </c>
      <c r="G1439" s="1"/>
      <c r="H1439" s="163"/>
      <c r="I1439" s="37"/>
      <c r="J1439" s="138">
        <f t="shared" si="116"/>
        <v>0.77968490742404351</v>
      </c>
      <c r="K1439" s="114"/>
      <c r="L1439" s="37">
        <v>3.4996643056700001</v>
      </c>
      <c r="M1439" s="37" t="s">
        <v>142</v>
      </c>
      <c r="N1439" s="37">
        <v>1181.2618378536583</v>
      </c>
      <c r="O1439" s="132">
        <f t="shared" si="113"/>
        <v>4134.0198895865915</v>
      </c>
      <c r="P1439" s="134">
        <f t="shared" si="114"/>
        <v>3223.2329149014763</v>
      </c>
      <c r="Q1439" s="261">
        <v>1</v>
      </c>
      <c r="R1439" s="94"/>
    </row>
    <row r="1440" spans="1:18" x14ac:dyDescent="0.25">
      <c r="A1440" s="367">
        <v>42845</v>
      </c>
      <c r="B1440" s="367" t="s">
        <v>279</v>
      </c>
      <c r="C1440" s="279" t="s">
        <v>645</v>
      </c>
      <c r="D1440" s="159" t="s">
        <v>1126</v>
      </c>
      <c r="E1440" s="45">
        <f t="shared" si="115"/>
        <v>42845</v>
      </c>
      <c r="F1440" s="148" t="str">
        <f t="shared" si="112"/>
        <v>2016-17</v>
      </c>
      <c r="G1440" s="1"/>
      <c r="H1440" s="163"/>
      <c r="I1440" s="37"/>
      <c r="J1440" s="138">
        <f t="shared" si="116"/>
        <v>0.77968490742404351</v>
      </c>
      <c r="K1440" s="114"/>
      <c r="L1440" s="37">
        <v>3.49917148238</v>
      </c>
      <c r="M1440" s="37" t="s">
        <v>142</v>
      </c>
      <c r="N1440" s="37">
        <v>1181.2618378536583</v>
      </c>
      <c r="O1440" s="132">
        <f t="shared" si="113"/>
        <v>4133.4377362413088</v>
      </c>
      <c r="P1440" s="134">
        <f t="shared" si="114"/>
        <v>3222.7790187243527</v>
      </c>
      <c r="Q1440" s="261">
        <v>1</v>
      </c>
      <c r="R1440" s="94"/>
    </row>
    <row r="1441" spans="1:18" x14ac:dyDescent="0.25">
      <c r="A1441" s="367">
        <v>42845</v>
      </c>
      <c r="B1441" s="367" t="s">
        <v>279</v>
      </c>
      <c r="C1441" s="279" t="s">
        <v>645</v>
      </c>
      <c r="D1441" s="159" t="s">
        <v>1126</v>
      </c>
      <c r="E1441" s="45">
        <f t="shared" si="115"/>
        <v>42845</v>
      </c>
      <c r="F1441" s="148" t="str">
        <f t="shared" si="112"/>
        <v>2016-17</v>
      </c>
      <c r="G1441" s="1"/>
      <c r="H1441" s="163"/>
      <c r="I1441" s="37"/>
      <c r="J1441" s="138">
        <f t="shared" si="116"/>
        <v>0.77968490742404351</v>
      </c>
      <c r="K1441" s="114"/>
      <c r="L1441" s="37">
        <v>497.737602853</v>
      </c>
      <c r="M1441" s="37" t="s">
        <v>142</v>
      </c>
      <c r="N1441" s="37">
        <v>1512.3320841951218</v>
      </c>
      <c r="O1441" s="132">
        <f t="shared" si="113"/>
        <v>752744.54630496132</v>
      </c>
      <c r="P1441" s="134">
        <f t="shared" si="114"/>
        <v>586903.56189973734</v>
      </c>
      <c r="Q1441" s="261">
        <v>1</v>
      </c>
      <c r="R1441" s="94"/>
    </row>
    <row r="1442" spans="1:18" x14ac:dyDescent="0.25">
      <c r="A1442" s="367">
        <v>42845</v>
      </c>
      <c r="B1442" s="367" t="s">
        <v>279</v>
      </c>
      <c r="C1442" s="279" t="s">
        <v>645</v>
      </c>
      <c r="D1442" s="159" t="s">
        <v>1126</v>
      </c>
      <c r="E1442" s="45">
        <f t="shared" si="115"/>
        <v>42845</v>
      </c>
      <c r="F1442" s="148" t="str">
        <f t="shared" si="112"/>
        <v>2016-17</v>
      </c>
      <c r="G1442" s="1"/>
      <c r="H1442" s="163"/>
      <c r="I1442" s="37"/>
      <c r="J1442" s="138">
        <f t="shared" si="116"/>
        <v>0.77968490742404351</v>
      </c>
      <c r="K1442" s="114"/>
      <c r="L1442" s="37">
        <v>176.44030054199999</v>
      </c>
      <c r="M1442" s="37" t="s">
        <v>142</v>
      </c>
      <c r="N1442" s="37">
        <v>1128.7084557073169</v>
      </c>
      <c r="O1442" s="132">
        <f t="shared" si="113"/>
        <v>199149.65914929568</v>
      </c>
      <c r="P1442" s="134">
        <f t="shared" si="114"/>
        <v>155273.98355734843</v>
      </c>
      <c r="Q1442" s="261">
        <v>1</v>
      </c>
      <c r="R1442" s="94"/>
    </row>
    <row r="1443" spans="1:18" x14ac:dyDescent="0.25">
      <c r="A1443" s="367">
        <v>39238</v>
      </c>
      <c r="B1443" s="367" t="s">
        <v>279</v>
      </c>
      <c r="C1443" s="279" t="s">
        <v>661</v>
      </c>
      <c r="D1443" s="159" t="s">
        <v>1140</v>
      </c>
      <c r="E1443" s="45">
        <f t="shared" si="115"/>
        <v>39238</v>
      </c>
      <c r="F1443" s="148" t="str">
        <f t="shared" si="112"/>
        <v>2006-07</v>
      </c>
      <c r="G1443" s="1"/>
      <c r="H1443" s="163"/>
      <c r="I1443" s="37"/>
      <c r="J1443" s="138">
        <f t="shared" si="116"/>
        <v>0.77968490742404351</v>
      </c>
      <c r="K1443" s="114"/>
      <c r="L1443" s="37">
        <v>613.42784374600001</v>
      </c>
      <c r="M1443" s="37" t="s">
        <v>142</v>
      </c>
      <c r="N1443" s="37">
        <v>3100.7755036097556</v>
      </c>
      <c r="O1443" s="132">
        <f t="shared" si="113"/>
        <v>1902102.0311197496</v>
      </c>
      <c r="P1443" s="134">
        <f t="shared" si="114"/>
        <v>1483040.2460446872</v>
      </c>
      <c r="Q1443" s="261">
        <v>1</v>
      </c>
      <c r="R1443" s="94"/>
    </row>
    <row r="1444" spans="1:18" x14ac:dyDescent="0.25">
      <c r="A1444" s="367">
        <v>42986</v>
      </c>
      <c r="B1444" s="367" t="s">
        <v>279</v>
      </c>
      <c r="C1444" s="279" t="s">
        <v>662</v>
      </c>
      <c r="D1444" s="159" t="s">
        <v>1127</v>
      </c>
      <c r="E1444" s="45">
        <f t="shared" si="115"/>
        <v>42986</v>
      </c>
      <c r="F1444" s="148" t="str">
        <f t="shared" si="112"/>
        <v>2017-18</v>
      </c>
      <c r="G1444" s="1"/>
      <c r="H1444" s="163"/>
      <c r="I1444" s="37"/>
      <c r="J1444" s="138">
        <f t="shared" si="116"/>
        <v>0.77968490742404351</v>
      </c>
      <c r="K1444" s="114"/>
      <c r="L1444" s="37">
        <v>24.364121213899999</v>
      </c>
      <c r="M1444" s="37" t="s">
        <v>142</v>
      </c>
      <c r="N1444" s="37">
        <v>1272.2340968780488</v>
      </c>
      <c r="O1444" s="132">
        <f t="shared" si="113"/>
        <v>30996.865748793374</v>
      </c>
      <c r="P1444" s="134">
        <f t="shared" si="114"/>
        <v>24167.788401783466</v>
      </c>
      <c r="Q1444" s="261">
        <v>1</v>
      </c>
      <c r="R1444" s="94"/>
    </row>
    <row r="1445" spans="1:18" x14ac:dyDescent="0.25">
      <c r="A1445" s="367">
        <v>42986</v>
      </c>
      <c r="B1445" s="367" t="s">
        <v>279</v>
      </c>
      <c r="C1445" s="279" t="s">
        <v>662</v>
      </c>
      <c r="D1445" s="159" t="s">
        <v>1127</v>
      </c>
      <c r="E1445" s="45">
        <f t="shared" si="115"/>
        <v>42986</v>
      </c>
      <c r="F1445" s="148" t="str">
        <f t="shared" si="112"/>
        <v>2017-18</v>
      </c>
      <c r="G1445" s="1"/>
      <c r="H1445" s="163"/>
      <c r="I1445" s="37"/>
      <c r="J1445" s="138">
        <f t="shared" si="116"/>
        <v>0.77968490742404351</v>
      </c>
      <c r="K1445" s="114"/>
      <c r="L1445" s="37">
        <v>1.3346433980700001</v>
      </c>
      <c r="M1445" s="37" t="s">
        <v>142</v>
      </c>
      <c r="N1445" s="37">
        <v>1272.2340968780488</v>
      </c>
      <c r="O1445" s="132">
        <f t="shared" si="113"/>
        <v>1697.9788381978367</v>
      </c>
      <c r="P1445" s="134">
        <f t="shared" si="114"/>
        <v>1323.8884732682652</v>
      </c>
      <c r="Q1445" s="261">
        <v>1</v>
      </c>
      <c r="R1445" s="94"/>
    </row>
    <row r="1446" spans="1:18" x14ac:dyDescent="0.25">
      <c r="A1446" s="367">
        <v>42986</v>
      </c>
      <c r="B1446" s="367" t="s">
        <v>279</v>
      </c>
      <c r="C1446" s="279" t="s">
        <v>662</v>
      </c>
      <c r="D1446" s="159" t="s">
        <v>1127</v>
      </c>
      <c r="E1446" s="45">
        <f t="shared" si="115"/>
        <v>42986</v>
      </c>
      <c r="F1446" s="148" t="str">
        <f t="shared" si="112"/>
        <v>2017-18</v>
      </c>
      <c r="G1446" s="1"/>
      <c r="H1446" s="163"/>
      <c r="I1446" s="37"/>
      <c r="J1446" s="138">
        <f t="shared" si="116"/>
        <v>0.77968490742404351</v>
      </c>
      <c r="K1446" s="114"/>
      <c r="L1446" s="37">
        <v>2.6104198923999999</v>
      </c>
      <c r="M1446" s="37" t="s">
        <v>142</v>
      </c>
      <c r="N1446" s="37">
        <v>1422.8466506341463</v>
      </c>
      <c r="O1446" s="132">
        <f t="shared" si="113"/>
        <v>3714.2272006500884</v>
      </c>
      <c r="P1446" s="134">
        <f t="shared" si="114"/>
        <v>2895.9268910907285</v>
      </c>
      <c r="Q1446" s="261">
        <v>1</v>
      </c>
      <c r="R1446" s="94"/>
    </row>
    <row r="1447" spans="1:18" x14ac:dyDescent="0.25">
      <c r="A1447" s="367">
        <v>42986</v>
      </c>
      <c r="B1447" s="367" t="s">
        <v>279</v>
      </c>
      <c r="C1447" s="279" t="s">
        <v>662</v>
      </c>
      <c r="D1447" s="159" t="s">
        <v>1127</v>
      </c>
      <c r="E1447" s="45">
        <f t="shared" si="115"/>
        <v>42986</v>
      </c>
      <c r="F1447" s="148" t="str">
        <f t="shared" si="112"/>
        <v>2017-18</v>
      </c>
      <c r="G1447" s="1"/>
      <c r="H1447" s="163"/>
      <c r="I1447" s="37"/>
      <c r="J1447" s="138">
        <f t="shared" si="116"/>
        <v>0.77968490742404351</v>
      </c>
      <c r="K1447" s="114"/>
      <c r="L1447" s="37">
        <v>1.5001216617299999</v>
      </c>
      <c r="M1447" s="37" t="s">
        <v>142</v>
      </c>
      <c r="N1447" s="37">
        <v>1272.2340968780488</v>
      </c>
      <c r="O1447" s="132">
        <f t="shared" si="113"/>
        <v>1908.5059275182643</v>
      </c>
      <c r="P1447" s="134">
        <f t="shared" si="114"/>
        <v>1488.0332674153162</v>
      </c>
      <c r="Q1447" s="261">
        <v>1</v>
      </c>
      <c r="R1447" s="94"/>
    </row>
    <row r="1448" spans="1:18" x14ac:dyDescent="0.25">
      <c r="A1448" s="367">
        <v>39609</v>
      </c>
      <c r="B1448" s="367" t="s">
        <v>279</v>
      </c>
      <c r="C1448" s="279" t="s">
        <v>663</v>
      </c>
      <c r="D1448" s="159" t="s">
        <v>1141</v>
      </c>
      <c r="E1448" s="45">
        <f t="shared" si="115"/>
        <v>39609</v>
      </c>
      <c r="F1448" s="148" t="str">
        <f t="shared" si="112"/>
        <v>2007-08</v>
      </c>
      <c r="G1448" s="1"/>
      <c r="H1448" s="163"/>
      <c r="I1448" s="37"/>
      <c r="J1448" s="138">
        <f t="shared" si="116"/>
        <v>0.77968490742404351</v>
      </c>
      <c r="K1448" s="114"/>
      <c r="L1448" s="37">
        <v>184.67240076300001</v>
      </c>
      <c r="M1448" s="37" t="s">
        <v>142</v>
      </c>
      <c r="N1448" s="37">
        <v>1181.2618378536583</v>
      </c>
      <c r="O1448" s="132">
        <f t="shared" si="113"/>
        <v>218146.45952614874</v>
      </c>
      <c r="P1448" s="134">
        <f t="shared" si="114"/>
        <v>170085.50210052813</v>
      </c>
      <c r="Q1448" s="261">
        <v>1</v>
      </c>
      <c r="R1448" s="94"/>
    </row>
    <row r="1449" spans="1:18" x14ac:dyDescent="0.25">
      <c r="A1449" s="367">
        <v>42986</v>
      </c>
      <c r="B1449" s="367" t="s">
        <v>279</v>
      </c>
      <c r="C1449" s="279" t="s">
        <v>662</v>
      </c>
      <c r="D1449" s="159" t="s">
        <v>1142</v>
      </c>
      <c r="E1449" s="45">
        <f t="shared" si="115"/>
        <v>42986</v>
      </c>
      <c r="F1449" s="148" t="str">
        <f t="shared" si="112"/>
        <v>2017-18</v>
      </c>
      <c r="G1449" s="1"/>
      <c r="H1449" s="163"/>
      <c r="I1449" s="37"/>
      <c r="J1449" s="138">
        <f t="shared" si="116"/>
        <v>0.77968490742404351</v>
      </c>
      <c r="K1449" s="114"/>
      <c r="L1449" s="37">
        <v>97.412679979700002</v>
      </c>
      <c r="M1449" s="37" t="s">
        <v>142</v>
      </c>
      <c r="N1449" s="37">
        <v>1512.3320841951218</v>
      </c>
      <c r="O1449" s="132">
        <f t="shared" si="113"/>
        <v>147320.3213407321</v>
      </c>
      <c r="P1449" s="134">
        <f t="shared" si="114"/>
        <v>114863.43110622905</v>
      </c>
      <c r="Q1449" s="261">
        <v>1</v>
      </c>
      <c r="R1449" s="94"/>
    </row>
    <row r="1450" spans="1:18" x14ac:dyDescent="0.25">
      <c r="A1450" s="367">
        <v>42986</v>
      </c>
      <c r="B1450" s="367" t="s">
        <v>279</v>
      </c>
      <c r="C1450" s="279" t="s">
        <v>662</v>
      </c>
      <c r="D1450" s="159" t="s">
        <v>1127</v>
      </c>
      <c r="E1450" s="45">
        <f t="shared" si="115"/>
        <v>42986</v>
      </c>
      <c r="F1450" s="148" t="str">
        <f t="shared" si="112"/>
        <v>2017-18</v>
      </c>
      <c r="G1450" s="1"/>
      <c r="H1450" s="163"/>
      <c r="I1450" s="37"/>
      <c r="J1450" s="138">
        <f t="shared" si="116"/>
        <v>0.77968490742404351</v>
      </c>
      <c r="K1450" s="114"/>
      <c r="L1450" s="37">
        <v>28.875597648700001</v>
      </c>
      <c r="M1450" s="37" t="s">
        <v>142</v>
      </c>
      <c r="N1450" s="37">
        <v>1422.8466506341463</v>
      </c>
      <c r="O1450" s="132">
        <f t="shared" si="113"/>
        <v>41085.547399512026</v>
      </c>
      <c r="P1450" s="134">
        <f t="shared" si="114"/>
        <v>32033.781220654684</v>
      </c>
      <c r="Q1450" s="261">
        <v>1</v>
      </c>
      <c r="R1450" s="94"/>
    </row>
    <row r="1451" spans="1:18" x14ac:dyDescent="0.25">
      <c r="A1451" s="367">
        <v>42986</v>
      </c>
      <c r="B1451" s="367" t="s">
        <v>279</v>
      </c>
      <c r="C1451" s="279" t="s">
        <v>662</v>
      </c>
      <c r="D1451" s="159" t="s">
        <v>1127</v>
      </c>
      <c r="E1451" s="45">
        <f t="shared" si="115"/>
        <v>42986</v>
      </c>
      <c r="F1451" s="148" t="str">
        <f t="shared" si="112"/>
        <v>2017-18</v>
      </c>
      <c r="G1451" s="1"/>
      <c r="H1451" s="163"/>
      <c r="I1451" s="37"/>
      <c r="J1451" s="138">
        <f t="shared" si="116"/>
        <v>0.77968490742404351</v>
      </c>
      <c r="K1451" s="114"/>
      <c r="L1451" s="37">
        <v>27.586844757600002</v>
      </c>
      <c r="M1451" s="37" t="s">
        <v>142</v>
      </c>
      <c r="N1451" s="37">
        <v>1512.3320841951218</v>
      </c>
      <c r="O1451" s="132">
        <f t="shared" si="113"/>
        <v>41720.470428628476</v>
      </c>
      <c r="P1451" s="134">
        <f t="shared" si="114"/>
        <v>32528.821123832739</v>
      </c>
      <c r="Q1451" s="261">
        <v>1</v>
      </c>
      <c r="R1451" s="94"/>
    </row>
    <row r="1452" spans="1:18" x14ac:dyDescent="0.25">
      <c r="A1452" s="367">
        <v>39609</v>
      </c>
      <c r="B1452" s="367" t="s">
        <v>279</v>
      </c>
      <c r="C1452" s="279" t="s">
        <v>663</v>
      </c>
      <c r="D1452" s="159" t="s">
        <v>1141</v>
      </c>
      <c r="E1452" s="45">
        <f t="shared" si="115"/>
        <v>39609</v>
      </c>
      <c r="F1452" s="148" t="str">
        <f t="shared" si="112"/>
        <v>2007-08</v>
      </c>
      <c r="G1452" s="1"/>
      <c r="H1452" s="163"/>
      <c r="I1452" s="37"/>
      <c r="J1452" s="138">
        <f t="shared" si="116"/>
        <v>0.77968490742404351</v>
      </c>
      <c r="K1452" s="114"/>
      <c r="L1452" s="37">
        <v>16.299939586099999</v>
      </c>
      <c r="M1452" s="37" t="s">
        <v>142</v>
      </c>
      <c r="N1452" s="37">
        <v>1385.4167692682922</v>
      </c>
      <c r="O1452" s="132">
        <f t="shared" si="113"/>
        <v>22582.209640643006</v>
      </c>
      <c r="P1452" s="134">
        <f t="shared" si="114"/>
        <v>17607.008033095084</v>
      </c>
      <c r="Q1452" s="261">
        <v>1</v>
      </c>
      <c r="R1452" s="94"/>
    </row>
    <row r="1453" spans="1:18" x14ac:dyDescent="0.25">
      <c r="A1453" s="367">
        <v>39609</v>
      </c>
      <c r="B1453" s="367" t="s">
        <v>279</v>
      </c>
      <c r="C1453" s="279" t="s">
        <v>663</v>
      </c>
      <c r="D1453" s="159" t="s">
        <v>1141</v>
      </c>
      <c r="E1453" s="45">
        <f t="shared" si="115"/>
        <v>39609</v>
      </c>
      <c r="F1453" s="148" t="str">
        <f t="shared" si="112"/>
        <v>2007-08</v>
      </c>
      <c r="G1453" s="1"/>
      <c r="H1453" s="163"/>
      <c r="I1453" s="37"/>
      <c r="J1453" s="138">
        <f t="shared" si="116"/>
        <v>0.77968490742404351</v>
      </c>
      <c r="K1453" s="114"/>
      <c r="L1453" s="37">
        <v>3.2997352924099999</v>
      </c>
      <c r="M1453" s="37" t="s">
        <v>142</v>
      </c>
      <c r="N1453" s="37">
        <v>1181.2618378536583</v>
      </c>
      <c r="O1453" s="132">
        <f t="shared" si="113"/>
        <v>3897.8513759428151</v>
      </c>
      <c r="P1453" s="134">
        <f t="shared" si="114"/>
        <v>3039.0958892046542</v>
      </c>
      <c r="Q1453" s="261">
        <v>1</v>
      </c>
      <c r="R1453" s="94"/>
    </row>
    <row r="1454" spans="1:18" x14ac:dyDescent="0.25">
      <c r="A1454" s="367">
        <v>39609</v>
      </c>
      <c r="B1454" s="367" t="s">
        <v>279</v>
      </c>
      <c r="C1454" s="279" t="s">
        <v>663</v>
      </c>
      <c r="D1454" s="159" t="s">
        <v>1141</v>
      </c>
      <c r="E1454" s="45">
        <f t="shared" si="115"/>
        <v>39609</v>
      </c>
      <c r="F1454" s="148" t="str">
        <f t="shared" si="112"/>
        <v>2007-08</v>
      </c>
      <c r="G1454" s="1"/>
      <c r="H1454" s="163"/>
      <c r="I1454" s="37"/>
      <c r="J1454" s="138">
        <f t="shared" si="116"/>
        <v>0.77968490742404351</v>
      </c>
      <c r="K1454" s="114"/>
      <c r="L1454" s="37">
        <v>1.09993863465</v>
      </c>
      <c r="M1454" s="37" t="s">
        <v>142</v>
      </c>
      <c r="N1454" s="37">
        <v>1385.4167692682922</v>
      </c>
      <c r="O1454" s="132">
        <f t="shared" si="113"/>
        <v>1523.8734296101793</v>
      </c>
      <c r="P1454" s="134">
        <f t="shared" si="114"/>
        <v>1188.1411138915723</v>
      </c>
      <c r="Q1454" s="261">
        <v>1</v>
      </c>
      <c r="R1454" s="94"/>
    </row>
    <row r="1455" spans="1:18" x14ac:dyDescent="0.25">
      <c r="A1455" s="367">
        <v>43034</v>
      </c>
      <c r="B1455" s="367" t="s">
        <v>279</v>
      </c>
      <c r="C1455" s="279" t="s">
        <v>664</v>
      </c>
      <c r="D1455" s="159" t="s">
        <v>1127</v>
      </c>
      <c r="E1455" s="45">
        <f t="shared" si="115"/>
        <v>43034</v>
      </c>
      <c r="F1455" s="148" t="str">
        <f t="shared" si="112"/>
        <v>2017-18</v>
      </c>
      <c r="G1455" s="1"/>
      <c r="H1455" s="163"/>
      <c r="I1455" s="37"/>
      <c r="J1455" s="138">
        <f t="shared" si="116"/>
        <v>0.77968490742404351</v>
      </c>
      <c r="K1455" s="114"/>
      <c r="L1455" s="37">
        <v>10.506363389100001</v>
      </c>
      <c r="M1455" s="37" t="s">
        <v>142</v>
      </c>
      <c r="N1455" s="37">
        <v>2042.4636684878049</v>
      </c>
      <c r="O1455" s="132">
        <f t="shared" si="113"/>
        <v>21458.865510167154</v>
      </c>
      <c r="P1455" s="134">
        <f t="shared" si="114"/>
        <v>16731.153568719677</v>
      </c>
      <c r="Q1455" s="261">
        <v>1</v>
      </c>
      <c r="R1455" s="94"/>
    </row>
    <row r="1456" spans="1:18" x14ac:dyDescent="0.25">
      <c r="A1456" s="367">
        <v>43034</v>
      </c>
      <c r="B1456" s="367" t="s">
        <v>279</v>
      </c>
      <c r="C1456" s="279" t="s">
        <v>664</v>
      </c>
      <c r="D1456" s="159" t="s">
        <v>1127</v>
      </c>
      <c r="E1456" s="45">
        <f t="shared" si="115"/>
        <v>43034</v>
      </c>
      <c r="F1456" s="148" t="str">
        <f t="shared" si="112"/>
        <v>2017-18</v>
      </c>
      <c r="G1456" s="1"/>
      <c r="H1456" s="163"/>
      <c r="I1456" s="37"/>
      <c r="J1456" s="138">
        <f t="shared" si="116"/>
        <v>0.77968490742404351</v>
      </c>
      <c r="K1456" s="114"/>
      <c r="L1456" s="37">
        <v>1.2817554368899999</v>
      </c>
      <c r="M1456" s="37" t="s">
        <v>142</v>
      </c>
      <c r="N1456" s="37">
        <v>1422.8419512195119</v>
      </c>
      <c r="O1456" s="132">
        <f t="shared" si="113"/>
        <v>1823.7354068107854</v>
      </c>
      <c r="P1456" s="134">
        <f t="shared" si="114"/>
        <v>1421.9389718252175</v>
      </c>
      <c r="Q1456" s="261">
        <v>1</v>
      </c>
      <c r="R1456" s="94"/>
    </row>
    <row r="1457" spans="1:18" x14ac:dyDescent="0.25">
      <c r="A1457" s="367">
        <v>43034</v>
      </c>
      <c r="B1457" s="367" t="s">
        <v>279</v>
      </c>
      <c r="C1457" s="279" t="s">
        <v>664</v>
      </c>
      <c r="D1457" s="159" t="s">
        <v>1127</v>
      </c>
      <c r="E1457" s="45">
        <f t="shared" si="115"/>
        <v>43034</v>
      </c>
      <c r="F1457" s="148" t="str">
        <f t="shared" si="112"/>
        <v>2017-18</v>
      </c>
      <c r="G1457" s="1"/>
      <c r="H1457" s="163"/>
      <c r="I1457" s="37"/>
      <c r="J1457" s="138">
        <f t="shared" si="116"/>
        <v>0.77968490742404351</v>
      </c>
      <c r="K1457" s="114"/>
      <c r="L1457" s="37">
        <v>2.11053048566</v>
      </c>
      <c r="M1457" s="37" t="s">
        <v>142</v>
      </c>
      <c r="N1457" s="37">
        <v>1422.8419512195119</v>
      </c>
      <c r="O1457" s="132">
        <f t="shared" si="113"/>
        <v>3002.9513143247386</v>
      </c>
      <c r="P1457" s="134">
        <f t="shared" si="114"/>
        <v>2341.3558175081935</v>
      </c>
      <c r="Q1457" s="261">
        <v>1</v>
      </c>
      <c r="R1457" s="94"/>
    </row>
    <row r="1458" spans="1:18" x14ac:dyDescent="0.25">
      <c r="A1458" s="367">
        <v>40131</v>
      </c>
      <c r="B1458" s="367" t="s">
        <v>279</v>
      </c>
      <c r="C1458" s="279" t="s">
        <v>665</v>
      </c>
      <c r="D1458" s="159" t="s">
        <v>1143</v>
      </c>
      <c r="E1458" s="45">
        <f t="shared" si="115"/>
        <v>40131</v>
      </c>
      <c r="F1458" s="148" t="str">
        <f t="shared" si="112"/>
        <v>2009-10</v>
      </c>
      <c r="G1458" s="1"/>
      <c r="H1458" s="163"/>
      <c r="I1458" s="37"/>
      <c r="J1458" s="138">
        <f t="shared" si="116"/>
        <v>0.77968490742404351</v>
      </c>
      <c r="K1458" s="114"/>
      <c r="L1458" s="37">
        <v>1.0839487995299999</v>
      </c>
      <c r="M1458" s="37" t="s">
        <v>142</v>
      </c>
      <c r="N1458" s="37">
        <v>936.5640883902438</v>
      </c>
      <c r="O1458" s="132">
        <f t="shared" si="113"/>
        <v>1015.1875192935134</v>
      </c>
      <c r="P1458" s="134">
        <f t="shared" si="114"/>
        <v>791.52638699840736</v>
      </c>
      <c r="Q1458" s="261">
        <v>1</v>
      </c>
      <c r="R1458" s="94"/>
    </row>
    <row r="1459" spans="1:18" x14ac:dyDescent="0.25">
      <c r="A1459" s="367">
        <v>40131</v>
      </c>
      <c r="B1459" s="367" t="s">
        <v>279</v>
      </c>
      <c r="C1459" s="279" t="s">
        <v>665</v>
      </c>
      <c r="D1459" s="159" t="s">
        <v>1143</v>
      </c>
      <c r="E1459" s="45">
        <f t="shared" si="115"/>
        <v>40131</v>
      </c>
      <c r="F1459" s="148" t="str">
        <f t="shared" si="112"/>
        <v>2009-10</v>
      </c>
      <c r="G1459" s="1"/>
      <c r="H1459" s="163"/>
      <c r="I1459" s="37"/>
      <c r="J1459" s="138">
        <f t="shared" si="116"/>
        <v>0.77968490742404351</v>
      </c>
      <c r="K1459" s="114"/>
      <c r="L1459" s="37">
        <v>403.909243473</v>
      </c>
      <c r="M1459" s="37" t="s">
        <v>142</v>
      </c>
      <c r="N1459" s="37">
        <v>771.6404230243902</v>
      </c>
      <c r="O1459" s="132">
        <f t="shared" si="113"/>
        <v>311672.69949696714</v>
      </c>
      <c r="P1459" s="134">
        <f t="shared" si="114"/>
        <v>243006.49985389455</v>
      </c>
      <c r="Q1459" s="261">
        <v>1</v>
      </c>
      <c r="R1459" s="94"/>
    </row>
    <row r="1460" spans="1:18" x14ac:dyDescent="0.25">
      <c r="A1460" s="367">
        <v>40131</v>
      </c>
      <c r="B1460" s="367" t="s">
        <v>279</v>
      </c>
      <c r="C1460" s="279" t="s">
        <v>665</v>
      </c>
      <c r="D1460" s="159" t="s">
        <v>1143</v>
      </c>
      <c r="E1460" s="45">
        <f t="shared" si="115"/>
        <v>40131</v>
      </c>
      <c r="F1460" s="148" t="str">
        <f t="shared" si="112"/>
        <v>2009-10</v>
      </c>
      <c r="G1460" s="1"/>
      <c r="H1460" s="163"/>
      <c r="I1460" s="37"/>
      <c r="J1460" s="138">
        <f t="shared" si="116"/>
        <v>0.77968490742404351</v>
      </c>
      <c r="K1460" s="114"/>
      <c r="L1460" s="37">
        <v>3.19856249455</v>
      </c>
      <c r="M1460" s="37" t="s">
        <v>142</v>
      </c>
      <c r="N1460" s="37">
        <v>771.6404230243902</v>
      </c>
      <c r="O1460" s="132">
        <f t="shared" si="113"/>
        <v>2468.140116364511</v>
      </c>
      <c r="P1460" s="134">
        <f t="shared" si="114"/>
        <v>1924.3715981372318</v>
      </c>
      <c r="Q1460" s="261">
        <v>1</v>
      </c>
      <c r="R1460" s="94"/>
    </row>
    <row r="1461" spans="1:18" x14ac:dyDescent="0.25">
      <c r="A1461" s="367">
        <v>39609</v>
      </c>
      <c r="B1461" s="367" t="s">
        <v>279</v>
      </c>
      <c r="C1461" s="279" t="s">
        <v>663</v>
      </c>
      <c r="D1461" s="159" t="s">
        <v>1141</v>
      </c>
      <c r="E1461" s="45">
        <f t="shared" si="115"/>
        <v>39609</v>
      </c>
      <c r="F1461" s="148" t="str">
        <f t="shared" si="112"/>
        <v>2007-08</v>
      </c>
      <c r="G1461" s="1"/>
      <c r="H1461" s="163"/>
      <c r="I1461" s="37"/>
      <c r="J1461" s="138">
        <f t="shared" si="116"/>
        <v>0.77968490742404351</v>
      </c>
      <c r="K1461" s="114"/>
      <c r="L1461" s="37">
        <v>283.46847968899999</v>
      </c>
      <c r="M1461" s="37" t="s">
        <v>142</v>
      </c>
      <c r="N1461" s="37">
        <v>1181.2618378536583</v>
      </c>
      <c r="O1461" s="132">
        <f t="shared" si="113"/>
        <v>334850.49729101057</v>
      </c>
      <c r="P1461" s="134">
        <f t="shared" si="114"/>
        <v>261077.87898123651</v>
      </c>
      <c r="Q1461" s="261">
        <v>1</v>
      </c>
      <c r="R1461" s="94"/>
    </row>
    <row r="1462" spans="1:18" x14ac:dyDescent="0.25">
      <c r="A1462" s="367">
        <v>39609</v>
      </c>
      <c r="B1462" s="367" t="s">
        <v>279</v>
      </c>
      <c r="C1462" s="279" t="s">
        <v>663</v>
      </c>
      <c r="D1462" s="159" t="s">
        <v>1141</v>
      </c>
      <c r="E1462" s="45">
        <f t="shared" si="115"/>
        <v>39609</v>
      </c>
      <c r="F1462" s="148" t="str">
        <f t="shared" si="112"/>
        <v>2007-08</v>
      </c>
      <c r="G1462" s="1"/>
      <c r="H1462" s="163"/>
      <c r="I1462" s="37"/>
      <c r="J1462" s="138">
        <f t="shared" si="116"/>
        <v>0.77968490742404351</v>
      </c>
      <c r="K1462" s="114"/>
      <c r="L1462" s="37">
        <v>188.26619062699999</v>
      </c>
      <c r="M1462" s="37" t="s">
        <v>142</v>
      </c>
      <c r="N1462" s="37">
        <v>1181.2618378536583</v>
      </c>
      <c r="O1462" s="132">
        <f t="shared" si="113"/>
        <v>222391.6663457572</v>
      </c>
      <c r="P1462" s="134">
        <f t="shared" si="114"/>
        <v>173395.42578667047</v>
      </c>
      <c r="Q1462" s="261">
        <v>1</v>
      </c>
      <c r="R1462" s="94"/>
    </row>
    <row r="1463" spans="1:18" x14ac:dyDescent="0.25">
      <c r="A1463" s="367">
        <v>39609</v>
      </c>
      <c r="B1463" s="367" t="s">
        <v>279</v>
      </c>
      <c r="C1463" s="279" t="s">
        <v>663</v>
      </c>
      <c r="D1463" s="159" t="s">
        <v>1141</v>
      </c>
      <c r="E1463" s="45">
        <f t="shared" si="115"/>
        <v>39609</v>
      </c>
      <c r="F1463" s="148" t="str">
        <f t="shared" si="112"/>
        <v>2007-08</v>
      </c>
      <c r="G1463" s="1"/>
      <c r="H1463" s="163"/>
      <c r="I1463" s="37"/>
      <c r="J1463" s="138">
        <f t="shared" si="116"/>
        <v>0.77968490742404351</v>
      </c>
      <c r="K1463" s="114"/>
      <c r="L1463" s="37">
        <v>195.12291271399999</v>
      </c>
      <c r="M1463" s="37" t="s">
        <v>142</v>
      </c>
      <c r="N1463" s="37">
        <v>1181.2618378536583</v>
      </c>
      <c r="O1463" s="132">
        <f t="shared" si="113"/>
        <v>230491.25047989859</v>
      </c>
      <c r="P1463" s="134">
        <f t="shared" si="114"/>
        <v>179710.54929247175</v>
      </c>
      <c r="Q1463" s="261">
        <v>1</v>
      </c>
      <c r="R1463" s="94"/>
    </row>
    <row r="1464" spans="1:18" x14ac:dyDescent="0.25">
      <c r="A1464" s="367">
        <v>39609</v>
      </c>
      <c r="B1464" s="367" t="s">
        <v>279</v>
      </c>
      <c r="C1464" s="279" t="s">
        <v>663</v>
      </c>
      <c r="D1464" s="159" t="s">
        <v>1141</v>
      </c>
      <c r="E1464" s="45">
        <f t="shared" si="115"/>
        <v>39609</v>
      </c>
      <c r="F1464" s="148" t="str">
        <f t="shared" si="112"/>
        <v>2007-08</v>
      </c>
      <c r="G1464" s="1"/>
      <c r="H1464" s="163"/>
      <c r="I1464" s="37"/>
      <c r="J1464" s="138">
        <f t="shared" si="116"/>
        <v>0.77968490742404351</v>
      </c>
      <c r="K1464" s="114"/>
      <c r="L1464" s="37">
        <v>15.9989203698</v>
      </c>
      <c r="M1464" s="37" t="s">
        <v>142</v>
      </c>
      <c r="N1464" s="37">
        <v>1181.2618378536583</v>
      </c>
      <c r="O1464" s="132">
        <f t="shared" si="113"/>
        <v>18898.914079704278</v>
      </c>
      <c r="P1464" s="134">
        <f t="shared" si="114"/>
        <v>14735.198074649183</v>
      </c>
      <c r="Q1464" s="261">
        <v>1</v>
      </c>
      <c r="R1464" s="94"/>
    </row>
    <row r="1465" spans="1:18" x14ac:dyDescent="0.25">
      <c r="A1465" s="367">
        <v>39609</v>
      </c>
      <c r="B1465" s="367" t="s">
        <v>279</v>
      </c>
      <c r="C1465" s="279" t="s">
        <v>663</v>
      </c>
      <c r="D1465" s="159" t="s">
        <v>1141</v>
      </c>
      <c r="E1465" s="45">
        <f t="shared" si="115"/>
        <v>39609</v>
      </c>
      <c r="F1465" s="148" t="str">
        <f t="shared" si="112"/>
        <v>2007-08</v>
      </c>
      <c r="G1465" s="1"/>
      <c r="H1465" s="163"/>
      <c r="I1465" s="37"/>
      <c r="J1465" s="138">
        <f t="shared" si="116"/>
        <v>0.77968490742404351</v>
      </c>
      <c r="K1465" s="114"/>
      <c r="L1465" s="37">
        <v>68.867170849600001</v>
      </c>
      <c r="M1465" s="37" t="s">
        <v>142</v>
      </c>
      <c r="N1465" s="37">
        <v>1181.2618378536583</v>
      </c>
      <c r="O1465" s="132">
        <f t="shared" si="113"/>
        <v>81350.160805580381</v>
      </c>
      <c r="P1465" s="134">
        <f t="shared" si="114"/>
        <v>63427.492596629992</v>
      </c>
      <c r="Q1465" s="261">
        <v>1</v>
      </c>
      <c r="R1465" s="94"/>
    </row>
    <row r="1466" spans="1:18" x14ac:dyDescent="0.25">
      <c r="A1466" s="367">
        <v>39609</v>
      </c>
      <c r="B1466" s="367" t="s">
        <v>279</v>
      </c>
      <c r="C1466" s="279" t="s">
        <v>663</v>
      </c>
      <c r="D1466" s="159" t="s">
        <v>1141</v>
      </c>
      <c r="E1466" s="45">
        <f t="shared" si="115"/>
        <v>39609</v>
      </c>
      <c r="F1466" s="148" t="str">
        <f t="shared" si="112"/>
        <v>2007-08</v>
      </c>
      <c r="G1466" s="1"/>
      <c r="H1466" s="163"/>
      <c r="I1466" s="37"/>
      <c r="J1466" s="138">
        <f t="shared" si="116"/>
        <v>0.77968490742404351</v>
      </c>
      <c r="K1466" s="114"/>
      <c r="L1466" s="37">
        <v>37.397920166799999</v>
      </c>
      <c r="M1466" s="37" t="s">
        <v>142</v>
      </c>
      <c r="N1466" s="37">
        <v>1181.2618378536583</v>
      </c>
      <c r="O1466" s="132">
        <f t="shared" si="113"/>
        <v>44176.735908138558</v>
      </c>
      <c r="P1466" s="134">
        <f t="shared" si="114"/>
        <v>34443.934246833429</v>
      </c>
      <c r="Q1466" s="261">
        <v>1</v>
      </c>
      <c r="R1466" s="94"/>
    </row>
    <row r="1467" spans="1:18" x14ac:dyDescent="0.25">
      <c r="A1467" s="367">
        <v>39609</v>
      </c>
      <c r="B1467" s="367" t="s">
        <v>279</v>
      </c>
      <c r="C1467" s="279" t="s">
        <v>663</v>
      </c>
      <c r="D1467" s="159" t="s">
        <v>1141</v>
      </c>
      <c r="E1467" s="45">
        <f t="shared" si="115"/>
        <v>39609</v>
      </c>
      <c r="F1467" s="148" t="str">
        <f t="shared" si="112"/>
        <v>2007-08</v>
      </c>
      <c r="G1467" s="1"/>
      <c r="H1467" s="163"/>
      <c r="I1467" s="37"/>
      <c r="J1467" s="138">
        <f t="shared" si="116"/>
        <v>0.77968490742404351</v>
      </c>
      <c r="K1467" s="114"/>
      <c r="L1467" s="37">
        <v>6.4996567471400004</v>
      </c>
      <c r="M1467" s="37" t="s">
        <v>142</v>
      </c>
      <c r="N1467" s="37">
        <v>1181.2618378536583</v>
      </c>
      <c r="O1467" s="132">
        <f t="shared" si="113"/>
        <v>7677.7964745445279</v>
      </c>
      <c r="P1467" s="134">
        <f t="shared" si="114"/>
        <v>5986.2620334758976</v>
      </c>
      <c r="Q1467" s="261">
        <v>1</v>
      </c>
      <c r="R1467" s="94"/>
    </row>
    <row r="1468" spans="1:18" x14ac:dyDescent="0.25">
      <c r="A1468" s="367">
        <v>39609</v>
      </c>
      <c r="B1468" s="367" t="s">
        <v>279</v>
      </c>
      <c r="C1468" s="279" t="s">
        <v>663</v>
      </c>
      <c r="D1468" s="159" t="s">
        <v>1141</v>
      </c>
      <c r="E1468" s="45">
        <f t="shared" si="115"/>
        <v>39609</v>
      </c>
      <c r="F1468" s="148" t="str">
        <f t="shared" si="112"/>
        <v>2007-08</v>
      </c>
      <c r="G1468" s="1"/>
      <c r="H1468" s="163"/>
      <c r="I1468" s="37"/>
      <c r="J1468" s="138">
        <f t="shared" si="116"/>
        <v>0.77968490742404351</v>
      </c>
      <c r="K1468" s="114"/>
      <c r="L1468" s="37">
        <v>3.0006572613300002</v>
      </c>
      <c r="M1468" s="37" t="s">
        <v>142</v>
      </c>
      <c r="N1468" s="37">
        <v>1385.4167692682922</v>
      </c>
      <c r="O1468" s="132">
        <f t="shared" si="113"/>
        <v>4157.1608886732502</v>
      </c>
      <c r="P1468" s="134">
        <f t="shared" si="114"/>
        <v>3241.2756026320576</v>
      </c>
      <c r="Q1468" s="261">
        <v>1</v>
      </c>
      <c r="R1468" s="94"/>
    </row>
    <row r="1469" spans="1:18" x14ac:dyDescent="0.25">
      <c r="A1469" s="367">
        <v>43062</v>
      </c>
      <c r="B1469" s="367" t="s">
        <v>279</v>
      </c>
      <c r="C1469" s="279" t="s">
        <v>666</v>
      </c>
      <c r="D1469" s="159" t="s">
        <v>1141</v>
      </c>
      <c r="E1469" s="45">
        <f t="shared" si="115"/>
        <v>43062</v>
      </c>
      <c r="F1469" s="148" t="str">
        <f t="shared" si="112"/>
        <v>2017-18</v>
      </c>
      <c r="G1469" s="1"/>
      <c r="H1469" s="163"/>
      <c r="I1469" s="37"/>
      <c r="J1469" s="138">
        <f t="shared" si="116"/>
        <v>0.77968490742404351</v>
      </c>
      <c r="K1469" s="114"/>
      <c r="L1469" s="37">
        <v>28.7109154041</v>
      </c>
      <c r="M1469" s="37" t="s">
        <v>142</v>
      </c>
      <c r="N1469" s="37">
        <v>771.6404230243902</v>
      </c>
      <c r="O1469" s="132">
        <f t="shared" si="113"/>
        <v>22154.502907837206</v>
      </c>
      <c r="P1469" s="134">
        <f t="shared" si="114"/>
        <v>17273.531548722756</v>
      </c>
      <c r="Q1469" s="261">
        <v>1</v>
      </c>
      <c r="R1469" s="94"/>
    </row>
    <row r="1470" spans="1:18" x14ac:dyDescent="0.25">
      <c r="A1470" s="367">
        <v>39609</v>
      </c>
      <c r="B1470" s="367" t="s">
        <v>279</v>
      </c>
      <c r="C1470" s="279" t="s">
        <v>663</v>
      </c>
      <c r="D1470" s="159" t="s">
        <v>1141</v>
      </c>
      <c r="E1470" s="45">
        <f t="shared" si="115"/>
        <v>39609</v>
      </c>
      <c r="F1470" s="148" t="str">
        <f t="shared" si="112"/>
        <v>2007-08</v>
      </c>
      <c r="G1470" s="1"/>
      <c r="H1470" s="163"/>
      <c r="I1470" s="37"/>
      <c r="J1470" s="138">
        <f t="shared" si="116"/>
        <v>0.77968490742404351</v>
      </c>
      <c r="K1470" s="114"/>
      <c r="L1470" s="37">
        <v>1.79928049974</v>
      </c>
      <c r="M1470" s="37" t="s">
        <v>142</v>
      </c>
      <c r="N1470" s="37">
        <v>771.6404230243902</v>
      </c>
      <c r="O1470" s="132">
        <f t="shared" si="113"/>
        <v>1388.3975659589098</v>
      </c>
      <c r="P1470" s="134">
        <f t="shared" si="114"/>
        <v>1082.5126276824399</v>
      </c>
      <c r="Q1470" s="261">
        <v>1</v>
      </c>
      <c r="R1470" s="94"/>
    </row>
    <row r="1471" spans="1:18" x14ac:dyDescent="0.25">
      <c r="A1471" s="367">
        <v>39609</v>
      </c>
      <c r="B1471" s="367" t="s">
        <v>279</v>
      </c>
      <c r="C1471" s="279" t="s">
        <v>663</v>
      </c>
      <c r="D1471" s="159" t="s">
        <v>1141</v>
      </c>
      <c r="E1471" s="45">
        <f t="shared" si="115"/>
        <v>39609</v>
      </c>
      <c r="F1471" s="148" t="str">
        <f t="shared" si="112"/>
        <v>2007-08</v>
      </c>
      <c r="G1471" s="1"/>
      <c r="H1471" s="163"/>
      <c r="I1471" s="37"/>
      <c r="J1471" s="138">
        <f t="shared" si="116"/>
        <v>0.77968490742404351</v>
      </c>
      <c r="K1471" s="114"/>
      <c r="L1471" s="37">
        <v>1.50021065188</v>
      </c>
      <c r="M1471" s="37" t="s">
        <v>142</v>
      </c>
      <c r="N1471" s="37">
        <v>771.6404230243902</v>
      </c>
      <c r="O1471" s="132">
        <f t="shared" si="113"/>
        <v>1157.6231820423793</v>
      </c>
      <c r="P1471" s="134">
        <f t="shared" si="114"/>
        <v>902.5813235226392</v>
      </c>
      <c r="Q1471" s="261">
        <v>1</v>
      </c>
      <c r="R1471" s="94"/>
    </row>
    <row r="1472" spans="1:18" x14ac:dyDescent="0.25">
      <c r="A1472" s="367">
        <v>39609</v>
      </c>
      <c r="B1472" s="367" t="s">
        <v>279</v>
      </c>
      <c r="C1472" s="279" t="s">
        <v>663</v>
      </c>
      <c r="D1472" s="159" t="s">
        <v>1141</v>
      </c>
      <c r="E1472" s="45">
        <f t="shared" si="115"/>
        <v>39609</v>
      </c>
      <c r="F1472" s="148" t="str">
        <f t="shared" si="112"/>
        <v>2007-08</v>
      </c>
      <c r="G1472" s="1"/>
      <c r="H1472" s="163"/>
      <c r="I1472" s="37"/>
      <c r="J1472" s="138">
        <f t="shared" si="116"/>
        <v>0.77968490742404351</v>
      </c>
      <c r="K1472" s="114"/>
      <c r="L1472" s="37">
        <v>4.3001308119599999</v>
      </c>
      <c r="M1472" s="37" t="s">
        <v>142</v>
      </c>
      <c r="N1472" s="37">
        <v>1181.2618378536583</v>
      </c>
      <c r="O1472" s="132">
        <f t="shared" si="113"/>
        <v>5079.5804259470133</v>
      </c>
      <c r="P1472" s="134">
        <f t="shared" si="114"/>
        <v>3960.4721941574803</v>
      </c>
      <c r="Q1472" s="261">
        <v>1</v>
      </c>
      <c r="R1472" s="94"/>
    </row>
    <row r="1473" spans="1:18" x14ac:dyDescent="0.25">
      <c r="A1473" s="367">
        <v>39609</v>
      </c>
      <c r="B1473" s="367" t="s">
        <v>279</v>
      </c>
      <c r="C1473" s="279" t="s">
        <v>663</v>
      </c>
      <c r="D1473" s="159" t="s">
        <v>1141</v>
      </c>
      <c r="E1473" s="45">
        <f t="shared" si="115"/>
        <v>39609</v>
      </c>
      <c r="F1473" s="148" t="str">
        <f t="shared" si="112"/>
        <v>2007-08</v>
      </c>
      <c r="G1473" s="1"/>
      <c r="H1473" s="163"/>
      <c r="I1473" s="37"/>
      <c r="J1473" s="138">
        <f t="shared" si="116"/>
        <v>0.77968490742404351</v>
      </c>
      <c r="K1473" s="114"/>
      <c r="L1473" s="37">
        <v>55.264881433399999</v>
      </c>
      <c r="M1473" s="37" t="s">
        <v>142</v>
      </c>
      <c r="N1473" s="37">
        <v>1181.2618378536583</v>
      </c>
      <c r="O1473" s="132">
        <f t="shared" si="113"/>
        <v>65282.295410782601</v>
      </c>
      <c r="P1473" s="134">
        <f t="shared" si="114"/>
        <v>50899.620453785094</v>
      </c>
      <c r="Q1473" s="261">
        <v>1</v>
      </c>
      <c r="R1473" s="94"/>
    </row>
    <row r="1474" spans="1:18" x14ac:dyDescent="0.25">
      <c r="A1474" s="367">
        <v>39609</v>
      </c>
      <c r="B1474" s="367" t="s">
        <v>279</v>
      </c>
      <c r="C1474" s="279" t="s">
        <v>663</v>
      </c>
      <c r="D1474" s="159" t="s">
        <v>1141</v>
      </c>
      <c r="E1474" s="45">
        <f t="shared" si="115"/>
        <v>39609</v>
      </c>
      <c r="F1474" s="148" t="str">
        <f t="shared" si="112"/>
        <v>2007-08</v>
      </c>
      <c r="G1474" s="1"/>
      <c r="H1474" s="163"/>
      <c r="I1474" s="37"/>
      <c r="J1474" s="138">
        <f t="shared" si="116"/>
        <v>0.77968490742404351</v>
      </c>
      <c r="K1474" s="114"/>
      <c r="L1474" s="37">
        <v>217.07023551099999</v>
      </c>
      <c r="M1474" s="37" t="s">
        <v>142</v>
      </c>
      <c r="N1474" s="37">
        <v>1181.2618378536583</v>
      </c>
      <c r="O1474" s="132">
        <f t="shared" si="113"/>
        <v>256416.78534305029</v>
      </c>
      <c r="P1474" s="134">
        <f t="shared" si="114"/>
        <v>199924.29754216701</v>
      </c>
      <c r="Q1474" s="261">
        <v>1</v>
      </c>
      <c r="R1474" s="94"/>
    </row>
    <row r="1475" spans="1:18" x14ac:dyDescent="0.25">
      <c r="A1475" s="367">
        <v>39609</v>
      </c>
      <c r="B1475" s="367" t="s">
        <v>279</v>
      </c>
      <c r="C1475" s="279" t="s">
        <v>663</v>
      </c>
      <c r="D1475" s="159" t="s">
        <v>1141</v>
      </c>
      <c r="E1475" s="45">
        <f t="shared" si="115"/>
        <v>39609</v>
      </c>
      <c r="F1475" s="148" t="str">
        <f t="shared" si="112"/>
        <v>2007-08</v>
      </c>
      <c r="G1475" s="1"/>
      <c r="H1475" s="163"/>
      <c r="I1475" s="37"/>
      <c r="J1475" s="138">
        <f t="shared" si="116"/>
        <v>0.77968490742404351</v>
      </c>
      <c r="K1475" s="114"/>
      <c r="L1475" s="37">
        <v>18.299380454000001</v>
      </c>
      <c r="M1475" s="37" t="s">
        <v>142</v>
      </c>
      <c r="N1475" s="37">
        <v>1181.2618378536583</v>
      </c>
      <c r="O1475" s="132">
        <f t="shared" si="113"/>
        <v>21616.359786675355</v>
      </c>
      <c r="P1475" s="134">
        <f t="shared" si="114"/>
        <v>16853.94947911879</v>
      </c>
      <c r="Q1475" s="261">
        <v>1</v>
      </c>
      <c r="R1475" s="94"/>
    </row>
    <row r="1476" spans="1:18" x14ac:dyDescent="0.25">
      <c r="A1476" s="367">
        <v>39609</v>
      </c>
      <c r="B1476" s="367" t="s">
        <v>279</v>
      </c>
      <c r="C1476" s="279" t="s">
        <v>663</v>
      </c>
      <c r="D1476" s="159" t="s">
        <v>1141</v>
      </c>
      <c r="E1476" s="45">
        <f t="shared" si="115"/>
        <v>39609</v>
      </c>
      <c r="F1476" s="148" t="str">
        <f t="shared" si="112"/>
        <v>2007-08</v>
      </c>
      <c r="G1476" s="1"/>
      <c r="H1476" s="163"/>
      <c r="I1476" s="37"/>
      <c r="J1476" s="138">
        <f t="shared" si="116"/>
        <v>0.77968490742404351</v>
      </c>
      <c r="K1476" s="114"/>
      <c r="L1476" s="37">
        <v>3.9994382105500002</v>
      </c>
      <c r="M1476" s="37" t="s">
        <v>142</v>
      </c>
      <c r="N1476" s="37">
        <v>1385.4167692682922</v>
      </c>
      <c r="O1476" s="132">
        <f t="shared" si="113"/>
        <v>5540.888764548341</v>
      </c>
      <c r="P1476" s="134">
        <f t="shared" si="114"/>
        <v>4320.1473434337959</v>
      </c>
      <c r="Q1476" s="261">
        <v>1</v>
      </c>
      <c r="R1476" s="94"/>
    </row>
    <row r="1477" spans="1:18" x14ac:dyDescent="0.25">
      <c r="A1477" s="367">
        <v>39609</v>
      </c>
      <c r="B1477" s="367" t="s">
        <v>279</v>
      </c>
      <c r="C1477" s="279" t="s">
        <v>663</v>
      </c>
      <c r="D1477" s="159" t="s">
        <v>1141</v>
      </c>
      <c r="E1477" s="45">
        <f t="shared" si="115"/>
        <v>39609</v>
      </c>
      <c r="F1477" s="148" t="str">
        <f t="shared" si="112"/>
        <v>2007-08</v>
      </c>
      <c r="G1477" s="1"/>
      <c r="H1477" s="163"/>
      <c r="I1477" s="37"/>
      <c r="J1477" s="138">
        <f t="shared" si="116"/>
        <v>0.77968490742404351</v>
      </c>
      <c r="K1477" s="114"/>
      <c r="L1477" s="37">
        <v>13.299245129000001</v>
      </c>
      <c r="M1477" s="37" t="s">
        <v>142</v>
      </c>
      <c r="N1477" s="37">
        <v>1181.2618378536583</v>
      </c>
      <c r="O1477" s="132">
        <f t="shared" si="113"/>
        <v>15709.890743148855</v>
      </c>
      <c r="P1477" s="134">
        <f t="shared" si="114"/>
        <v>12248.764709713852</v>
      </c>
      <c r="Q1477" s="261">
        <v>1</v>
      </c>
      <c r="R1477" s="94"/>
    </row>
    <row r="1478" spans="1:18" x14ac:dyDescent="0.25">
      <c r="A1478" s="367">
        <v>39609</v>
      </c>
      <c r="B1478" s="367" t="s">
        <v>279</v>
      </c>
      <c r="C1478" s="279" t="s">
        <v>663</v>
      </c>
      <c r="D1478" s="159" t="s">
        <v>1141</v>
      </c>
      <c r="E1478" s="45">
        <f t="shared" si="115"/>
        <v>39609</v>
      </c>
      <c r="F1478" s="148" t="str">
        <f t="shared" si="112"/>
        <v>2007-08</v>
      </c>
      <c r="G1478" s="1"/>
      <c r="H1478" s="163"/>
      <c r="I1478" s="37"/>
      <c r="J1478" s="138">
        <f t="shared" si="116"/>
        <v>0.77968490742404351</v>
      </c>
      <c r="K1478" s="114"/>
      <c r="L1478" s="37">
        <v>63.417495417300003</v>
      </c>
      <c r="M1478" s="37" t="s">
        <v>142</v>
      </c>
      <c r="N1478" s="37">
        <v>1181.2618378536583</v>
      </c>
      <c r="O1478" s="132">
        <f t="shared" si="113"/>
        <v>74912.667188715757</v>
      </c>
      <c r="P1478" s="134">
        <f t="shared" si="114"/>
        <v>58408.27598192203</v>
      </c>
      <c r="Q1478" s="261">
        <v>1</v>
      </c>
      <c r="R1478" s="94"/>
    </row>
    <row r="1479" spans="1:18" x14ac:dyDescent="0.25">
      <c r="A1479" s="367">
        <v>39609</v>
      </c>
      <c r="B1479" s="367" t="s">
        <v>279</v>
      </c>
      <c r="C1479" s="279" t="s">
        <v>663</v>
      </c>
      <c r="D1479" s="159" t="s">
        <v>1141</v>
      </c>
      <c r="E1479" s="45">
        <f t="shared" si="115"/>
        <v>39609</v>
      </c>
      <c r="F1479" s="148" t="str">
        <f t="shared" si="112"/>
        <v>2007-08</v>
      </c>
      <c r="G1479" s="1"/>
      <c r="H1479" s="163"/>
      <c r="I1479" s="37"/>
      <c r="J1479" s="138">
        <f t="shared" si="116"/>
        <v>0.77968490742404351</v>
      </c>
      <c r="K1479" s="114"/>
      <c r="L1479" s="37">
        <v>4.8993964421199996</v>
      </c>
      <c r="M1479" s="37" t="s">
        <v>142</v>
      </c>
      <c r="N1479" s="37">
        <v>1181.2618378536583</v>
      </c>
      <c r="O1479" s="132">
        <f t="shared" si="113"/>
        <v>5787.4700455923457</v>
      </c>
      <c r="P1479" s="134">
        <f t="shared" si="114"/>
        <v>4512.4030467170933</v>
      </c>
      <c r="Q1479" s="261">
        <v>1</v>
      </c>
      <c r="R1479" s="94"/>
    </row>
    <row r="1480" spans="1:18" x14ac:dyDescent="0.25">
      <c r="A1480" s="367">
        <v>39609</v>
      </c>
      <c r="B1480" s="367" t="s">
        <v>279</v>
      </c>
      <c r="C1480" s="279" t="s">
        <v>663</v>
      </c>
      <c r="D1480" s="159" t="s">
        <v>1141</v>
      </c>
      <c r="E1480" s="45">
        <f t="shared" si="115"/>
        <v>39609</v>
      </c>
      <c r="F1480" s="148" t="str">
        <f t="shared" si="112"/>
        <v>2007-08</v>
      </c>
      <c r="G1480" s="1"/>
      <c r="H1480" s="163"/>
      <c r="I1480" s="37"/>
      <c r="J1480" s="138">
        <f t="shared" si="116"/>
        <v>0.77968490742404351</v>
      </c>
      <c r="K1480" s="114"/>
      <c r="L1480" s="37">
        <v>10.665494387100001</v>
      </c>
      <c r="M1480" s="37" t="s">
        <v>142</v>
      </c>
      <c r="N1480" s="37">
        <v>936.5640883902438</v>
      </c>
      <c r="O1480" s="132">
        <f t="shared" si="113"/>
        <v>9988.9190278855749</v>
      </c>
      <c r="P1480" s="134">
        <f t="shared" si="114"/>
        <v>7788.2094075232308</v>
      </c>
      <c r="Q1480" s="261">
        <v>1</v>
      </c>
      <c r="R1480" s="94"/>
    </row>
    <row r="1481" spans="1:18" x14ac:dyDescent="0.25">
      <c r="A1481" s="367">
        <v>40049</v>
      </c>
      <c r="B1481" s="367" t="s">
        <v>279</v>
      </c>
      <c r="C1481" s="279" t="s">
        <v>614</v>
      </c>
      <c r="D1481" s="159" t="s">
        <v>1144</v>
      </c>
      <c r="E1481" s="45">
        <f t="shared" si="115"/>
        <v>40049</v>
      </c>
      <c r="F1481" s="148" t="str">
        <f t="shared" si="112"/>
        <v>2009-10</v>
      </c>
      <c r="G1481" s="1"/>
      <c r="H1481" s="163"/>
      <c r="I1481" s="37"/>
      <c r="J1481" s="138">
        <f t="shared" si="116"/>
        <v>0.77968490742404351</v>
      </c>
      <c r="K1481" s="114"/>
      <c r="L1481" s="37">
        <v>2.0002386324199999</v>
      </c>
      <c r="M1481" s="37" t="s">
        <v>142</v>
      </c>
      <c r="N1481" s="37">
        <v>2679.5507189268287</v>
      </c>
      <c r="O1481" s="132">
        <f t="shared" si="113"/>
        <v>5359.740865526227</v>
      </c>
      <c r="P1481" s="134">
        <f t="shared" si="114"/>
        <v>4178.9090605546789</v>
      </c>
      <c r="Q1481" s="261">
        <v>1</v>
      </c>
      <c r="R1481" s="94"/>
    </row>
    <row r="1482" spans="1:18" x14ac:dyDescent="0.25">
      <c r="A1482" s="367">
        <v>40049</v>
      </c>
      <c r="B1482" s="367" t="s">
        <v>279</v>
      </c>
      <c r="C1482" s="279" t="s">
        <v>614</v>
      </c>
      <c r="D1482" s="159" t="s">
        <v>1144</v>
      </c>
      <c r="E1482" s="45">
        <f t="shared" si="115"/>
        <v>40049</v>
      </c>
      <c r="F1482" s="148" t="str">
        <f t="shared" si="112"/>
        <v>2009-10</v>
      </c>
      <c r="G1482" s="1"/>
      <c r="H1482" s="163"/>
      <c r="I1482" s="37"/>
      <c r="J1482" s="138">
        <f t="shared" si="116"/>
        <v>0.77968490742404351</v>
      </c>
      <c r="K1482" s="114"/>
      <c r="L1482" s="37">
        <v>1.0005023738100001</v>
      </c>
      <c r="M1482" s="37" t="s">
        <v>142</v>
      </c>
      <c r="N1482" s="37">
        <v>1422.8419512195119</v>
      </c>
      <c r="O1482" s="132">
        <f t="shared" si="113"/>
        <v>1423.556749751574</v>
      </c>
      <c r="P1482" s="134">
        <f t="shared" si="114"/>
        <v>1109.9257126429281</v>
      </c>
      <c r="Q1482" s="261">
        <v>1</v>
      </c>
      <c r="R1482" s="94"/>
    </row>
    <row r="1483" spans="1:18" x14ac:dyDescent="0.25">
      <c r="A1483" s="367">
        <v>40049</v>
      </c>
      <c r="B1483" s="367" t="s">
        <v>279</v>
      </c>
      <c r="C1483" s="279" t="s">
        <v>614</v>
      </c>
      <c r="D1483" s="159" t="s">
        <v>1144</v>
      </c>
      <c r="E1483" s="45">
        <f t="shared" si="115"/>
        <v>40049</v>
      </c>
      <c r="F1483" s="148" t="str">
        <f t="shared" si="112"/>
        <v>2009-10</v>
      </c>
      <c r="G1483" s="1"/>
      <c r="H1483" s="163"/>
      <c r="I1483" s="37"/>
      <c r="J1483" s="138">
        <f t="shared" si="116"/>
        <v>0.77968490742404351</v>
      </c>
      <c r="K1483" s="114"/>
      <c r="L1483" s="37">
        <v>7.1422295031800003</v>
      </c>
      <c r="M1483" s="37" t="s">
        <v>142</v>
      </c>
      <c r="N1483" s="37">
        <v>2679.5507189268287</v>
      </c>
      <c r="O1483" s="132">
        <f t="shared" si="113"/>
        <v>19137.966199986375</v>
      </c>
      <c r="P1483" s="134">
        <f t="shared" si="114"/>
        <v>14921.58340492085</v>
      </c>
      <c r="Q1483" s="261">
        <v>1</v>
      </c>
      <c r="R1483" s="94"/>
    </row>
    <row r="1484" spans="1:18" x14ac:dyDescent="0.25">
      <c r="A1484" s="367">
        <v>40049</v>
      </c>
      <c r="B1484" s="367" t="s">
        <v>279</v>
      </c>
      <c r="C1484" s="279" t="s">
        <v>614</v>
      </c>
      <c r="D1484" s="159" t="s">
        <v>1144</v>
      </c>
      <c r="E1484" s="45">
        <f t="shared" si="115"/>
        <v>40049</v>
      </c>
      <c r="F1484" s="148" t="str">
        <f t="shared" si="112"/>
        <v>2009-10</v>
      </c>
      <c r="G1484" s="1"/>
      <c r="H1484" s="163"/>
      <c r="I1484" s="37"/>
      <c r="J1484" s="138">
        <f t="shared" si="116"/>
        <v>0.77968490742404351</v>
      </c>
      <c r="K1484" s="114"/>
      <c r="L1484" s="37">
        <v>0.99973646527500004</v>
      </c>
      <c r="M1484" s="37" t="s">
        <v>142</v>
      </c>
      <c r="N1484" s="37">
        <v>1422.8419512195119</v>
      </c>
      <c r="O1484" s="132">
        <f t="shared" si="113"/>
        <v>1422.4669829571787</v>
      </c>
      <c r="P1484" s="134">
        <f t="shared" si="114"/>
        <v>1109.0760379207263</v>
      </c>
      <c r="Q1484" s="261">
        <v>1</v>
      </c>
      <c r="R1484" s="94"/>
    </row>
    <row r="1485" spans="1:18" x14ac:dyDescent="0.25">
      <c r="A1485" s="367">
        <v>40207</v>
      </c>
      <c r="B1485" s="367" t="s">
        <v>279</v>
      </c>
      <c r="C1485" s="279" t="s">
        <v>665</v>
      </c>
      <c r="D1485" s="159" t="s">
        <v>1143</v>
      </c>
      <c r="E1485" s="45">
        <f t="shared" si="115"/>
        <v>40207</v>
      </c>
      <c r="F1485" s="148" t="str">
        <f t="shared" si="112"/>
        <v>2009-10</v>
      </c>
      <c r="G1485" s="1"/>
      <c r="H1485" s="163"/>
      <c r="I1485" s="37"/>
      <c r="J1485" s="138">
        <f t="shared" si="116"/>
        <v>0.77968490742404351</v>
      </c>
      <c r="K1485" s="114"/>
      <c r="L1485" s="37">
        <v>485.19902509799999</v>
      </c>
      <c r="M1485" s="37" t="s">
        <v>142</v>
      </c>
      <c r="N1485" s="37">
        <v>1385.4167692682922</v>
      </c>
      <c r="O1485" s="132">
        <f t="shared" si="113"/>
        <v>672202.86580339621</v>
      </c>
      <c r="P1485" s="134">
        <f t="shared" si="114"/>
        <v>524106.4291940977</v>
      </c>
      <c r="Q1485" s="261">
        <v>1</v>
      </c>
      <c r="R1485" s="94"/>
    </row>
    <row r="1486" spans="1:18" x14ac:dyDescent="0.25">
      <c r="A1486" s="367">
        <v>40207</v>
      </c>
      <c r="B1486" s="367" t="s">
        <v>279</v>
      </c>
      <c r="C1486" s="279" t="s">
        <v>665</v>
      </c>
      <c r="D1486" s="159" t="s">
        <v>1143</v>
      </c>
      <c r="E1486" s="45">
        <f t="shared" si="115"/>
        <v>40207</v>
      </c>
      <c r="F1486" s="148" t="str">
        <f t="shared" si="112"/>
        <v>2009-10</v>
      </c>
      <c r="G1486" s="1"/>
      <c r="H1486" s="163"/>
      <c r="I1486" s="37"/>
      <c r="J1486" s="138">
        <f t="shared" si="116"/>
        <v>0.77968490742404351</v>
      </c>
      <c r="K1486" s="114"/>
      <c r="L1486" s="37">
        <v>1.9997806308799999</v>
      </c>
      <c r="M1486" s="37" t="s">
        <v>142</v>
      </c>
      <c r="N1486" s="37">
        <v>771.6404230243902</v>
      </c>
      <c r="O1486" s="132">
        <f t="shared" si="113"/>
        <v>1543.111571968225</v>
      </c>
      <c r="P1486" s="134">
        <f t="shared" si="114"/>
        <v>1203.1408031350159</v>
      </c>
      <c r="Q1486" s="261">
        <v>1</v>
      </c>
      <c r="R1486" s="94"/>
    </row>
    <row r="1487" spans="1:18" x14ac:dyDescent="0.25">
      <c r="A1487" s="367">
        <v>40207</v>
      </c>
      <c r="B1487" s="367" t="s">
        <v>279</v>
      </c>
      <c r="C1487" s="279" t="s">
        <v>665</v>
      </c>
      <c r="D1487" s="159" t="s">
        <v>1143</v>
      </c>
      <c r="E1487" s="45">
        <f t="shared" si="115"/>
        <v>40207</v>
      </c>
      <c r="F1487" s="148" t="str">
        <f t="shared" si="112"/>
        <v>2009-10</v>
      </c>
      <c r="G1487" s="1"/>
      <c r="H1487" s="163"/>
      <c r="I1487" s="37"/>
      <c r="J1487" s="138">
        <f t="shared" si="116"/>
        <v>0.77968490742404351</v>
      </c>
      <c r="K1487" s="114"/>
      <c r="L1487" s="37">
        <v>4.5000063399599997</v>
      </c>
      <c r="M1487" s="37" t="s">
        <v>142</v>
      </c>
      <c r="N1487" s="37">
        <v>771.6404230243902</v>
      </c>
      <c r="O1487" s="132">
        <f t="shared" si="113"/>
        <v>3472.3867957791722</v>
      </c>
      <c r="P1487" s="134">
        <f t="shared" si="114"/>
        <v>2707.367577407555</v>
      </c>
      <c r="Q1487" s="261">
        <v>1</v>
      </c>
      <c r="R1487" s="94"/>
    </row>
    <row r="1488" spans="1:18" x14ac:dyDescent="0.25">
      <c r="A1488" s="367">
        <v>40207</v>
      </c>
      <c r="B1488" s="367" t="s">
        <v>279</v>
      </c>
      <c r="C1488" s="279" t="s">
        <v>665</v>
      </c>
      <c r="D1488" s="159" t="s">
        <v>1143</v>
      </c>
      <c r="E1488" s="45">
        <f t="shared" si="115"/>
        <v>40207</v>
      </c>
      <c r="F1488" s="148" t="str">
        <f t="shared" si="112"/>
        <v>2009-10</v>
      </c>
      <c r="G1488" s="1"/>
      <c r="H1488" s="163"/>
      <c r="I1488" s="37"/>
      <c r="J1488" s="138">
        <f t="shared" si="116"/>
        <v>0.77968490742404351</v>
      </c>
      <c r="K1488" s="114"/>
      <c r="L1488" s="37">
        <v>3.9991701095100001</v>
      </c>
      <c r="M1488" s="37" t="s">
        <v>142</v>
      </c>
      <c r="N1488" s="37">
        <v>771.6404230243902</v>
      </c>
      <c r="O1488" s="132">
        <f t="shared" si="113"/>
        <v>3085.9213150487935</v>
      </c>
      <c r="P1488" s="134">
        <f t="shared" si="114"/>
        <v>2406.0462748417012</v>
      </c>
      <c r="Q1488" s="261">
        <v>1</v>
      </c>
      <c r="R1488" s="94"/>
    </row>
    <row r="1489" spans="1:18" x14ac:dyDescent="0.25">
      <c r="A1489" s="367">
        <v>40165</v>
      </c>
      <c r="B1489" s="367" t="s">
        <v>279</v>
      </c>
      <c r="C1489" s="279" t="s">
        <v>667</v>
      </c>
      <c r="D1489" s="159" t="s">
        <v>1145</v>
      </c>
      <c r="E1489" s="45">
        <f t="shared" si="115"/>
        <v>40165</v>
      </c>
      <c r="F1489" s="148" t="str">
        <f t="shared" si="112"/>
        <v>2009-10</v>
      </c>
      <c r="G1489" s="1"/>
      <c r="H1489" s="163"/>
      <c r="I1489" s="37"/>
      <c r="J1489" s="138">
        <f t="shared" si="116"/>
        <v>0.77968490742404351</v>
      </c>
      <c r="K1489" s="114"/>
      <c r="L1489" s="37">
        <v>295.57748117599999</v>
      </c>
      <c r="M1489" s="37" t="s">
        <v>142</v>
      </c>
      <c r="N1489" s="37">
        <v>936.5640883902438</v>
      </c>
      <c r="O1489" s="132">
        <f t="shared" si="113"/>
        <v>276827.25420628488</v>
      </c>
      <c r="P1489" s="134">
        <f t="shared" si="114"/>
        <v>215838.0320682794</v>
      </c>
      <c r="Q1489" s="261">
        <v>1</v>
      </c>
      <c r="R1489" s="94"/>
    </row>
    <row r="1490" spans="1:18" x14ac:dyDescent="0.25">
      <c r="A1490" s="367">
        <v>40165</v>
      </c>
      <c r="B1490" s="367" t="s">
        <v>279</v>
      </c>
      <c r="C1490" s="279" t="s">
        <v>667</v>
      </c>
      <c r="D1490" s="159" t="s">
        <v>1145</v>
      </c>
      <c r="E1490" s="45">
        <f t="shared" si="115"/>
        <v>40165</v>
      </c>
      <c r="F1490" s="148" t="str">
        <f t="shared" ref="F1490:F1553" si="117">IF(E1490="","-",IF(OR(E1490&lt;$E$15,E1490&gt;$E$16),"ERROR - date outside of range",IF(MONTH(E1490)&gt;=7,YEAR(E1490)&amp;"-"&amp;IF(YEAR(E1490)=1999,"00",IF(AND(YEAR(E1490)&gt;=2000,YEAR(E1490)&lt;2009),"0","")&amp;RIGHT(YEAR(E1490),2)+1),RIGHT(YEAR(E1490),4)-1&amp;"-"&amp;RIGHT(YEAR(E1490),2))))</f>
        <v>2009-10</v>
      </c>
      <c r="G1490" s="1"/>
      <c r="H1490" s="163"/>
      <c r="I1490" s="37"/>
      <c r="J1490" s="138">
        <f t="shared" si="116"/>
        <v>0.77968490742404351</v>
      </c>
      <c r="K1490" s="114"/>
      <c r="L1490" s="37">
        <v>37.238539660299999</v>
      </c>
      <c r="M1490" s="37" t="s">
        <v>142</v>
      </c>
      <c r="N1490" s="37">
        <v>936.5640883902438</v>
      </c>
      <c r="O1490" s="132">
        <f t="shared" ref="O1490:O1553" si="118">IF(N1490="","-",L1490*N1490)</f>
        <v>34876.278949932806</v>
      </c>
      <c r="P1490" s="134">
        <f t="shared" ref="P1490:P1553" si="119">IF(O1490="-","-",IF(OR(E1490&lt;$E$15,E1490&gt;$E$16),0,O1490*J1490))*Q1490</f>
        <v>27192.508324373477</v>
      </c>
      <c r="Q1490" s="261">
        <v>1</v>
      </c>
      <c r="R1490" s="94"/>
    </row>
    <row r="1491" spans="1:18" x14ac:dyDescent="0.25">
      <c r="A1491" s="367">
        <v>40165</v>
      </c>
      <c r="B1491" s="367" t="s">
        <v>279</v>
      </c>
      <c r="C1491" s="279" t="s">
        <v>667</v>
      </c>
      <c r="D1491" s="159" t="s">
        <v>1145</v>
      </c>
      <c r="E1491" s="45">
        <f t="shared" si="115"/>
        <v>40165</v>
      </c>
      <c r="F1491" s="148" t="str">
        <f t="shared" si="117"/>
        <v>2009-10</v>
      </c>
      <c r="G1491" s="1"/>
      <c r="H1491" s="163"/>
      <c r="I1491" s="37"/>
      <c r="J1491" s="138">
        <f t="shared" si="116"/>
        <v>0.77968490742404351</v>
      </c>
      <c r="K1491" s="114"/>
      <c r="L1491" s="37">
        <v>322.28727182599999</v>
      </c>
      <c r="M1491" s="37" t="s">
        <v>142</v>
      </c>
      <c r="N1491" s="37">
        <v>936.5640883902438</v>
      </c>
      <c r="O1491" s="132">
        <f t="shared" si="118"/>
        <v>301842.68493749638</v>
      </c>
      <c r="P1491" s="134">
        <f t="shared" si="119"/>
        <v>235342.1858621166</v>
      </c>
      <c r="Q1491" s="261">
        <v>1</v>
      </c>
      <c r="R1491" s="94"/>
    </row>
    <row r="1492" spans="1:18" x14ac:dyDescent="0.25">
      <c r="A1492" s="367">
        <v>40165</v>
      </c>
      <c r="B1492" s="367" t="s">
        <v>279</v>
      </c>
      <c r="C1492" s="279" t="s">
        <v>667</v>
      </c>
      <c r="D1492" s="159" t="s">
        <v>1145</v>
      </c>
      <c r="E1492" s="45">
        <f t="shared" si="115"/>
        <v>40165</v>
      </c>
      <c r="F1492" s="148" t="str">
        <f t="shared" si="117"/>
        <v>2009-10</v>
      </c>
      <c r="G1492" s="1"/>
      <c r="H1492" s="163"/>
      <c r="I1492" s="37"/>
      <c r="J1492" s="138">
        <f t="shared" si="116"/>
        <v>0.77968490742404351</v>
      </c>
      <c r="K1492" s="114"/>
      <c r="L1492" s="37">
        <v>16.480170879500001</v>
      </c>
      <c r="M1492" s="37" t="s">
        <v>142</v>
      </c>
      <c r="N1492" s="37">
        <v>936.5640883902438</v>
      </c>
      <c r="O1492" s="132">
        <f t="shared" si="118"/>
        <v>15434.736216274361</v>
      </c>
      <c r="P1492" s="134">
        <f t="shared" si="119"/>
        <v>12034.230877900407</v>
      </c>
      <c r="Q1492" s="261">
        <v>1</v>
      </c>
      <c r="R1492" s="94"/>
    </row>
    <row r="1493" spans="1:18" x14ac:dyDescent="0.25">
      <c r="A1493" s="367">
        <v>42704</v>
      </c>
      <c r="B1493" s="367" t="s">
        <v>279</v>
      </c>
      <c r="C1493" s="279" t="s">
        <v>668</v>
      </c>
      <c r="D1493" s="159" t="s">
        <v>1146</v>
      </c>
      <c r="E1493" s="45">
        <f t="shared" si="115"/>
        <v>42704</v>
      </c>
      <c r="F1493" s="148" t="str">
        <f t="shared" si="117"/>
        <v>2016-17</v>
      </c>
      <c r="G1493" s="1"/>
      <c r="H1493" s="163"/>
      <c r="I1493" s="37"/>
      <c r="J1493" s="138">
        <f t="shared" si="116"/>
        <v>0.77968490742404351</v>
      </c>
      <c r="K1493" s="114"/>
      <c r="L1493" s="37">
        <v>2.2000454540800001</v>
      </c>
      <c r="M1493" s="37" t="s">
        <v>142</v>
      </c>
      <c r="N1493" s="37">
        <v>771.6404230243902</v>
      </c>
      <c r="O1493" s="132">
        <f t="shared" si="118"/>
        <v>1697.6440048591778</v>
      </c>
      <c r="P1493" s="134">
        <f t="shared" si="119"/>
        <v>1323.6274087676104</v>
      </c>
      <c r="Q1493" s="261">
        <v>1</v>
      </c>
      <c r="R1493" s="94"/>
    </row>
    <row r="1494" spans="1:18" x14ac:dyDescent="0.25">
      <c r="A1494" s="367">
        <v>43530</v>
      </c>
      <c r="B1494" s="367" t="s">
        <v>279</v>
      </c>
      <c r="C1494" s="279" t="s">
        <v>669</v>
      </c>
      <c r="D1494" s="159" t="s">
        <v>1147</v>
      </c>
      <c r="E1494" s="45">
        <f t="shared" si="115"/>
        <v>43530</v>
      </c>
      <c r="F1494" s="148" t="str">
        <f t="shared" si="117"/>
        <v>2018-19</v>
      </c>
      <c r="G1494" s="1"/>
      <c r="H1494" s="163"/>
      <c r="I1494" s="37"/>
      <c r="J1494" s="138">
        <f t="shared" si="116"/>
        <v>0.77968490742404351</v>
      </c>
      <c r="K1494" s="114"/>
      <c r="L1494" s="37">
        <v>54.237645056300003</v>
      </c>
      <c r="M1494" s="37" t="s">
        <v>142</v>
      </c>
      <c r="N1494" s="37">
        <v>696.6467060487804</v>
      </c>
      <c r="O1494" s="132">
        <f t="shared" si="118"/>
        <v>37784.476772314316</v>
      </c>
      <c r="P1494" s="134">
        <f t="shared" si="119"/>
        <v>29459.98627428781</v>
      </c>
      <c r="Q1494" s="261">
        <v>1</v>
      </c>
      <c r="R1494" s="94"/>
    </row>
    <row r="1495" spans="1:18" x14ac:dyDescent="0.25">
      <c r="A1495" s="367">
        <v>43530</v>
      </c>
      <c r="B1495" s="367" t="s">
        <v>279</v>
      </c>
      <c r="C1495" s="279" t="s">
        <v>669</v>
      </c>
      <c r="D1495" s="159" t="s">
        <v>1147</v>
      </c>
      <c r="E1495" s="45">
        <f t="shared" ref="E1495:E1558" si="120">IF(A1495&lt;2022,DATEVALUE("30 Jun "&amp;A1495),A1495)</f>
        <v>43530</v>
      </c>
      <c r="F1495" s="148" t="str">
        <f t="shared" si="117"/>
        <v>2018-19</v>
      </c>
      <c r="G1495" s="1"/>
      <c r="H1495" s="163"/>
      <c r="I1495" s="37"/>
      <c r="J1495" s="138">
        <f t="shared" si="116"/>
        <v>0.77968490742404351</v>
      </c>
      <c r="K1495" s="114"/>
      <c r="L1495" s="37">
        <v>39.417026902000003</v>
      </c>
      <c r="M1495" s="37" t="s">
        <v>142</v>
      </c>
      <c r="N1495" s="37">
        <v>696.6467060487804</v>
      </c>
      <c r="O1495" s="132">
        <f t="shared" si="118"/>
        <v>27459.741953514465</v>
      </c>
      <c r="P1495" s="134">
        <f t="shared" si="119"/>
        <v>21409.946362914048</v>
      </c>
      <c r="Q1495" s="261">
        <v>1</v>
      </c>
      <c r="R1495" s="94"/>
    </row>
    <row r="1496" spans="1:18" x14ac:dyDescent="0.25">
      <c r="A1496" s="367">
        <v>43530</v>
      </c>
      <c r="B1496" s="367" t="s">
        <v>279</v>
      </c>
      <c r="C1496" s="279" t="s">
        <v>669</v>
      </c>
      <c r="D1496" s="159" t="s">
        <v>1147</v>
      </c>
      <c r="E1496" s="45">
        <f t="shared" si="120"/>
        <v>43530</v>
      </c>
      <c r="F1496" s="148" t="str">
        <f t="shared" si="117"/>
        <v>2018-19</v>
      </c>
      <c r="G1496" s="1"/>
      <c r="H1496" s="163"/>
      <c r="I1496" s="37"/>
      <c r="J1496" s="138">
        <f t="shared" ref="J1496:J1559" si="121">J1495</f>
        <v>0.77968490742404351</v>
      </c>
      <c r="K1496" s="114"/>
      <c r="L1496" s="37">
        <v>1.4777323844300001</v>
      </c>
      <c r="M1496" s="37" t="s">
        <v>142</v>
      </c>
      <c r="N1496" s="37">
        <v>696.6467060487804</v>
      </c>
      <c r="O1496" s="132">
        <f t="shared" si="118"/>
        <v>1029.4573980347695</v>
      </c>
      <c r="P1496" s="134">
        <f t="shared" si="119"/>
        <v>802.65239608373599</v>
      </c>
      <c r="Q1496" s="261">
        <v>1</v>
      </c>
      <c r="R1496" s="94"/>
    </row>
    <row r="1497" spans="1:18" x14ac:dyDescent="0.25">
      <c r="A1497" s="367">
        <v>43530</v>
      </c>
      <c r="B1497" s="367" t="s">
        <v>279</v>
      </c>
      <c r="C1497" s="279" t="s">
        <v>669</v>
      </c>
      <c r="D1497" s="159" t="s">
        <v>1147</v>
      </c>
      <c r="E1497" s="45">
        <f t="shared" si="120"/>
        <v>43530</v>
      </c>
      <c r="F1497" s="148" t="str">
        <f t="shared" si="117"/>
        <v>2018-19</v>
      </c>
      <c r="G1497" s="1"/>
      <c r="H1497" s="163"/>
      <c r="I1497" s="37"/>
      <c r="J1497" s="138">
        <f t="shared" si="121"/>
        <v>0.77968490742404351</v>
      </c>
      <c r="K1497" s="114"/>
      <c r="L1497" s="37">
        <v>4.1049180215799996</v>
      </c>
      <c r="M1497" s="37" t="s">
        <v>142</v>
      </c>
      <c r="N1497" s="37">
        <v>696.6467060487804</v>
      </c>
      <c r="O1497" s="132">
        <f t="shared" si="118"/>
        <v>2859.677618333983</v>
      </c>
      <c r="P1497" s="134">
        <f t="shared" si="119"/>
        <v>2229.6474791133405</v>
      </c>
      <c r="Q1497" s="261">
        <v>1</v>
      </c>
      <c r="R1497" s="94"/>
    </row>
    <row r="1498" spans="1:18" x14ac:dyDescent="0.25">
      <c r="A1498" s="367">
        <v>43530</v>
      </c>
      <c r="B1498" s="367" t="s">
        <v>279</v>
      </c>
      <c r="C1498" s="279" t="s">
        <v>669</v>
      </c>
      <c r="D1498" s="159" t="s">
        <v>1147</v>
      </c>
      <c r="E1498" s="45">
        <f t="shared" si="120"/>
        <v>43530</v>
      </c>
      <c r="F1498" s="148" t="str">
        <f t="shared" si="117"/>
        <v>2018-19</v>
      </c>
      <c r="G1498" s="1"/>
      <c r="H1498" s="163"/>
      <c r="I1498" s="37"/>
      <c r="J1498" s="138">
        <f t="shared" si="121"/>
        <v>0.77968490742404351</v>
      </c>
      <c r="K1498" s="114"/>
      <c r="L1498" s="37">
        <v>1.0833526664899999</v>
      </c>
      <c r="M1498" s="37" t="s">
        <v>142</v>
      </c>
      <c r="N1498" s="37">
        <v>696.6467060487804</v>
      </c>
      <c r="O1498" s="132">
        <f t="shared" si="118"/>
        <v>754.71406659942147</v>
      </c>
      <c r="P1498" s="134">
        <f t="shared" si="119"/>
        <v>588.43916714819329</v>
      </c>
      <c r="Q1498" s="261">
        <v>1</v>
      </c>
      <c r="R1498" s="94"/>
    </row>
    <row r="1499" spans="1:18" x14ac:dyDescent="0.25">
      <c r="A1499" s="367">
        <v>43530</v>
      </c>
      <c r="B1499" s="367" t="s">
        <v>279</v>
      </c>
      <c r="C1499" s="279" t="s">
        <v>669</v>
      </c>
      <c r="D1499" s="159" t="s">
        <v>1147</v>
      </c>
      <c r="E1499" s="45">
        <f t="shared" si="120"/>
        <v>43530</v>
      </c>
      <c r="F1499" s="148" t="str">
        <f t="shared" si="117"/>
        <v>2018-19</v>
      </c>
      <c r="G1499" s="1"/>
      <c r="H1499" s="163"/>
      <c r="I1499" s="37"/>
      <c r="J1499" s="138">
        <f t="shared" si="121"/>
        <v>0.77968490742404351</v>
      </c>
      <c r="K1499" s="114"/>
      <c r="L1499" s="37">
        <v>39.293370371999998</v>
      </c>
      <c r="M1499" s="37" t="s">
        <v>142</v>
      </c>
      <c r="N1499" s="37">
        <v>696.6467060487804</v>
      </c>
      <c r="O1499" s="132">
        <f t="shared" si="118"/>
        <v>27373.59703920854</v>
      </c>
      <c r="P1499" s="134">
        <f t="shared" si="119"/>
        <v>21342.780473378381</v>
      </c>
      <c r="Q1499" s="261">
        <v>1</v>
      </c>
      <c r="R1499" s="94"/>
    </row>
    <row r="1500" spans="1:18" x14ac:dyDescent="0.25">
      <c r="A1500" s="367">
        <v>43530</v>
      </c>
      <c r="B1500" s="367" t="s">
        <v>279</v>
      </c>
      <c r="C1500" s="279" t="s">
        <v>669</v>
      </c>
      <c r="D1500" s="159" t="s">
        <v>1147</v>
      </c>
      <c r="E1500" s="45">
        <f t="shared" si="120"/>
        <v>43530</v>
      </c>
      <c r="F1500" s="148" t="str">
        <f t="shared" si="117"/>
        <v>2018-19</v>
      </c>
      <c r="G1500" s="1"/>
      <c r="H1500" s="163"/>
      <c r="I1500" s="37"/>
      <c r="J1500" s="138">
        <f t="shared" si="121"/>
        <v>0.77968490742404351</v>
      </c>
      <c r="K1500" s="114"/>
      <c r="L1500" s="37">
        <v>1.61089912782</v>
      </c>
      <c r="M1500" s="37" t="s">
        <v>142</v>
      </c>
      <c r="N1500" s="37">
        <v>696.6467060487804</v>
      </c>
      <c r="O1500" s="132">
        <f t="shared" si="118"/>
        <v>1122.2275711726563</v>
      </c>
      <c r="P1500" s="134">
        <f t="shared" si="119"/>
        <v>874.98389993846172</v>
      </c>
      <c r="Q1500" s="261">
        <v>1</v>
      </c>
      <c r="R1500" s="94"/>
    </row>
    <row r="1501" spans="1:18" x14ac:dyDescent="0.25">
      <c r="A1501" s="367">
        <v>40431</v>
      </c>
      <c r="B1501" s="367" t="s">
        <v>279</v>
      </c>
      <c r="C1501" s="279" t="s">
        <v>670</v>
      </c>
      <c r="D1501" s="159" t="s">
        <v>1148</v>
      </c>
      <c r="E1501" s="45">
        <f t="shared" si="120"/>
        <v>40431</v>
      </c>
      <c r="F1501" s="148" t="str">
        <f t="shared" si="117"/>
        <v>2010-11</v>
      </c>
      <c r="G1501" s="1"/>
      <c r="H1501" s="163"/>
      <c r="I1501" s="37"/>
      <c r="J1501" s="138">
        <f t="shared" si="121"/>
        <v>0.77968490742404351</v>
      </c>
      <c r="K1501" s="114"/>
      <c r="L1501" s="37">
        <v>274.74912609199998</v>
      </c>
      <c r="M1501" s="37" t="s">
        <v>142</v>
      </c>
      <c r="N1501" s="37">
        <v>771.6404230243902</v>
      </c>
      <c r="O1501" s="132">
        <f t="shared" si="118"/>
        <v>212007.53188321239</v>
      </c>
      <c r="P1501" s="134">
        <f t="shared" si="119"/>
        <v>165299.0728695624</v>
      </c>
      <c r="Q1501" s="261">
        <v>1</v>
      </c>
      <c r="R1501" s="94"/>
    </row>
    <row r="1502" spans="1:18" x14ac:dyDescent="0.25">
      <c r="A1502" s="367">
        <v>40098</v>
      </c>
      <c r="B1502" s="367" t="s">
        <v>279</v>
      </c>
      <c r="C1502" s="279" t="s">
        <v>671</v>
      </c>
      <c r="D1502" s="159" t="s">
        <v>1148</v>
      </c>
      <c r="E1502" s="45">
        <f t="shared" si="120"/>
        <v>40098</v>
      </c>
      <c r="F1502" s="148" t="str">
        <f t="shared" si="117"/>
        <v>2009-10</v>
      </c>
      <c r="G1502" s="1"/>
      <c r="H1502" s="163"/>
      <c r="I1502" s="37"/>
      <c r="J1502" s="138">
        <f t="shared" si="121"/>
        <v>0.77968490742404351</v>
      </c>
      <c r="K1502" s="114"/>
      <c r="L1502" s="37">
        <v>2.9990058286900001</v>
      </c>
      <c r="M1502" s="37" t="s">
        <v>142</v>
      </c>
      <c r="N1502" s="37">
        <v>621.96682926829249</v>
      </c>
      <c r="O1502" s="132">
        <f t="shared" si="118"/>
        <v>1865.2821462274474</v>
      </c>
      <c r="P1502" s="134">
        <f t="shared" si="119"/>
        <v>1454.3323375010684</v>
      </c>
      <c r="Q1502" s="261">
        <v>1</v>
      </c>
      <c r="R1502" s="94"/>
    </row>
    <row r="1503" spans="1:18" x14ac:dyDescent="0.25">
      <c r="A1503" s="367">
        <v>40431</v>
      </c>
      <c r="B1503" s="367" t="s">
        <v>279</v>
      </c>
      <c r="C1503" s="279" t="s">
        <v>670</v>
      </c>
      <c r="D1503" s="159" t="s">
        <v>1148</v>
      </c>
      <c r="E1503" s="45">
        <f t="shared" si="120"/>
        <v>40431</v>
      </c>
      <c r="F1503" s="148" t="str">
        <f t="shared" si="117"/>
        <v>2010-11</v>
      </c>
      <c r="G1503" s="1"/>
      <c r="H1503" s="163"/>
      <c r="I1503" s="37"/>
      <c r="J1503" s="138">
        <f t="shared" si="121"/>
        <v>0.77968490742404351</v>
      </c>
      <c r="K1503" s="114"/>
      <c r="L1503" s="37">
        <v>277.641494255</v>
      </c>
      <c r="M1503" s="37" t="s">
        <v>142</v>
      </c>
      <c r="N1503" s="37">
        <v>771.6404230243902</v>
      </c>
      <c r="O1503" s="132">
        <f t="shared" si="118"/>
        <v>214239.400076052</v>
      </c>
      <c r="P1503" s="134">
        <f t="shared" si="119"/>
        <v>167039.22681487922</v>
      </c>
      <c r="Q1503" s="261">
        <v>1</v>
      </c>
      <c r="R1503" s="94"/>
    </row>
    <row r="1504" spans="1:18" x14ac:dyDescent="0.25">
      <c r="A1504" s="367">
        <v>40431</v>
      </c>
      <c r="B1504" s="367" t="s">
        <v>279</v>
      </c>
      <c r="C1504" s="279" t="s">
        <v>670</v>
      </c>
      <c r="D1504" s="159" t="s">
        <v>1148</v>
      </c>
      <c r="E1504" s="45">
        <f t="shared" si="120"/>
        <v>40431</v>
      </c>
      <c r="F1504" s="148" t="str">
        <f t="shared" si="117"/>
        <v>2010-11</v>
      </c>
      <c r="G1504" s="1"/>
      <c r="H1504" s="163"/>
      <c r="I1504" s="37"/>
      <c r="J1504" s="138">
        <f t="shared" si="121"/>
        <v>0.77968490742404351</v>
      </c>
      <c r="K1504" s="114"/>
      <c r="L1504" s="37">
        <v>7.3935887182200002</v>
      </c>
      <c r="M1504" s="37" t="s">
        <v>142</v>
      </c>
      <c r="N1504" s="37">
        <v>771.6404230243902</v>
      </c>
      <c r="O1504" s="132">
        <f t="shared" si="118"/>
        <v>5705.19192619564</v>
      </c>
      <c r="P1504" s="134">
        <f t="shared" si="119"/>
        <v>4448.2520388122484</v>
      </c>
      <c r="Q1504" s="261">
        <v>1</v>
      </c>
      <c r="R1504" s="94"/>
    </row>
    <row r="1505" spans="1:18" x14ac:dyDescent="0.25">
      <c r="A1505" s="367">
        <v>40431</v>
      </c>
      <c r="B1505" s="367" t="s">
        <v>279</v>
      </c>
      <c r="C1505" s="279" t="s">
        <v>670</v>
      </c>
      <c r="D1505" s="159" t="s">
        <v>1148</v>
      </c>
      <c r="E1505" s="45">
        <f t="shared" si="120"/>
        <v>40431</v>
      </c>
      <c r="F1505" s="148" t="str">
        <f t="shared" si="117"/>
        <v>2010-11</v>
      </c>
      <c r="G1505" s="1"/>
      <c r="H1505" s="163"/>
      <c r="I1505" s="37"/>
      <c r="J1505" s="138">
        <f t="shared" si="121"/>
        <v>0.77968490742404351</v>
      </c>
      <c r="K1505" s="114"/>
      <c r="L1505" s="37">
        <v>22.349375091399999</v>
      </c>
      <c r="M1505" s="37" t="s">
        <v>142</v>
      </c>
      <c r="N1505" s="37">
        <v>771.6404230243902</v>
      </c>
      <c r="O1505" s="132">
        <f t="shared" si="118"/>
        <v>17245.681249858666</v>
      </c>
      <c r="P1505" s="134">
        <f t="shared" si="119"/>
        <v>13446.197388760616</v>
      </c>
      <c r="Q1505" s="261">
        <v>1</v>
      </c>
      <c r="R1505" s="94"/>
    </row>
    <row r="1506" spans="1:18" x14ac:dyDescent="0.25">
      <c r="A1506" s="367">
        <v>40431</v>
      </c>
      <c r="B1506" s="367" t="s">
        <v>279</v>
      </c>
      <c r="C1506" s="279" t="s">
        <v>670</v>
      </c>
      <c r="D1506" s="159" t="s">
        <v>1149</v>
      </c>
      <c r="E1506" s="45">
        <f t="shared" si="120"/>
        <v>40431</v>
      </c>
      <c r="F1506" s="148" t="str">
        <f t="shared" si="117"/>
        <v>2010-11</v>
      </c>
      <c r="G1506" s="1"/>
      <c r="H1506" s="163"/>
      <c r="I1506" s="37"/>
      <c r="J1506" s="138">
        <f t="shared" si="121"/>
        <v>0.77968490742404351</v>
      </c>
      <c r="K1506" s="114"/>
      <c r="L1506" s="37">
        <v>167.61075816600001</v>
      </c>
      <c r="M1506" s="37" t="s">
        <v>142</v>
      </c>
      <c r="N1506" s="37">
        <v>771.6404230243902</v>
      </c>
      <c r="O1506" s="132">
        <f t="shared" si="118"/>
        <v>129335.23633465101</v>
      </c>
      <c r="P1506" s="134">
        <f t="shared" si="119"/>
        <v>100840.73176824916</v>
      </c>
      <c r="Q1506" s="261">
        <v>1</v>
      </c>
      <c r="R1506" s="94"/>
    </row>
    <row r="1507" spans="1:18" x14ac:dyDescent="0.25">
      <c r="A1507" s="367">
        <v>40431</v>
      </c>
      <c r="B1507" s="367" t="s">
        <v>279</v>
      </c>
      <c r="C1507" s="279" t="s">
        <v>670</v>
      </c>
      <c r="D1507" s="159" t="s">
        <v>1149</v>
      </c>
      <c r="E1507" s="45">
        <f t="shared" si="120"/>
        <v>40431</v>
      </c>
      <c r="F1507" s="148" t="str">
        <f t="shared" si="117"/>
        <v>2010-11</v>
      </c>
      <c r="G1507" s="1"/>
      <c r="H1507" s="163"/>
      <c r="I1507" s="37"/>
      <c r="J1507" s="138">
        <f t="shared" si="121"/>
        <v>0.77968490742404351</v>
      </c>
      <c r="K1507" s="114"/>
      <c r="L1507" s="37">
        <v>28.774054784099999</v>
      </c>
      <c r="M1507" s="37" t="s">
        <v>142</v>
      </c>
      <c r="N1507" s="37">
        <v>771.6404230243902</v>
      </c>
      <c r="O1507" s="132">
        <f t="shared" si="118"/>
        <v>22203.2238057299</v>
      </c>
      <c r="P1507" s="134">
        <f t="shared" si="119"/>
        <v>17311.518497485835</v>
      </c>
      <c r="Q1507" s="261">
        <v>1</v>
      </c>
      <c r="R1507" s="94"/>
    </row>
    <row r="1508" spans="1:18" x14ac:dyDescent="0.25">
      <c r="A1508" s="367">
        <v>40431</v>
      </c>
      <c r="B1508" s="367" t="s">
        <v>279</v>
      </c>
      <c r="C1508" s="279" t="s">
        <v>670</v>
      </c>
      <c r="D1508" s="159" t="s">
        <v>1148</v>
      </c>
      <c r="E1508" s="45">
        <f t="shared" si="120"/>
        <v>40431</v>
      </c>
      <c r="F1508" s="148" t="str">
        <f t="shared" si="117"/>
        <v>2010-11</v>
      </c>
      <c r="G1508" s="1"/>
      <c r="H1508" s="163"/>
      <c r="I1508" s="37"/>
      <c r="J1508" s="138">
        <f t="shared" si="121"/>
        <v>0.77968490742404351</v>
      </c>
      <c r="K1508" s="114"/>
      <c r="L1508" s="37">
        <v>35.244465355999999</v>
      </c>
      <c r="M1508" s="37" t="s">
        <v>142</v>
      </c>
      <c r="N1508" s="37">
        <v>771.6404230243902</v>
      </c>
      <c r="O1508" s="132">
        <f t="shared" si="118"/>
        <v>27196.054156572303</v>
      </c>
      <c r="P1508" s="134">
        <f t="shared" si="119"/>
        <v>21204.352967366351</v>
      </c>
      <c r="Q1508" s="261">
        <v>1</v>
      </c>
      <c r="R1508" s="94"/>
    </row>
    <row r="1509" spans="1:18" x14ac:dyDescent="0.25">
      <c r="A1509" s="367">
        <v>40431</v>
      </c>
      <c r="B1509" s="367" t="s">
        <v>279</v>
      </c>
      <c r="C1509" s="279" t="s">
        <v>670</v>
      </c>
      <c r="D1509" s="159" t="s">
        <v>1148</v>
      </c>
      <c r="E1509" s="45">
        <f t="shared" si="120"/>
        <v>40431</v>
      </c>
      <c r="F1509" s="148" t="str">
        <f t="shared" si="117"/>
        <v>2010-11</v>
      </c>
      <c r="G1509" s="1"/>
      <c r="H1509" s="163"/>
      <c r="I1509" s="37"/>
      <c r="J1509" s="138">
        <f t="shared" si="121"/>
        <v>0.77968490742404351</v>
      </c>
      <c r="K1509" s="114"/>
      <c r="L1509" s="37">
        <v>13.072640740700001</v>
      </c>
      <c r="M1509" s="37" t="s">
        <v>142</v>
      </c>
      <c r="N1509" s="37">
        <v>1128.7084557073169</v>
      </c>
      <c r="O1509" s="132">
        <f t="shared" si="118"/>
        <v>14755.200142452053</v>
      </c>
      <c r="P1509" s="134">
        <f t="shared" si="119"/>
        <v>11504.406857090962</v>
      </c>
      <c r="Q1509" s="261">
        <v>1</v>
      </c>
      <c r="R1509" s="94"/>
    </row>
    <row r="1510" spans="1:18" x14ac:dyDescent="0.25">
      <c r="A1510" s="367">
        <v>40431</v>
      </c>
      <c r="B1510" s="367" t="s">
        <v>279</v>
      </c>
      <c r="C1510" s="279" t="s">
        <v>670</v>
      </c>
      <c r="D1510" s="159" t="s">
        <v>1148</v>
      </c>
      <c r="E1510" s="45">
        <f t="shared" si="120"/>
        <v>40431</v>
      </c>
      <c r="F1510" s="148" t="str">
        <f t="shared" si="117"/>
        <v>2010-11</v>
      </c>
      <c r="G1510" s="1"/>
      <c r="H1510" s="163"/>
      <c r="I1510" s="37"/>
      <c r="J1510" s="138">
        <f t="shared" si="121"/>
        <v>0.77968490742404351</v>
      </c>
      <c r="K1510" s="114"/>
      <c r="L1510" s="37">
        <v>3.99943420999</v>
      </c>
      <c r="M1510" s="37" t="s">
        <v>142</v>
      </c>
      <c r="N1510" s="37">
        <v>1128.7084557073169</v>
      </c>
      <c r="O1510" s="132">
        <f t="shared" si="118"/>
        <v>4514.1952108608257</v>
      </c>
      <c r="P1510" s="134">
        <f t="shared" si="119"/>
        <v>3519.6498750740834</v>
      </c>
      <c r="Q1510" s="261">
        <v>1</v>
      </c>
      <c r="R1510" s="94"/>
    </row>
    <row r="1511" spans="1:18" x14ac:dyDescent="0.25">
      <c r="A1511" s="367">
        <v>40431</v>
      </c>
      <c r="B1511" s="367" t="s">
        <v>279</v>
      </c>
      <c r="C1511" s="279" t="s">
        <v>670</v>
      </c>
      <c r="D1511" s="159" t="s">
        <v>1148</v>
      </c>
      <c r="E1511" s="45">
        <f t="shared" si="120"/>
        <v>40431</v>
      </c>
      <c r="F1511" s="148" t="str">
        <f t="shared" si="117"/>
        <v>2010-11</v>
      </c>
      <c r="G1511" s="1"/>
      <c r="H1511" s="163"/>
      <c r="I1511" s="37"/>
      <c r="J1511" s="138">
        <f t="shared" si="121"/>
        <v>0.77968490742404351</v>
      </c>
      <c r="K1511" s="114"/>
      <c r="L1511" s="37">
        <v>2.4999249988700001</v>
      </c>
      <c r="M1511" s="37" t="s">
        <v>142</v>
      </c>
      <c r="N1511" s="37">
        <v>1128.7084557073169</v>
      </c>
      <c r="O1511" s="132">
        <f t="shared" si="118"/>
        <v>2821.6864848586738</v>
      </c>
      <c r="P1511" s="134">
        <f t="shared" si="119"/>
        <v>2200.0263657267096</v>
      </c>
      <c r="Q1511" s="261">
        <v>1</v>
      </c>
      <c r="R1511" s="94"/>
    </row>
    <row r="1512" spans="1:18" x14ac:dyDescent="0.25">
      <c r="A1512" s="367">
        <v>40431</v>
      </c>
      <c r="B1512" s="367" t="s">
        <v>279</v>
      </c>
      <c r="C1512" s="279" t="s">
        <v>670</v>
      </c>
      <c r="D1512" s="159" t="s">
        <v>1148</v>
      </c>
      <c r="E1512" s="45">
        <f t="shared" si="120"/>
        <v>40431</v>
      </c>
      <c r="F1512" s="148" t="str">
        <f t="shared" si="117"/>
        <v>2010-11</v>
      </c>
      <c r="G1512" s="1"/>
      <c r="H1512" s="163"/>
      <c r="I1512" s="37"/>
      <c r="J1512" s="138">
        <f t="shared" si="121"/>
        <v>0.77968490742404351</v>
      </c>
      <c r="K1512" s="114"/>
      <c r="L1512" s="37">
        <v>4.0209122412299996</v>
      </c>
      <c r="M1512" s="37" t="s">
        <v>142</v>
      </c>
      <c r="N1512" s="37">
        <v>696.6467060487804</v>
      </c>
      <c r="O1512" s="132">
        <f t="shared" si="118"/>
        <v>2801.1552681640983</v>
      </c>
      <c r="P1512" s="134">
        <f t="shared" si="119"/>
        <v>2184.0184859388969</v>
      </c>
      <c r="Q1512" s="261">
        <v>1</v>
      </c>
      <c r="R1512" s="94"/>
    </row>
    <row r="1513" spans="1:18" x14ac:dyDescent="0.25">
      <c r="A1513" s="367">
        <v>40431</v>
      </c>
      <c r="B1513" s="367" t="s">
        <v>279</v>
      </c>
      <c r="C1513" s="279" t="s">
        <v>670</v>
      </c>
      <c r="D1513" s="159" t="s">
        <v>1148</v>
      </c>
      <c r="E1513" s="45">
        <f t="shared" si="120"/>
        <v>40431</v>
      </c>
      <c r="F1513" s="148" t="str">
        <f t="shared" si="117"/>
        <v>2010-11</v>
      </c>
      <c r="G1513" s="1"/>
      <c r="H1513" s="163"/>
      <c r="I1513" s="37"/>
      <c r="J1513" s="138">
        <f t="shared" si="121"/>
        <v>0.77968490742404351</v>
      </c>
      <c r="K1513" s="114"/>
      <c r="L1513" s="37">
        <v>2.81128244757</v>
      </c>
      <c r="M1513" s="37" t="s">
        <v>142</v>
      </c>
      <c r="N1513" s="37">
        <v>696.6467060487804</v>
      </c>
      <c r="O1513" s="132">
        <f t="shared" si="118"/>
        <v>1958.4706568723936</v>
      </c>
      <c r="P1513" s="134">
        <f t="shared" si="119"/>
        <v>1526.9900127962578</v>
      </c>
      <c r="Q1513" s="261">
        <v>1</v>
      </c>
      <c r="R1513" s="94"/>
    </row>
    <row r="1514" spans="1:18" x14ac:dyDescent="0.25">
      <c r="A1514" s="367">
        <v>40431</v>
      </c>
      <c r="B1514" s="367" t="s">
        <v>279</v>
      </c>
      <c r="C1514" s="279" t="s">
        <v>670</v>
      </c>
      <c r="D1514" s="159" t="s">
        <v>1149</v>
      </c>
      <c r="E1514" s="45">
        <f t="shared" si="120"/>
        <v>40431</v>
      </c>
      <c r="F1514" s="148" t="str">
        <f t="shared" si="117"/>
        <v>2010-11</v>
      </c>
      <c r="G1514" s="1"/>
      <c r="H1514" s="163"/>
      <c r="I1514" s="37"/>
      <c r="J1514" s="138">
        <f t="shared" si="121"/>
        <v>0.77968490742404351</v>
      </c>
      <c r="K1514" s="114"/>
      <c r="L1514" s="37">
        <v>0.40439831849300001</v>
      </c>
      <c r="M1514" s="37" t="s">
        <v>142</v>
      </c>
      <c r="N1514" s="37">
        <v>771.6404230243902</v>
      </c>
      <c r="O1514" s="132">
        <f t="shared" si="118"/>
        <v>312.05008955229061</v>
      </c>
      <c r="P1514" s="134">
        <f t="shared" si="119"/>
        <v>243.3007451842422</v>
      </c>
      <c r="Q1514" s="261">
        <v>1</v>
      </c>
      <c r="R1514" s="94"/>
    </row>
    <row r="1515" spans="1:18" x14ac:dyDescent="0.25">
      <c r="A1515" s="367">
        <v>40431</v>
      </c>
      <c r="B1515" s="367" t="s">
        <v>279</v>
      </c>
      <c r="C1515" s="279" t="s">
        <v>670</v>
      </c>
      <c r="D1515" s="159" t="s">
        <v>1149</v>
      </c>
      <c r="E1515" s="45">
        <f t="shared" si="120"/>
        <v>40431</v>
      </c>
      <c r="F1515" s="148" t="str">
        <f t="shared" si="117"/>
        <v>2010-11</v>
      </c>
      <c r="G1515" s="1"/>
      <c r="H1515" s="163"/>
      <c r="I1515" s="37"/>
      <c r="J1515" s="138">
        <f t="shared" si="121"/>
        <v>0.77968490742404351</v>
      </c>
      <c r="K1515" s="114"/>
      <c r="L1515" s="37">
        <v>15.9260528384</v>
      </c>
      <c r="M1515" s="37" t="s">
        <v>142</v>
      </c>
      <c r="N1515" s="37">
        <v>771.6404230243902</v>
      </c>
      <c r="O1515" s="132">
        <f t="shared" si="118"/>
        <v>12289.186149331767</v>
      </c>
      <c r="P1515" s="134">
        <f t="shared" si="119"/>
        <v>9581.692965158576</v>
      </c>
      <c r="Q1515" s="261">
        <v>1</v>
      </c>
      <c r="R1515" s="94"/>
    </row>
    <row r="1516" spans="1:18" x14ac:dyDescent="0.25">
      <c r="A1516" s="367">
        <v>41702</v>
      </c>
      <c r="B1516" s="367" t="s">
        <v>279</v>
      </c>
      <c r="C1516" s="279" t="s">
        <v>672</v>
      </c>
      <c r="D1516" s="159" t="s">
        <v>1150</v>
      </c>
      <c r="E1516" s="45">
        <f t="shared" si="120"/>
        <v>41702</v>
      </c>
      <c r="F1516" s="148" t="str">
        <f t="shared" si="117"/>
        <v>2013-14</v>
      </c>
      <c r="G1516" s="1"/>
      <c r="H1516" s="163"/>
      <c r="I1516" s="37"/>
      <c r="J1516" s="138">
        <f t="shared" si="121"/>
        <v>0.77968490742404351</v>
      </c>
      <c r="K1516" s="114"/>
      <c r="L1516" s="37">
        <v>5.0314205747500003</v>
      </c>
      <c r="M1516" s="37" t="s">
        <v>142</v>
      </c>
      <c r="N1516" s="37">
        <v>696.6467060487804</v>
      </c>
      <c r="O1516" s="132">
        <f t="shared" si="118"/>
        <v>3505.1225701456492</v>
      </c>
      <c r="P1516" s="134">
        <f t="shared" si="119"/>
        <v>2732.8911666139361</v>
      </c>
      <c r="Q1516" s="261">
        <v>1</v>
      </c>
      <c r="R1516" s="94"/>
    </row>
    <row r="1517" spans="1:18" x14ac:dyDescent="0.25">
      <c r="A1517" s="367">
        <v>39680</v>
      </c>
      <c r="B1517" s="367" t="s">
        <v>279</v>
      </c>
      <c r="C1517" s="279" t="s">
        <v>299</v>
      </c>
      <c r="D1517" s="159" t="s">
        <v>1151</v>
      </c>
      <c r="E1517" s="45">
        <f t="shared" si="120"/>
        <v>39680</v>
      </c>
      <c r="F1517" s="148" t="str">
        <f t="shared" si="117"/>
        <v>2008-09</v>
      </c>
      <c r="G1517" s="1"/>
      <c r="H1517" s="163"/>
      <c r="I1517" s="37"/>
      <c r="J1517" s="138">
        <f t="shared" si="121"/>
        <v>0.77968490742404351</v>
      </c>
      <c r="K1517" s="114"/>
      <c r="L1517" s="37">
        <v>1.5988008006000001</v>
      </c>
      <c r="M1517" s="37" t="s">
        <v>142</v>
      </c>
      <c r="N1517" s="37">
        <v>1422.8466506341463</v>
      </c>
      <c r="O1517" s="132">
        <f t="shared" si="118"/>
        <v>2274.8483641649018</v>
      </c>
      <c r="P1517" s="134">
        <f t="shared" si="119"/>
        <v>1773.6649362176483</v>
      </c>
      <c r="Q1517" s="261">
        <v>1</v>
      </c>
      <c r="R1517" s="94"/>
    </row>
    <row r="1518" spans="1:18" x14ac:dyDescent="0.25">
      <c r="A1518" s="367">
        <v>44247</v>
      </c>
      <c r="B1518" s="367" t="s">
        <v>279</v>
      </c>
      <c r="C1518" s="279" t="s">
        <v>673</v>
      </c>
      <c r="D1518" s="159" t="s">
        <v>1152</v>
      </c>
      <c r="E1518" s="45">
        <f t="shared" si="120"/>
        <v>44247</v>
      </c>
      <c r="F1518" s="148" t="str">
        <f t="shared" si="117"/>
        <v>2020-21</v>
      </c>
      <c r="G1518" s="1"/>
      <c r="H1518" s="163"/>
      <c r="I1518" s="37"/>
      <c r="J1518" s="138">
        <f t="shared" si="121"/>
        <v>0.77968490742404351</v>
      </c>
      <c r="K1518" s="114"/>
      <c r="L1518" s="37">
        <v>82.866280482500002</v>
      </c>
      <c r="M1518" s="37" t="s">
        <v>142</v>
      </c>
      <c r="N1518" s="37">
        <v>1181.2618378536583</v>
      </c>
      <c r="O1518" s="132">
        <f t="shared" si="118"/>
        <v>97886.774778854684</v>
      </c>
      <c r="P1518" s="134">
        <f t="shared" si="119"/>
        <v>76320.840931489511</v>
      </c>
      <c r="Q1518" s="261">
        <v>1</v>
      </c>
      <c r="R1518" s="94"/>
    </row>
    <row r="1519" spans="1:18" x14ac:dyDescent="0.25">
      <c r="A1519" s="367">
        <v>44247</v>
      </c>
      <c r="B1519" s="367" t="s">
        <v>279</v>
      </c>
      <c r="C1519" s="279" t="s">
        <v>673</v>
      </c>
      <c r="D1519" s="159" t="s">
        <v>1152</v>
      </c>
      <c r="E1519" s="45">
        <f t="shared" si="120"/>
        <v>44247</v>
      </c>
      <c r="F1519" s="148" t="str">
        <f t="shared" si="117"/>
        <v>2020-21</v>
      </c>
      <c r="G1519" s="1"/>
      <c r="H1519" s="163"/>
      <c r="I1519" s="37"/>
      <c r="J1519" s="138">
        <f t="shared" si="121"/>
        <v>0.77968490742404351</v>
      </c>
      <c r="K1519" s="114"/>
      <c r="L1519" s="37">
        <v>21.0202776623</v>
      </c>
      <c r="M1519" s="37" t="s">
        <v>142</v>
      </c>
      <c r="N1519" s="37">
        <v>1422.8466506341463</v>
      </c>
      <c r="O1519" s="132">
        <f t="shared" si="118"/>
        <v>29908.631667203317</v>
      </c>
      <c r="P1519" s="134">
        <f t="shared" si="119"/>
        <v>23319.308712623235</v>
      </c>
      <c r="Q1519" s="261">
        <v>1</v>
      </c>
      <c r="R1519" s="94"/>
    </row>
    <row r="1520" spans="1:18" x14ac:dyDescent="0.25">
      <c r="A1520" s="367">
        <v>44247</v>
      </c>
      <c r="B1520" s="367" t="s">
        <v>279</v>
      </c>
      <c r="C1520" s="279" t="s">
        <v>673</v>
      </c>
      <c r="D1520" s="159" t="s">
        <v>1152</v>
      </c>
      <c r="E1520" s="45">
        <f t="shared" si="120"/>
        <v>44247</v>
      </c>
      <c r="F1520" s="148" t="str">
        <f t="shared" si="117"/>
        <v>2020-21</v>
      </c>
      <c r="G1520" s="1"/>
      <c r="H1520" s="163"/>
      <c r="I1520" s="37"/>
      <c r="J1520" s="138">
        <f t="shared" si="121"/>
        <v>0.77968490742404351</v>
      </c>
      <c r="K1520" s="114"/>
      <c r="L1520" s="37">
        <v>60.237284965000001</v>
      </c>
      <c r="M1520" s="37" t="s">
        <v>142</v>
      </c>
      <c r="N1520" s="37">
        <v>1512.3336585365851</v>
      </c>
      <c r="O1520" s="132">
        <f t="shared" si="118"/>
        <v>91098.873551429278</v>
      </c>
      <c r="P1520" s="134">
        <f t="shared" si="119"/>
        <v>71028.416791380776</v>
      </c>
      <c r="Q1520" s="261">
        <v>1</v>
      </c>
      <c r="R1520" s="94"/>
    </row>
    <row r="1521" spans="1:18" x14ac:dyDescent="0.25">
      <c r="A1521" s="367">
        <v>44247</v>
      </c>
      <c r="B1521" s="367" t="s">
        <v>279</v>
      </c>
      <c r="C1521" s="279" t="s">
        <v>673</v>
      </c>
      <c r="D1521" s="159" t="s">
        <v>1152</v>
      </c>
      <c r="E1521" s="45">
        <f t="shared" si="120"/>
        <v>44247</v>
      </c>
      <c r="F1521" s="148" t="str">
        <f t="shared" si="117"/>
        <v>2020-21</v>
      </c>
      <c r="G1521" s="1"/>
      <c r="H1521" s="163"/>
      <c r="I1521" s="37"/>
      <c r="J1521" s="138">
        <f t="shared" si="121"/>
        <v>0.77968490742404351</v>
      </c>
      <c r="K1521" s="114"/>
      <c r="L1521" s="37">
        <v>81.730498322200006</v>
      </c>
      <c r="M1521" s="37" t="s">
        <v>142</v>
      </c>
      <c r="N1521" s="37">
        <v>1422.8466506341463</v>
      </c>
      <c r="O1521" s="132">
        <f t="shared" si="118"/>
        <v>116289.96579240198</v>
      </c>
      <c r="P1521" s="134">
        <f t="shared" si="119"/>
        <v>90669.531213194132</v>
      </c>
      <c r="Q1521" s="261">
        <v>1</v>
      </c>
      <c r="R1521" s="94"/>
    </row>
    <row r="1522" spans="1:18" x14ac:dyDescent="0.25">
      <c r="A1522" s="367">
        <v>44247</v>
      </c>
      <c r="B1522" s="367" t="s">
        <v>279</v>
      </c>
      <c r="C1522" s="279" t="s">
        <v>673</v>
      </c>
      <c r="D1522" s="159" t="s">
        <v>1152</v>
      </c>
      <c r="E1522" s="45">
        <f t="shared" si="120"/>
        <v>44247</v>
      </c>
      <c r="F1522" s="148" t="str">
        <f t="shared" si="117"/>
        <v>2020-21</v>
      </c>
      <c r="G1522" s="1"/>
      <c r="H1522" s="163"/>
      <c r="I1522" s="37"/>
      <c r="J1522" s="138">
        <f t="shared" si="121"/>
        <v>0.77968490742404351</v>
      </c>
      <c r="K1522" s="114"/>
      <c r="L1522" s="37">
        <v>63.647596696400001</v>
      </c>
      <c r="M1522" s="37" t="s">
        <v>142</v>
      </c>
      <c r="N1522" s="37">
        <v>1181.2618378536583</v>
      </c>
      <c r="O1522" s="132">
        <f t="shared" si="118"/>
        <v>75184.477048557892</v>
      </c>
      <c r="P1522" s="134">
        <f t="shared" si="119"/>
        <v>58620.202027329986</v>
      </c>
      <c r="Q1522" s="261">
        <v>1</v>
      </c>
      <c r="R1522" s="94"/>
    </row>
    <row r="1523" spans="1:18" x14ac:dyDescent="0.25">
      <c r="A1523" s="367">
        <v>44247</v>
      </c>
      <c r="B1523" s="367" t="s">
        <v>279</v>
      </c>
      <c r="C1523" s="279" t="s">
        <v>673</v>
      </c>
      <c r="D1523" s="159" t="s">
        <v>1152</v>
      </c>
      <c r="E1523" s="45">
        <f t="shared" si="120"/>
        <v>44247</v>
      </c>
      <c r="F1523" s="148" t="str">
        <f t="shared" si="117"/>
        <v>2020-21</v>
      </c>
      <c r="G1523" s="1"/>
      <c r="H1523" s="163"/>
      <c r="I1523" s="37"/>
      <c r="J1523" s="138">
        <f t="shared" si="121"/>
        <v>0.77968490742404351</v>
      </c>
      <c r="K1523" s="114"/>
      <c r="L1523" s="37">
        <v>38.351386890900002</v>
      </c>
      <c r="M1523" s="37" t="s">
        <v>142</v>
      </c>
      <c r="N1523" s="37">
        <v>1512.3336585365851</v>
      </c>
      <c r="O1523" s="132">
        <f t="shared" si="118"/>
        <v>58000.093246666831</v>
      </c>
      <c r="P1523" s="134">
        <f t="shared" si="119"/>
        <v>45221.797333613322</v>
      </c>
      <c r="Q1523" s="261">
        <v>1</v>
      </c>
      <c r="R1523" s="94"/>
    </row>
    <row r="1524" spans="1:18" x14ac:dyDescent="0.25">
      <c r="A1524" s="367">
        <v>44247</v>
      </c>
      <c r="B1524" s="367" t="s">
        <v>279</v>
      </c>
      <c r="C1524" s="279" t="s">
        <v>673</v>
      </c>
      <c r="D1524" s="159" t="s">
        <v>1152</v>
      </c>
      <c r="E1524" s="45">
        <f t="shared" si="120"/>
        <v>44247</v>
      </c>
      <c r="F1524" s="148" t="str">
        <f t="shared" si="117"/>
        <v>2020-21</v>
      </c>
      <c r="G1524" s="1"/>
      <c r="H1524" s="163"/>
      <c r="I1524" s="37"/>
      <c r="J1524" s="138">
        <f t="shared" si="121"/>
        <v>0.77968490742404351</v>
      </c>
      <c r="K1524" s="114"/>
      <c r="L1524" s="37">
        <v>2.02989679541</v>
      </c>
      <c r="M1524" s="37" t="s">
        <v>142</v>
      </c>
      <c r="N1524" s="37">
        <v>1181.2618378536583</v>
      </c>
      <c r="O1524" s="132">
        <f t="shared" si="118"/>
        <v>2397.8396191992679</v>
      </c>
      <c r="P1524" s="134">
        <f t="shared" si="119"/>
        <v>1869.5593615130849</v>
      </c>
      <c r="Q1524" s="261">
        <v>1</v>
      </c>
      <c r="R1524" s="94"/>
    </row>
    <row r="1525" spans="1:18" x14ac:dyDescent="0.25">
      <c r="A1525" s="367">
        <v>44247</v>
      </c>
      <c r="B1525" s="367" t="s">
        <v>279</v>
      </c>
      <c r="C1525" s="279" t="s">
        <v>673</v>
      </c>
      <c r="D1525" s="159" t="s">
        <v>1152</v>
      </c>
      <c r="E1525" s="45">
        <f t="shared" si="120"/>
        <v>44247</v>
      </c>
      <c r="F1525" s="148" t="str">
        <f t="shared" si="117"/>
        <v>2020-21</v>
      </c>
      <c r="G1525" s="1"/>
      <c r="H1525" s="163"/>
      <c r="I1525" s="37"/>
      <c r="J1525" s="138">
        <f t="shared" si="121"/>
        <v>0.77968490742404351</v>
      </c>
      <c r="K1525" s="114"/>
      <c r="L1525" s="37">
        <v>85.075054814500007</v>
      </c>
      <c r="M1525" s="37" t="s">
        <v>142</v>
      </c>
      <c r="N1525" s="37">
        <v>1181.2618378536583</v>
      </c>
      <c r="O1525" s="132">
        <f t="shared" si="118"/>
        <v>100495.915605677</v>
      </c>
      <c r="P1525" s="134">
        <f t="shared" si="119"/>
        <v>78355.148655506768</v>
      </c>
      <c r="Q1525" s="261">
        <v>1</v>
      </c>
      <c r="R1525" s="94"/>
    </row>
    <row r="1526" spans="1:18" x14ac:dyDescent="0.25">
      <c r="A1526" s="367">
        <v>44247</v>
      </c>
      <c r="B1526" s="367" t="s">
        <v>279</v>
      </c>
      <c r="C1526" s="279" t="s">
        <v>673</v>
      </c>
      <c r="D1526" s="159" t="s">
        <v>1152</v>
      </c>
      <c r="E1526" s="45">
        <f t="shared" si="120"/>
        <v>44247</v>
      </c>
      <c r="F1526" s="148" t="str">
        <f t="shared" si="117"/>
        <v>2020-21</v>
      </c>
      <c r="G1526" s="1"/>
      <c r="H1526" s="163"/>
      <c r="I1526" s="37"/>
      <c r="J1526" s="138">
        <f t="shared" si="121"/>
        <v>0.77968490742404351</v>
      </c>
      <c r="K1526" s="114"/>
      <c r="L1526" s="37">
        <v>23.7155359924</v>
      </c>
      <c r="M1526" s="37" t="s">
        <v>142</v>
      </c>
      <c r="N1526" s="37">
        <v>1181.2618378536583</v>
      </c>
      <c r="O1526" s="132">
        <f t="shared" si="118"/>
        <v>28014.257632067005</v>
      </c>
      <c r="P1526" s="134">
        <f t="shared" si="119"/>
        <v>21842.293868411467</v>
      </c>
      <c r="Q1526" s="261">
        <v>1</v>
      </c>
      <c r="R1526" s="94"/>
    </row>
    <row r="1527" spans="1:18" x14ac:dyDescent="0.25">
      <c r="A1527" s="367">
        <v>44247</v>
      </c>
      <c r="B1527" s="367" t="s">
        <v>279</v>
      </c>
      <c r="C1527" s="279" t="s">
        <v>673</v>
      </c>
      <c r="D1527" s="159" t="s">
        <v>1152</v>
      </c>
      <c r="E1527" s="45">
        <f t="shared" si="120"/>
        <v>44247</v>
      </c>
      <c r="F1527" s="148" t="str">
        <f t="shared" si="117"/>
        <v>2020-21</v>
      </c>
      <c r="G1527" s="1"/>
      <c r="H1527" s="163"/>
      <c r="I1527" s="37"/>
      <c r="J1527" s="138">
        <f t="shared" si="121"/>
        <v>0.77968490742404351</v>
      </c>
      <c r="K1527" s="114"/>
      <c r="L1527" s="37">
        <v>24.609789367899999</v>
      </c>
      <c r="M1527" s="37" t="s">
        <v>142</v>
      </c>
      <c r="N1527" s="37">
        <v>1181.2618378536583</v>
      </c>
      <c r="O1527" s="132">
        <f t="shared" si="118"/>
        <v>29070.605017916972</v>
      </c>
      <c r="P1527" s="134">
        <f t="shared" si="119"/>
        <v>22665.911982155529</v>
      </c>
      <c r="Q1527" s="261">
        <v>1</v>
      </c>
      <c r="R1527" s="94"/>
    </row>
    <row r="1528" spans="1:18" x14ac:dyDescent="0.25">
      <c r="A1528" s="367">
        <v>44247</v>
      </c>
      <c r="B1528" s="367" t="s">
        <v>279</v>
      </c>
      <c r="C1528" s="279" t="s">
        <v>673</v>
      </c>
      <c r="D1528" s="159" t="s">
        <v>1152</v>
      </c>
      <c r="E1528" s="45">
        <f t="shared" si="120"/>
        <v>44247</v>
      </c>
      <c r="F1528" s="148" t="str">
        <f t="shared" si="117"/>
        <v>2020-21</v>
      </c>
      <c r="G1528" s="1"/>
      <c r="H1528" s="163"/>
      <c r="I1528" s="37"/>
      <c r="J1528" s="138">
        <f t="shared" si="121"/>
        <v>0.77968490742404351</v>
      </c>
      <c r="K1528" s="114"/>
      <c r="L1528" s="37">
        <v>58.424130151</v>
      </c>
      <c r="M1528" s="37" t="s">
        <v>142</v>
      </c>
      <c r="N1528" s="37">
        <v>1512.3336585365851</v>
      </c>
      <c r="O1528" s="132">
        <f t="shared" si="118"/>
        <v>88356.778498079439</v>
      </c>
      <c r="P1528" s="134">
        <f t="shared" si="119"/>
        <v>68890.446663561786</v>
      </c>
      <c r="Q1528" s="261">
        <v>1</v>
      </c>
      <c r="R1528" s="94"/>
    </row>
    <row r="1529" spans="1:18" x14ac:dyDescent="0.25">
      <c r="A1529" s="367">
        <v>44247</v>
      </c>
      <c r="B1529" s="367" t="s">
        <v>279</v>
      </c>
      <c r="C1529" s="279" t="s">
        <v>673</v>
      </c>
      <c r="D1529" s="159" t="s">
        <v>1152</v>
      </c>
      <c r="E1529" s="45">
        <f t="shared" si="120"/>
        <v>44247</v>
      </c>
      <c r="F1529" s="148" t="str">
        <f t="shared" si="117"/>
        <v>2020-21</v>
      </c>
      <c r="G1529" s="1"/>
      <c r="H1529" s="163"/>
      <c r="I1529" s="37"/>
      <c r="J1529" s="138">
        <f t="shared" si="121"/>
        <v>0.77968490742404351</v>
      </c>
      <c r="K1529" s="114"/>
      <c r="L1529" s="37">
        <v>20.211808667</v>
      </c>
      <c r="M1529" s="37" t="s">
        <v>142</v>
      </c>
      <c r="N1529" s="37">
        <v>1181.2618378536583</v>
      </c>
      <c r="O1529" s="132">
        <f t="shared" si="118"/>
        <v>23875.43825232692</v>
      </c>
      <c r="P1529" s="134">
        <f t="shared" si="119"/>
        <v>18615.318863473982</v>
      </c>
      <c r="Q1529" s="261">
        <v>1</v>
      </c>
      <c r="R1529" s="94"/>
    </row>
    <row r="1530" spans="1:18" x14ac:dyDescent="0.25">
      <c r="A1530" s="367">
        <v>44247</v>
      </c>
      <c r="B1530" s="367" t="s">
        <v>279</v>
      </c>
      <c r="C1530" s="279" t="s">
        <v>673</v>
      </c>
      <c r="D1530" s="159" t="s">
        <v>1152</v>
      </c>
      <c r="E1530" s="45">
        <f t="shared" si="120"/>
        <v>44247</v>
      </c>
      <c r="F1530" s="148" t="str">
        <f t="shared" si="117"/>
        <v>2020-21</v>
      </c>
      <c r="G1530" s="1"/>
      <c r="H1530" s="163"/>
      <c r="I1530" s="37"/>
      <c r="J1530" s="138">
        <f t="shared" si="121"/>
        <v>0.77968490742404351</v>
      </c>
      <c r="K1530" s="114"/>
      <c r="L1530" s="37">
        <v>51.316762532399999</v>
      </c>
      <c r="M1530" s="37" t="s">
        <v>142</v>
      </c>
      <c r="N1530" s="37">
        <v>1512.3336585365851</v>
      </c>
      <c r="O1530" s="132">
        <f t="shared" si="118"/>
        <v>77608.067224877639</v>
      </c>
      <c r="P1530" s="134">
        <f t="shared" si="119"/>
        <v>60509.838709587668</v>
      </c>
      <c r="Q1530" s="261">
        <v>1</v>
      </c>
      <c r="R1530" s="94"/>
    </row>
    <row r="1531" spans="1:18" x14ac:dyDescent="0.25">
      <c r="A1531" s="367">
        <v>43396</v>
      </c>
      <c r="B1531" s="367" t="s">
        <v>279</v>
      </c>
      <c r="C1531" s="279" t="s">
        <v>674</v>
      </c>
      <c r="D1531" s="159" t="s">
        <v>1153</v>
      </c>
      <c r="E1531" s="45">
        <f t="shared" si="120"/>
        <v>43396</v>
      </c>
      <c r="F1531" s="148" t="str">
        <f t="shared" si="117"/>
        <v>2018-19</v>
      </c>
      <c r="G1531" s="1"/>
      <c r="H1531" s="163"/>
      <c r="I1531" s="37"/>
      <c r="J1531" s="138">
        <f t="shared" si="121"/>
        <v>0.77968490742404351</v>
      </c>
      <c r="K1531" s="114"/>
      <c r="L1531" s="37">
        <v>50.608291119100002</v>
      </c>
      <c r="M1531" s="37" t="s">
        <v>142</v>
      </c>
      <c r="N1531" s="37">
        <v>2683.0915094634142</v>
      </c>
      <c r="O1531" s="132">
        <f t="shared" si="118"/>
        <v>135786.67621010993</v>
      </c>
      <c r="P1531" s="134">
        <f t="shared" si="119"/>
        <v>105870.82207029813</v>
      </c>
      <c r="Q1531" s="261">
        <v>1</v>
      </c>
      <c r="R1531" s="94"/>
    </row>
    <row r="1532" spans="1:18" x14ac:dyDescent="0.25">
      <c r="A1532" s="367">
        <v>43396</v>
      </c>
      <c r="B1532" s="367" t="s">
        <v>279</v>
      </c>
      <c r="C1532" s="279" t="s">
        <v>674</v>
      </c>
      <c r="D1532" s="159" t="s">
        <v>1153</v>
      </c>
      <c r="E1532" s="45">
        <f t="shared" si="120"/>
        <v>43396</v>
      </c>
      <c r="F1532" s="148" t="str">
        <f t="shared" si="117"/>
        <v>2018-19</v>
      </c>
      <c r="G1532" s="1"/>
      <c r="H1532" s="163"/>
      <c r="I1532" s="37"/>
      <c r="J1532" s="138">
        <f t="shared" si="121"/>
        <v>0.77968490742404351</v>
      </c>
      <c r="K1532" s="114"/>
      <c r="L1532" s="37">
        <v>3.9995584759199998</v>
      </c>
      <c r="M1532" s="37" t="s">
        <v>142</v>
      </c>
      <c r="N1532" s="37">
        <v>2683.0915094634142</v>
      </c>
      <c r="O1532" s="132">
        <f t="shared" si="118"/>
        <v>10731.181388343384</v>
      </c>
      <c r="P1532" s="134">
        <f t="shared" si="119"/>
        <v>8366.9401673211305</v>
      </c>
      <c r="Q1532" s="261">
        <v>1</v>
      </c>
      <c r="R1532" s="94"/>
    </row>
    <row r="1533" spans="1:18" x14ac:dyDescent="0.25">
      <c r="A1533" s="367">
        <v>43396</v>
      </c>
      <c r="B1533" s="367" t="s">
        <v>279</v>
      </c>
      <c r="C1533" s="279" t="s">
        <v>674</v>
      </c>
      <c r="D1533" s="159" t="s">
        <v>1153</v>
      </c>
      <c r="E1533" s="45">
        <f t="shared" si="120"/>
        <v>43396</v>
      </c>
      <c r="F1533" s="148" t="str">
        <f t="shared" si="117"/>
        <v>2018-19</v>
      </c>
      <c r="G1533" s="1"/>
      <c r="H1533" s="163"/>
      <c r="I1533" s="37"/>
      <c r="J1533" s="138">
        <f t="shared" si="121"/>
        <v>0.77968490742404351</v>
      </c>
      <c r="K1533" s="114"/>
      <c r="L1533" s="37">
        <v>14.4636412923</v>
      </c>
      <c r="M1533" s="37" t="s">
        <v>142</v>
      </c>
      <c r="N1533" s="37">
        <v>2683.0915094634142</v>
      </c>
      <c r="O1533" s="132">
        <f t="shared" si="118"/>
        <v>38807.273147294574</v>
      </c>
      <c r="P1533" s="134">
        <f t="shared" si="119"/>
        <v>30257.445171227941</v>
      </c>
      <c r="Q1533" s="261">
        <v>1</v>
      </c>
      <c r="R1533" s="94"/>
    </row>
    <row r="1534" spans="1:18" x14ac:dyDescent="0.25">
      <c r="A1534" s="367">
        <v>43396</v>
      </c>
      <c r="B1534" s="367" t="s">
        <v>279</v>
      </c>
      <c r="C1534" s="279" t="s">
        <v>674</v>
      </c>
      <c r="D1534" s="159" t="s">
        <v>1153</v>
      </c>
      <c r="E1534" s="45">
        <f t="shared" si="120"/>
        <v>43396</v>
      </c>
      <c r="F1534" s="148" t="str">
        <f t="shared" si="117"/>
        <v>2018-19</v>
      </c>
      <c r="G1534" s="1"/>
      <c r="H1534" s="163"/>
      <c r="I1534" s="37"/>
      <c r="J1534" s="138">
        <f t="shared" si="121"/>
        <v>0.77968490742404351</v>
      </c>
      <c r="K1534" s="114"/>
      <c r="L1534" s="37">
        <v>5.99341360805</v>
      </c>
      <c r="M1534" s="37" t="s">
        <v>142</v>
      </c>
      <c r="N1534" s="37">
        <v>2683.0915094634142</v>
      </c>
      <c r="O1534" s="132">
        <f t="shared" si="118"/>
        <v>16080.877164461443</v>
      </c>
      <c r="P1534" s="134">
        <f t="shared" si="119"/>
        <v>12538.017223270535</v>
      </c>
      <c r="Q1534" s="261">
        <v>1</v>
      </c>
      <c r="R1534" s="94"/>
    </row>
    <row r="1535" spans="1:18" x14ac:dyDescent="0.25">
      <c r="A1535" s="367">
        <v>43396</v>
      </c>
      <c r="B1535" s="367" t="s">
        <v>279</v>
      </c>
      <c r="C1535" s="279" t="s">
        <v>674</v>
      </c>
      <c r="D1535" s="159" t="s">
        <v>1153</v>
      </c>
      <c r="E1535" s="45">
        <f t="shared" si="120"/>
        <v>43396</v>
      </c>
      <c r="F1535" s="148" t="str">
        <f t="shared" si="117"/>
        <v>2018-19</v>
      </c>
      <c r="G1535" s="1"/>
      <c r="H1535" s="163"/>
      <c r="I1535" s="37"/>
      <c r="J1535" s="138">
        <f t="shared" si="121"/>
        <v>0.77968490742404351</v>
      </c>
      <c r="K1535" s="114"/>
      <c r="L1535" s="37">
        <v>11.952637130799999</v>
      </c>
      <c r="M1535" s="37" t="s">
        <v>142</v>
      </c>
      <c r="N1535" s="37">
        <v>2683.0915094634142</v>
      </c>
      <c r="O1535" s="132">
        <f t="shared" si="118"/>
        <v>32070.019201346622</v>
      </c>
      <c r="P1535" s="134">
        <f t="shared" si="119"/>
        <v>25004.50995208924</v>
      </c>
      <c r="Q1535" s="261">
        <v>1</v>
      </c>
      <c r="R1535" s="94"/>
    </row>
    <row r="1536" spans="1:18" x14ac:dyDescent="0.25">
      <c r="A1536" s="367">
        <v>44247</v>
      </c>
      <c r="B1536" s="367" t="s">
        <v>279</v>
      </c>
      <c r="C1536" s="279" t="s">
        <v>673</v>
      </c>
      <c r="D1536" s="159" t="s">
        <v>1152</v>
      </c>
      <c r="E1536" s="45">
        <f t="shared" si="120"/>
        <v>44247</v>
      </c>
      <c r="F1536" s="148" t="str">
        <f t="shared" si="117"/>
        <v>2020-21</v>
      </c>
      <c r="G1536" s="1"/>
      <c r="H1536" s="163"/>
      <c r="I1536" s="37"/>
      <c r="J1536" s="138">
        <f t="shared" si="121"/>
        <v>0.77968490742404351</v>
      </c>
      <c r="K1536" s="114"/>
      <c r="L1536" s="37">
        <v>269.51372485899998</v>
      </c>
      <c r="M1536" s="37" t="s">
        <v>142</v>
      </c>
      <c r="N1536" s="37">
        <v>1181.2618378536583</v>
      </c>
      <c r="O1536" s="132">
        <f t="shared" si="118"/>
        <v>318366.27795372752</v>
      </c>
      <c r="P1536" s="134">
        <f t="shared" si="119"/>
        <v>248225.38195328935</v>
      </c>
      <c r="Q1536" s="261">
        <v>1</v>
      </c>
      <c r="R1536" s="94"/>
    </row>
    <row r="1537" spans="1:18" x14ac:dyDescent="0.25">
      <c r="A1537" s="367">
        <v>44247</v>
      </c>
      <c r="B1537" s="367" t="s">
        <v>279</v>
      </c>
      <c r="C1537" s="279" t="s">
        <v>673</v>
      </c>
      <c r="D1537" s="159" t="s">
        <v>1152</v>
      </c>
      <c r="E1537" s="45">
        <f t="shared" si="120"/>
        <v>44247</v>
      </c>
      <c r="F1537" s="148" t="str">
        <f t="shared" si="117"/>
        <v>2020-21</v>
      </c>
      <c r="G1537" s="1"/>
      <c r="H1537" s="163"/>
      <c r="I1537" s="37"/>
      <c r="J1537" s="138">
        <f t="shared" si="121"/>
        <v>0.77968490742404351</v>
      </c>
      <c r="K1537" s="114"/>
      <c r="L1537" s="37">
        <v>17.750602542999999</v>
      </c>
      <c r="M1537" s="37" t="s">
        <v>142</v>
      </c>
      <c r="N1537" s="37">
        <v>696.6467060487804</v>
      </c>
      <c r="O1537" s="132">
        <f t="shared" si="118"/>
        <v>12365.898791962054</v>
      </c>
      <c r="P1537" s="134">
        <f t="shared" si="119"/>
        <v>9641.5046548260252</v>
      </c>
      <c r="Q1537" s="261">
        <v>1</v>
      </c>
      <c r="R1537" s="94"/>
    </row>
    <row r="1538" spans="1:18" x14ac:dyDescent="0.25">
      <c r="A1538" s="367">
        <v>44247</v>
      </c>
      <c r="B1538" s="367" t="s">
        <v>279</v>
      </c>
      <c r="C1538" s="279" t="s">
        <v>673</v>
      </c>
      <c r="D1538" s="159" t="s">
        <v>1152</v>
      </c>
      <c r="E1538" s="45">
        <f t="shared" si="120"/>
        <v>44247</v>
      </c>
      <c r="F1538" s="148" t="str">
        <f t="shared" si="117"/>
        <v>2020-21</v>
      </c>
      <c r="G1538" s="1"/>
      <c r="H1538" s="163"/>
      <c r="I1538" s="37"/>
      <c r="J1538" s="138">
        <f t="shared" si="121"/>
        <v>0.77968490742404351</v>
      </c>
      <c r="K1538" s="114"/>
      <c r="L1538" s="37">
        <v>117.01417796200001</v>
      </c>
      <c r="M1538" s="37" t="s">
        <v>142</v>
      </c>
      <c r="N1538" s="37">
        <v>1422.8466506341463</v>
      </c>
      <c r="O1538" s="132">
        <f t="shared" si="118"/>
        <v>166493.23118993963</v>
      </c>
      <c r="P1538" s="134">
        <f t="shared" si="119"/>
        <v>129812.25954705795</v>
      </c>
      <c r="Q1538" s="261">
        <v>1</v>
      </c>
      <c r="R1538" s="94"/>
    </row>
    <row r="1539" spans="1:18" x14ac:dyDescent="0.25">
      <c r="A1539" s="367">
        <v>44247</v>
      </c>
      <c r="B1539" s="367" t="s">
        <v>279</v>
      </c>
      <c r="C1539" s="279" t="s">
        <v>673</v>
      </c>
      <c r="D1539" s="159" t="s">
        <v>1152</v>
      </c>
      <c r="E1539" s="45">
        <f t="shared" si="120"/>
        <v>44247</v>
      </c>
      <c r="F1539" s="148" t="str">
        <f t="shared" si="117"/>
        <v>2020-21</v>
      </c>
      <c r="G1539" s="1"/>
      <c r="H1539" s="163"/>
      <c r="I1539" s="37"/>
      <c r="J1539" s="138">
        <f t="shared" si="121"/>
        <v>0.77968490742404351</v>
      </c>
      <c r="K1539" s="114"/>
      <c r="L1539" s="37">
        <v>35.057378809600003</v>
      </c>
      <c r="M1539" s="37" t="s">
        <v>142</v>
      </c>
      <c r="N1539" s="37">
        <v>1422.8466506341463</v>
      </c>
      <c r="O1539" s="132">
        <f t="shared" si="118"/>
        <v>49881.274019251861</v>
      </c>
      <c r="P1539" s="134">
        <f t="shared" si="119"/>
        <v>38891.676515893734</v>
      </c>
      <c r="Q1539" s="261">
        <v>1</v>
      </c>
      <c r="R1539" s="94"/>
    </row>
    <row r="1540" spans="1:18" x14ac:dyDescent="0.25">
      <c r="A1540" s="367">
        <v>44247</v>
      </c>
      <c r="B1540" s="367" t="s">
        <v>279</v>
      </c>
      <c r="C1540" s="279" t="s">
        <v>673</v>
      </c>
      <c r="D1540" s="159" t="s">
        <v>1152</v>
      </c>
      <c r="E1540" s="45">
        <f t="shared" si="120"/>
        <v>44247</v>
      </c>
      <c r="F1540" s="148" t="str">
        <f t="shared" si="117"/>
        <v>2020-21</v>
      </c>
      <c r="G1540" s="1"/>
      <c r="H1540" s="163"/>
      <c r="I1540" s="37"/>
      <c r="J1540" s="138">
        <f t="shared" si="121"/>
        <v>0.77968490742404351</v>
      </c>
      <c r="K1540" s="114"/>
      <c r="L1540" s="37">
        <v>110.728839837</v>
      </c>
      <c r="M1540" s="37" t="s">
        <v>142</v>
      </c>
      <c r="N1540" s="37">
        <v>1003.0093919999996</v>
      </c>
      <c r="O1540" s="132">
        <f t="shared" si="118"/>
        <v>111062.06632177471</v>
      </c>
      <c r="P1540" s="134">
        <f t="shared" si="119"/>
        <v>86593.41689841589</v>
      </c>
      <c r="Q1540" s="261">
        <v>1</v>
      </c>
      <c r="R1540" s="94"/>
    </row>
    <row r="1541" spans="1:18" x14ac:dyDescent="0.25">
      <c r="A1541" s="367">
        <v>44247</v>
      </c>
      <c r="B1541" s="367" t="s">
        <v>279</v>
      </c>
      <c r="C1541" s="279" t="s">
        <v>673</v>
      </c>
      <c r="D1541" s="159" t="s">
        <v>1152</v>
      </c>
      <c r="E1541" s="45">
        <f t="shared" si="120"/>
        <v>44247</v>
      </c>
      <c r="F1541" s="148" t="str">
        <f t="shared" si="117"/>
        <v>2020-21</v>
      </c>
      <c r="G1541" s="1"/>
      <c r="H1541" s="163"/>
      <c r="I1541" s="37"/>
      <c r="J1541" s="138">
        <f t="shared" si="121"/>
        <v>0.77968490742404351</v>
      </c>
      <c r="K1541" s="114"/>
      <c r="L1541" s="37">
        <v>49.093835065199997</v>
      </c>
      <c r="M1541" s="37" t="s">
        <v>142</v>
      </c>
      <c r="N1541" s="37">
        <v>1512.3336585365851</v>
      </c>
      <c r="O1541" s="132">
        <f t="shared" si="118"/>
        <v>74246.259195745602</v>
      </c>
      <c r="P1541" s="134">
        <f t="shared" si="119"/>
        <v>57888.687727616452</v>
      </c>
      <c r="Q1541" s="261">
        <v>1</v>
      </c>
      <c r="R1541" s="94"/>
    </row>
    <row r="1542" spans="1:18" x14ac:dyDescent="0.25">
      <c r="A1542" s="367">
        <v>44247</v>
      </c>
      <c r="B1542" s="367" t="s">
        <v>279</v>
      </c>
      <c r="C1542" s="279" t="s">
        <v>673</v>
      </c>
      <c r="D1542" s="159" t="s">
        <v>1152</v>
      </c>
      <c r="E1542" s="45">
        <f t="shared" si="120"/>
        <v>44247</v>
      </c>
      <c r="F1542" s="148" t="str">
        <f t="shared" si="117"/>
        <v>2020-21</v>
      </c>
      <c r="G1542" s="1"/>
      <c r="H1542" s="163"/>
      <c r="I1542" s="37"/>
      <c r="J1542" s="138">
        <f t="shared" si="121"/>
        <v>0.77968490742404351</v>
      </c>
      <c r="K1542" s="114"/>
      <c r="L1542" s="37">
        <v>3.49948524786</v>
      </c>
      <c r="M1542" s="37" t="s">
        <v>142</v>
      </c>
      <c r="N1542" s="37">
        <v>771.6404230243902</v>
      </c>
      <c r="O1542" s="132">
        <f t="shared" si="118"/>
        <v>2700.3442770263036</v>
      </c>
      <c r="P1542" s="134">
        <f t="shared" si="119"/>
        <v>2105.4176776462991</v>
      </c>
      <c r="Q1542" s="261">
        <v>1</v>
      </c>
      <c r="R1542" s="94"/>
    </row>
    <row r="1543" spans="1:18" x14ac:dyDescent="0.25">
      <c r="A1543" s="367">
        <v>44247</v>
      </c>
      <c r="B1543" s="367" t="s">
        <v>279</v>
      </c>
      <c r="C1543" s="279" t="s">
        <v>673</v>
      </c>
      <c r="D1543" s="159" t="s">
        <v>1152</v>
      </c>
      <c r="E1543" s="45">
        <f t="shared" si="120"/>
        <v>44247</v>
      </c>
      <c r="F1543" s="148" t="str">
        <f t="shared" si="117"/>
        <v>2020-21</v>
      </c>
      <c r="G1543" s="1"/>
      <c r="H1543" s="163"/>
      <c r="I1543" s="37"/>
      <c r="J1543" s="138">
        <f t="shared" si="121"/>
        <v>0.77968490742404351</v>
      </c>
      <c r="K1543" s="114"/>
      <c r="L1543" s="37">
        <v>108.344343372</v>
      </c>
      <c r="M1543" s="37" t="s">
        <v>142</v>
      </c>
      <c r="N1543" s="37">
        <v>1422.8466506341463</v>
      </c>
      <c r="O1543" s="132">
        <f t="shared" si="118"/>
        <v>154157.38608200607</v>
      </c>
      <c r="P1543" s="134">
        <f t="shared" si="119"/>
        <v>120194.18729608144</v>
      </c>
      <c r="Q1543" s="261">
        <v>1</v>
      </c>
      <c r="R1543" s="94"/>
    </row>
    <row r="1544" spans="1:18" x14ac:dyDescent="0.25">
      <c r="A1544" s="367">
        <v>44247</v>
      </c>
      <c r="B1544" s="367" t="s">
        <v>279</v>
      </c>
      <c r="C1544" s="279" t="s">
        <v>673</v>
      </c>
      <c r="D1544" s="159" t="s">
        <v>1152</v>
      </c>
      <c r="E1544" s="45">
        <f t="shared" si="120"/>
        <v>44247</v>
      </c>
      <c r="F1544" s="148" t="str">
        <f t="shared" si="117"/>
        <v>2020-21</v>
      </c>
      <c r="G1544" s="1"/>
      <c r="H1544" s="163"/>
      <c r="I1544" s="37"/>
      <c r="J1544" s="138">
        <f t="shared" si="121"/>
        <v>0.77968490742404351</v>
      </c>
      <c r="K1544" s="114"/>
      <c r="L1544" s="37">
        <v>24.597862447800001</v>
      </c>
      <c r="M1544" s="37" t="s">
        <v>142</v>
      </c>
      <c r="N1544" s="37">
        <v>1181.2618378536583</v>
      </c>
      <c r="O1544" s="132">
        <f t="shared" si="118"/>
        <v>29056.516202359715</v>
      </c>
      <c r="P1544" s="134">
        <f t="shared" si="119"/>
        <v>22654.927145302056</v>
      </c>
      <c r="Q1544" s="261">
        <v>1</v>
      </c>
      <c r="R1544" s="94"/>
    </row>
    <row r="1545" spans="1:18" x14ac:dyDescent="0.25">
      <c r="A1545" s="367">
        <v>44247</v>
      </c>
      <c r="B1545" s="367" t="s">
        <v>279</v>
      </c>
      <c r="C1545" s="279" t="s">
        <v>673</v>
      </c>
      <c r="D1545" s="159" t="s">
        <v>1152</v>
      </c>
      <c r="E1545" s="45">
        <f t="shared" si="120"/>
        <v>44247</v>
      </c>
      <c r="F1545" s="148" t="str">
        <f t="shared" si="117"/>
        <v>2020-21</v>
      </c>
      <c r="G1545" s="1"/>
      <c r="H1545" s="163"/>
      <c r="I1545" s="37"/>
      <c r="J1545" s="138">
        <f t="shared" si="121"/>
        <v>0.77968490742404351</v>
      </c>
      <c r="K1545" s="114"/>
      <c r="L1545" s="37">
        <v>11.027227932800001</v>
      </c>
      <c r="M1545" s="37" t="s">
        <v>142</v>
      </c>
      <c r="N1545" s="37">
        <v>1003.0093919999996</v>
      </c>
      <c r="O1545" s="132">
        <f t="shared" si="118"/>
        <v>11060.413184323141</v>
      </c>
      <c r="P1545" s="134">
        <f t="shared" si="119"/>
        <v>8623.6372296906575</v>
      </c>
      <c r="Q1545" s="261">
        <v>1</v>
      </c>
      <c r="R1545" s="94"/>
    </row>
    <row r="1546" spans="1:18" x14ac:dyDescent="0.25">
      <c r="A1546" s="367">
        <v>44247</v>
      </c>
      <c r="B1546" s="367" t="s">
        <v>279</v>
      </c>
      <c r="C1546" s="279" t="s">
        <v>673</v>
      </c>
      <c r="D1546" s="159" t="s">
        <v>1152</v>
      </c>
      <c r="E1546" s="45">
        <f t="shared" si="120"/>
        <v>44247</v>
      </c>
      <c r="F1546" s="148" t="str">
        <f t="shared" si="117"/>
        <v>2020-21</v>
      </c>
      <c r="G1546" s="1"/>
      <c r="H1546" s="163"/>
      <c r="I1546" s="37"/>
      <c r="J1546" s="138">
        <f t="shared" si="121"/>
        <v>0.77968490742404351</v>
      </c>
      <c r="K1546" s="114"/>
      <c r="L1546" s="37">
        <v>6.4684815462699996</v>
      </c>
      <c r="M1546" s="37" t="s">
        <v>142</v>
      </c>
      <c r="N1546" s="37">
        <v>1003.0093919999996</v>
      </c>
      <c r="O1546" s="132">
        <f t="shared" si="118"/>
        <v>6487.9477428874898</v>
      </c>
      <c r="P1546" s="134">
        <f t="shared" si="119"/>
        <v>5058.554935285264</v>
      </c>
      <c r="Q1546" s="261">
        <v>1</v>
      </c>
      <c r="R1546" s="94"/>
    </row>
    <row r="1547" spans="1:18" x14ac:dyDescent="0.25">
      <c r="A1547" s="367">
        <v>44247</v>
      </c>
      <c r="B1547" s="367" t="s">
        <v>279</v>
      </c>
      <c r="C1547" s="279" t="s">
        <v>673</v>
      </c>
      <c r="D1547" s="159" t="s">
        <v>1154</v>
      </c>
      <c r="E1547" s="45">
        <f t="shared" si="120"/>
        <v>44247</v>
      </c>
      <c r="F1547" s="148" t="str">
        <f t="shared" si="117"/>
        <v>2020-21</v>
      </c>
      <c r="G1547" s="1"/>
      <c r="H1547" s="163"/>
      <c r="I1547" s="37"/>
      <c r="J1547" s="138">
        <f t="shared" si="121"/>
        <v>0.77968490742404351</v>
      </c>
      <c r="K1547" s="114"/>
      <c r="L1547" s="37">
        <v>20.2578784904</v>
      </c>
      <c r="M1547" s="37" t="s">
        <v>142</v>
      </c>
      <c r="N1547" s="37">
        <v>1181.2618378536583</v>
      </c>
      <c r="O1547" s="132">
        <f t="shared" si="118"/>
        <v>23929.858776585996</v>
      </c>
      <c r="P1547" s="134">
        <f t="shared" si="119"/>
        <v>18657.749724892888</v>
      </c>
      <c r="Q1547" s="261">
        <v>1</v>
      </c>
      <c r="R1547" s="94"/>
    </row>
    <row r="1548" spans="1:18" x14ac:dyDescent="0.25">
      <c r="A1548" s="367">
        <v>44247</v>
      </c>
      <c r="B1548" s="367" t="s">
        <v>279</v>
      </c>
      <c r="C1548" s="279" t="s">
        <v>673</v>
      </c>
      <c r="D1548" s="159" t="s">
        <v>1154</v>
      </c>
      <c r="E1548" s="45">
        <f t="shared" si="120"/>
        <v>44247</v>
      </c>
      <c r="F1548" s="148" t="str">
        <f t="shared" si="117"/>
        <v>2020-21</v>
      </c>
      <c r="G1548" s="1"/>
      <c r="H1548" s="163"/>
      <c r="I1548" s="37"/>
      <c r="J1548" s="138">
        <f t="shared" si="121"/>
        <v>0.77968490742404351</v>
      </c>
      <c r="K1548" s="114"/>
      <c r="L1548" s="37">
        <v>36.1776967009</v>
      </c>
      <c r="M1548" s="37" t="s">
        <v>142</v>
      </c>
      <c r="N1548" s="37">
        <v>1003.0093919999996</v>
      </c>
      <c r="O1548" s="132">
        <f t="shared" si="118"/>
        <v>36286.5695719301</v>
      </c>
      <c r="P1548" s="134">
        <f t="shared" si="119"/>
        <v>28292.090637426434</v>
      </c>
      <c r="Q1548" s="261">
        <v>1</v>
      </c>
      <c r="R1548" s="94"/>
    </row>
    <row r="1549" spans="1:18" x14ac:dyDescent="0.25">
      <c r="A1549" s="367">
        <v>44247</v>
      </c>
      <c r="B1549" s="367" t="s">
        <v>279</v>
      </c>
      <c r="C1549" s="279" t="s">
        <v>673</v>
      </c>
      <c r="D1549" s="159" t="s">
        <v>1154</v>
      </c>
      <c r="E1549" s="45">
        <f t="shared" si="120"/>
        <v>44247</v>
      </c>
      <c r="F1549" s="148" t="str">
        <f t="shared" si="117"/>
        <v>2020-21</v>
      </c>
      <c r="G1549" s="1"/>
      <c r="H1549" s="163"/>
      <c r="I1549" s="37"/>
      <c r="J1549" s="138">
        <f t="shared" si="121"/>
        <v>0.77968490742404351</v>
      </c>
      <c r="K1549" s="114"/>
      <c r="L1549" s="37">
        <v>40.0962028127</v>
      </c>
      <c r="M1549" s="37" t="s">
        <v>142</v>
      </c>
      <c r="N1549" s="37">
        <v>1512.3336585365851</v>
      </c>
      <c r="O1549" s="132">
        <f t="shared" si="118"/>
        <v>60638.837093155504</v>
      </c>
      <c r="P1549" s="134">
        <f t="shared" si="119"/>
        <v>47279.186085278605</v>
      </c>
      <c r="Q1549" s="261">
        <v>1</v>
      </c>
      <c r="R1549" s="94"/>
    </row>
    <row r="1550" spans="1:18" x14ac:dyDescent="0.25">
      <c r="A1550" s="367">
        <v>44247</v>
      </c>
      <c r="B1550" s="367" t="s">
        <v>279</v>
      </c>
      <c r="C1550" s="279" t="s">
        <v>673</v>
      </c>
      <c r="D1550" s="159" t="s">
        <v>1154</v>
      </c>
      <c r="E1550" s="45">
        <f t="shared" si="120"/>
        <v>44247</v>
      </c>
      <c r="F1550" s="148" t="str">
        <f t="shared" si="117"/>
        <v>2020-21</v>
      </c>
      <c r="G1550" s="1"/>
      <c r="H1550" s="163"/>
      <c r="I1550" s="37"/>
      <c r="J1550" s="138">
        <f t="shared" si="121"/>
        <v>0.77968490742404351</v>
      </c>
      <c r="K1550" s="114"/>
      <c r="L1550" s="37">
        <v>29.324838682100001</v>
      </c>
      <c r="M1550" s="37" t="s">
        <v>142</v>
      </c>
      <c r="N1550" s="37">
        <v>1512.3336585365851</v>
      </c>
      <c r="O1550" s="132">
        <f t="shared" si="118"/>
        <v>44348.940570095467</v>
      </c>
      <c r="P1550" s="134">
        <f t="shared" si="119"/>
        <v>34578.199622749293</v>
      </c>
      <c r="Q1550" s="261">
        <v>1</v>
      </c>
      <c r="R1550" s="94"/>
    </row>
    <row r="1551" spans="1:18" x14ac:dyDescent="0.25">
      <c r="A1551" s="367">
        <v>44247</v>
      </c>
      <c r="B1551" s="367" t="s">
        <v>279</v>
      </c>
      <c r="C1551" s="279" t="s">
        <v>673</v>
      </c>
      <c r="D1551" s="159" t="s">
        <v>1154</v>
      </c>
      <c r="E1551" s="45">
        <f t="shared" si="120"/>
        <v>44247</v>
      </c>
      <c r="F1551" s="148" t="str">
        <f t="shared" si="117"/>
        <v>2020-21</v>
      </c>
      <c r="G1551" s="1"/>
      <c r="H1551" s="163"/>
      <c r="I1551" s="37"/>
      <c r="J1551" s="138">
        <f t="shared" si="121"/>
        <v>0.77968490742404351</v>
      </c>
      <c r="K1551" s="114"/>
      <c r="L1551" s="37">
        <v>12.074586245500001</v>
      </c>
      <c r="M1551" s="37" t="s">
        <v>142</v>
      </c>
      <c r="N1551" s="37">
        <v>1181.2618378536583</v>
      </c>
      <c r="O1551" s="132">
        <f t="shared" si="118"/>
        <v>14263.247939681834</v>
      </c>
      <c r="P1551" s="134">
        <f t="shared" si="119"/>
        <v>11120.83914941701</v>
      </c>
      <c r="Q1551" s="261">
        <v>1</v>
      </c>
      <c r="R1551" s="94"/>
    </row>
    <row r="1552" spans="1:18" x14ac:dyDescent="0.25">
      <c r="A1552" s="367">
        <v>44247</v>
      </c>
      <c r="B1552" s="367" t="s">
        <v>279</v>
      </c>
      <c r="C1552" s="279" t="s">
        <v>673</v>
      </c>
      <c r="D1552" s="159" t="s">
        <v>1154</v>
      </c>
      <c r="E1552" s="45">
        <f t="shared" si="120"/>
        <v>44247</v>
      </c>
      <c r="F1552" s="148" t="str">
        <f t="shared" si="117"/>
        <v>2020-21</v>
      </c>
      <c r="G1552" s="1"/>
      <c r="H1552" s="163"/>
      <c r="I1552" s="37"/>
      <c r="J1552" s="138">
        <f t="shared" si="121"/>
        <v>0.77968490742404351</v>
      </c>
      <c r="K1552" s="114"/>
      <c r="L1552" s="37">
        <v>5.2850613052300002</v>
      </c>
      <c r="M1552" s="37" t="s">
        <v>142</v>
      </c>
      <c r="N1552" s="37">
        <v>771.6404230243902</v>
      </c>
      <c r="O1552" s="132">
        <f t="shared" si="118"/>
        <v>4078.1669412775132</v>
      </c>
      <c r="P1552" s="134">
        <f t="shared" si="119"/>
        <v>3179.6852140697524</v>
      </c>
      <c r="Q1552" s="261">
        <v>1</v>
      </c>
      <c r="R1552" s="94"/>
    </row>
    <row r="1553" spans="1:18" x14ac:dyDescent="0.25">
      <c r="A1553" s="367">
        <v>44247</v>
      </c>
      <c r="B1553" s="367" t="s">
        <v>279</v>
      </c>
      <c r="C1553" s="279" t="s">
        <v>673</v>
      </c>
      <c r="D1553" s="159" t="s">
        <v>1154</v>
      </c>
      <c r="E1553" s="45">
        <f t="shared" si="120"/>
        <v>44247</v>
      </c>
      <c r="F1553" s="148" t="str">
        <f t="shared" si="117"/>
        <v>2020-21</v>
      </c>
      <c r="G1553" s="1"/>
      <c r="H1553" s="163"/>
      <c r="I1553" s="37"/>
      <c r="J1553" s="138">
        <f t="shared" si="121"/>
        <v>0.77968490742404351</v>
      </c>
      <c r="K1553" s="114"/>
      <c r="L1553" s="37">
        <v>26.579917166200001</v>
      </c>
      <c r="M1553" s="37" t="s">
        <v>142</v>
      </c>
      <c r="N1553" s="37">
        <v>1181.2618378536583</v>
      </c>
      <c r="O1553" s="132">
        <f t="shared" si="118"/>
        <v>31397.841801743416</v>
      </c>
      <c r="P1553" s="134">
        <f t="shared" si="119"/>
        <v>24480.423378507079</v>
      </c>
      <c r="Q1553" s="261">
        <v>1</v>
      </c>
      <c r="R1553" s="94"/>
    </row>
    <row r="1554" spans="1:18" x14ac:dyDescent="0.25">
      <c r="A1554" s="367">
        <v>44247</v>
      </c>
      <c r="B1554" s="367" t="s">
        <v>279</v>
      </c>
      <c r="C1554" s="279" t="s">
        <v>673</v>
      </c>
      <c r="D1554" s="159" t="s">
        <v>1154</v>
      </c>
      <c r="E1554" s="45">
        <f t="shared" si="120"/>
        <v>44247</v>
      </c>
      <c r="F1554" s="148" t="str">
        <f t="shared" ref="F1554:F1617" si="122">IF(E1554="","-",IF(OR(E1554&lt;$E$15,E1554&gt;$E$16),"ERROR - date outside of range",IF(MONTH(E1554)&gt;=7,YEAR(E1554)&amp;"-"&amp;IF(YEAR(E1554)=1999,"00",IF(AND(YEAR(E1554)&gt;=2000,YEAR(E1554)&lt;2009),"0","")&amp;RIGHT(YEAR(E1554),2)+1),RIGHT(YEAR(E1554),4)-1&amp;"-"&amp;RIGHT(YEAR(E1554),2))))</f>
        <v>2020-21</v>
      </c>
      <c r="G1554" s="1"/>
      <c r="H1554" s="163"/>
      <c r="I1554" s="37"/>
      <c r="J1554" s="138">
        <f t="shared" si="121"/>
        <v>0.77968490742404351</v>
      </c>
      <c r="K1554" s="114"/>
      <c r="L1554" s="37">
        <v>48.632096853900002</v>
      </c>
      <c r="M1554" s="37" t="s">
        <v>142</v>
      </c>
      <c r="N1554" s="37">
        <v>1512.3336585365851</v>
      </c>
      <c r="O1554" s="132">
        <f t="shared" ref="O1554:O1617" si="123">IF(N1554="","-",L1554*N1554)</f>
        <v>73547.956957364135</v>
      </c>
      <c r="P1554" s="134">
        <f t="shared" ref="P1554:P1617" si="124">IF(O1554="-","-",IF(OR(E1554&lt;$E$15,E1554&gt;$E$16),0,O1554*J1554))*Q1554</f>
        <v>57344.232011529995</v>
      </c>
      <c r="Q1554" s="261">
        <v>1</v>
      </c>
      <c r="R1554" s="94"/>
    </row>
    <row r="1555" spans="1:18" x14ac:dyDescent="0.25">
      <c r="A1555" s="367">
        <v>44247</v>
      </c>
      <c r="B1555" s="367" t="s">
        <v>279</v>
      </c>
      <c r="C1555" s="279" t="s">
        <v>673</v>
      </c>
      <c r="D1555" s="159" t="s">
        <v>1154</v>
      </c>
      <c r="E1555" s="45">
        <f t="shared" si="120"/>
        <v>44247</v>
      </c>
      <c r="F1555" s="148" t="str">
        <f t="shared" si="122"/>
        <v>2020-21</v>
      </c>
      <c r="G1555" s="1"/>
      <c r="H1555" s="163"/>
      <c r="I1555" s="37"/>
      <c r="J1555" s="138">
        <f t="shared" si="121"/>
        <v>0.77968490742404351</v>
      </c>
      <c r="K1555" s="114"/>
      <c r="L1555" s="37">
        <v>5.84999461538</v>
      </c>
      <c r="M1555" s="37" t="s">
        <v>142</v>
      </c>
      <c r="N1555" s="37">
        <v>1512.3336585365851</v>
      </c>
      <c r="O1555" s="132">
        <f t="shared" si="123"/>
        <v>8847.1437590969581</v>
      </c>
      <c r="P1555" s="134">
        <f t="shared" si="124"/>
        <v>6897.9844627787161</v>
      </c>
      <c r="Q1555" s="261">
        <v>1</v>
      </c>
      <c r="R1555" s="94"/>
    </row>
    <row r="1556" spans="1:18" x14ac:dyDescent="0.25">
      <c r="A1556" s="367">
        <v>44247</v>
      </c>
      <c r="B1556" s="367" t="s">
        <v>279</v>
      </c>
      <c r="C1556" s="279" t="s">
        <v>673</v>
      </c>
      <c r="D1556" s="159" t="s">
        <v>1154</v>
      </c>
      <c r="E1556" s="45">
        <f t="shared" si="120"/>
        <v>44247</v>
      </c>
      <c r="F1556" s="148" t="str">
        <f t="shared" si="122"/>
        <v>2020-21</v>
      </c>
      <c r="G1556" s="1"/>
      <c r="H1556" s="163"/>
      <c r="I1556" s="37"/>
      <c r="J1556" s="138">
        <f t="shared" si="121"/>
        <v>0.77968490742404351</v>
      </c>
      <c r="K1556" s="114"/>
      <c r="L1556" s="37">
        <v>3.5685960258999998</v>
      </c>
      <c r="M1556" s="37" t="s">
        <v>142</v>
      </c>
      <c r="N1556" s="37">
        <v>1512.3336585365851</v>
      </c>
      <c r="O1556" s="132">
        <f t="shared" si="123"/>
        <v>5396.9078836884646</v>
      </c>
      <c r="P1556" s="134">
        <f t="shared" si="124"/>
        <v>4207.8876236697315</v>
      </c>
      <c r="Q1556" s="261">
        <v>1</v>
      </c>
      <c r="R1556" s="94"/>
    </row>
    <row r="1557" spans="1:18" x14ac:dyDescent="0.25">
      <c r="A1557" s="367">
        <v>44247</v>
      </c>
      <c r="B1557" s="367" t="s">
        <v>279</v>
      </c>
      <c r="C1557" s="279" t="s">
        <v>673</v>
      </c>
      <c r="D1557" s="159" t="s">
        <v>1154</v>
      </c>
      <c r="E1557" s="45">
        <f t="shared" si="120"/>
        <v>44247</v>
      </c>
      <c r="F1557" s="148" t="str">
        <f t="shared" si="122"/>
        <v>2020-21</v>
      </c>
      <c r="G1557" s="1"/>
      <c r="H1557" s="163"/>
      <c r="I1557" s="37"/>
      <c r="J1557" s="138">
        <f t="shared" si="121"/>
        <v>0.77968490742404351</v>
      </c>
      <c r="K1557" s="114"/>
      <c r="L1557" s="37">
        <v>2.99786807582</v>
      </c>
      <c r="M1557" s="37" t="s">
        <v>142</v>
      </c>
      <c r="N1557" s="37">
        <v>1422.8466506341463</v>
      </c>
      <c r="O1557" s="132">
        <f t="shared" si="123"/>
        <v>4265.5065507235195</v>
      </c>
      <c r="P1557" s="134">
        <f t="shared" si="124"/>
        <v>3325.7510801175185</v>
      </c>
      <c r="Q1557" s="261">
        <v>1</v>
      </c>
      <c r="R1557" s="94"/>
    </row>
    <row r="1558" spans="1:18" x14ac:dyDescent="0.25">
      <c r="A1558" s="367">
        <v>44247</v>
      </c>
      <c r="B1558" s="367" t="s">
        <v>279</v>
      </c>
      <c r="C1558" s="279" t="s">
        <v>673</v>
      </c>
      <c r="D1558" s="159" t="s">
        <v>1154</v>
      </c>
      <c r="E1558" s="45">
        <f t="shared" si="120"/>
        <v>44247</v>
      </c>
      <c r="F1558" s="148" t="str">
        <f t="shared" si="122"/>
        <v>2020-21</v>
      </c>
      <c r="G1558" s="1"/>
      <c r="H1558" s="163"/>
      <c r="I1558" s="37"/>
      <c r="J1558" s="138">
        <f t="shared" si="121"/>
        <v>0.77968490742404351</v>
      </c>
      <c r="K1558" s="114"/>
      <c r="L1558" s="37">
        <v>1.9993941582400001</v>
      </c>
      <c r="M1558" s="37" t="s">
        <v>142</v>
      </c>
      <c r="N1558" s="37">
        <v>1181.2618378536583</v>
      </c>
      <c r="O1558" s="132">
        <f t="shared" si="123"/>
        <v>2361.8080179564508</v>
      </c>
      <c r="P1558" s="134">
        <f t="shared" si="124"/>
        <v>1841.4660658337391</v>
      </c>
      <c r="Q1558" s="261">
        <v>1</v>
      </c>
      <c r="R1558" s="94"/>
    </row>
    <row r="1559" spans="1:18" x14ac:dyDescent="0.25">
      <c r="A1559" s="367">
        <v>44247</v>
      </c>
      <c r="B1559" s="367" t="s">
        <v>279</v>
      </c>
      <c r="C1559" s="279" t="s">
        <v>673</v>
      </c>
      <c r="D1559" s="159" t="s">
        <v>1154</v>
      </c>
      <c r="E1559" s="45">
        <f t="shared" ref="E1559:E1622" si="125">IF(A1559&lt;2022,DATEVALUE("30 Jun "&amp;A1559),A1559)</f>
        <v>44247</v>
      </c>
      <c r="F1559" s="148" t="str">
        <f t="shared" si="122"/>
        <v>2020-21</v>
      </c>
      <c r="G1559" s="1"/>
      <c r="H1559" s="163"/>
      <c r="I1559" s="37"/>
      <c r="J1559" s="138">
        <f t="shared" si="121"/>
        <v>0.77968490742404351</v>
      </c>
      <c r="K1559" s="114"/>
      <c r="L1559" s="37">
        <v>2.6890451848299999</v>
      </c>
      <c r="M1559" s="37" t="s">
        <v>142</v>
      </c>
      <c r="N1559" s="37">
        <v>1003.0093919999996</v>
      </c>
      <c r="O1559" s="132">
        <f t="shared" si="123"/>
        <v>2697.1375758968647</v>
      </c>
      <c r="P1559" s="134">
        <f t="shared" si="124"/>
        <v>2102.9174611730559</v>
      </c>
      <c r="Q1559" s="261">
        <v>1</v>
      </c>
      <c r="R1559" s="94"/>
    </row>
    <row r="1560" spans="1:18" x14ac:dyDescent="0.25">
      <c r="A1560" s="367">
        <v>40719</v>
      </c>
      <c r="B1560" s="367" t="s">
        <v>279</v>
      </c>
      <c r="C1560" s="279" t="s">
        <v>675</v>
      </c>
      <c r="D1560" s="159" t="s">
        <v>1149</v>
      </c>
      <c r="E1560" s="45">
        <f t="shared" si="125"/>
        <v>40719</v>
      </c>
      <c r="F1560" s="148" t="str">
        <f t="shared" si="122"/>
        <v>2010-11</v>
      </c>
      <c r="G1560" s="1"/>
      <c r="H1560" s="163"/>
      <c r="I1560" s="37"/>
      <c r="J1560" s="138">
        <f t="shared" ref="J1560:J1623" si="126">J1559</f>
        <v>0.77968490742404351</v>
      </c>
      <c r="K1560" s="114"/>
      <c r="L1560" s="37">
        <v>84.049907499599996</v>
      </c>
      <c r="M1560" s="37" t="s">
        <v>142</v>
      </c>
      <c r="N1560" s="37">
        <v>696.6467060487804</v>
      </c>
      <c r="O1560" s="132">
        <f t="shared" si="123"/>
        <v>58553.091203301025</v>
      </c>
      <c r="P1560" s="134">
        <f t="shared" si="124"/>
        <v>45652.961494237337</v>
      </c>
      <c r="Q1560" s="261">
        <v>1</v>
      </c>
      <c r="R1560" s="94"/>
    </row>
    <row r="1561" spans="1:18" x14ac:dyDescent="0.25">
      <c r="A1561" s="367">
        <v>40719</v>
      </c>
      <c r="B1561" s="367" t="s">
        <v>279</v>
      </c>
      <c r="C1561" s="279" t="s">
        <v>675</v>
      </c>
      <c r="D1561" s="159" t="s">
        <v>1148</v>
      </c>
      <c r="E1561" s="45">
        <f t="shared" si="125"/>
        <v>40719</v>
      </c>
      <c r="F1561" s="148" t="str">
        <f t="shared" si="122"/>
        <v>2010-11</v>
      </c>
      <c r="G1561" s="1"/>
      <c r="H1561" s="163"/>
      <c r="I1561" s="37"/>
      <c r="J1561" s="138">
        <f t="shared" si="126"/>
        <v>0.77968490742404351</v>
      </c>
      <c r="K1561" s="114"/>
      <c r="L1561" s="37">
        <v>0.50018896429199999</v>
      </c>
      <c r="M1561" s="37" t="s">
        <v>142</v>
      </c>
      <c r="N1561" s="37">
        <v>696.6467060487804</v>
      </c>
      <c r="O1561" s="132">
        <f t="shared" si="123"/>
        <v>348.45499437597283</v>
      </c>
      <c r="P1561" s="134">
        <f t="shared" si="124"/>
        <v>271.685100031476</v>
      </c>
      <c r="Q1561" s="261">
        <v>1</v>
      </c>
      <c r="R1561" s="94"/>
    </row>
    <row r="1562" spans="1:18" x14ac:dyDescent="0.25">
      <c r="A1562" s="367">
        <v>40719</v>
      </c>
      <c r="B1562" s="367" t="s">
        <v>279</v>
      </c>
      <c r="C1562" s="279" t="s">
        <v>675</v>
      </c>
      <c r="D1562" s="159" t="s">
        <v>1155</v>
      </c>
      <c r="E1562" s="45">
        <f t="shared" si="125"/>
        <v>40719</v>
      </c>
      <c r="F1562" s="148" t="str">
        <f t="shared" si="122"/>
        <v>2010-11</v>
      </c>
      <c r="G1562" s="1"/>
      <c r="H1562" s="163"/>
      <c r="I1562" s="37"/>
      <c r="J1562" s="138">
        <f t="shared" si="126"/>
        <v>0.77968490742404351</v>
      </c>
      <c r="K1562" s="114"/>
      <c r="L1562" s="37">
        <v>38.367410884800002</v>
      </c>
      <c r="M1562" s="37" t="s">
        <v>142</v>
      </c>
      <c r="N1562" s="37">
        <v>965.92878048780472</v>
      </c>
      <c r="O1562" s="132">
        <f t="shared" si="123"/>
        <v>37060.186406429391</v>
      </c>
      <c r="P1562" s="134">
        <f t="shared" si="124"/>
        <v>28895.268007414696</v>
      </c>
      <c r="Q1562" s="261">
        <v>1</v>
      </c>
      <c r="R1562" s="94"/>
    </row>
    <row r="1563" spans="1:18" x14ac:dyDescent="0.25">
      <c r="A1563" s="367">
        <v>40719</v>
      </c>
      <c r="B1563" s="367" t="s">
        <v>279</v>
      </c>
      <c r="C1563" s="279" t="s">
        <v>675</v>
      </c>
      <c r="D1563" s="159" t="s">
        <v>1155</v>
      </c>
      <c r="E1563" s="45">
        <f t="shared" si="125"/>
        <v>40719</v>
      </c>
      <c r="F1563" s="148" t="str">
        <f t="shared" si="122"/>
        <v>2010-11</v>
      </c>
      <c r="G1563" s="1"/>
      <c r="H1563" s="163"/>
      <c r="I1563" s="37"/>
      <c r="J1563" s="138">
        <f t="shared" si="126"/>
        <v>0.77968490742404351</v>
      </c>
      <c r="K1563" s="114"/>
      <c r="L1563" s="37">
        <v>3.37167017785</v>
      </c>
      <c r="M1563" s="37" t="s">
        <v>142</v>
      </c>
      <c r="N1563" s="37">
        <v>696.6467060487804</v>
      </c>
      <c r="O1563" s="132">
        <f t="shared" si="123"/>
        <v>2348.8629232821081</v>
      </c>
      <c r="P1563" s="134">
        <f t="shared" si="124"/>
        <v>1831.3729708909786</v>
      </c>
      <c r="Q1563" s="261">
        <v>1</v>
      </c>
      <c r="R1563" s="94"/>
    </row>
    <row r="1564" spans="1:18" x14ac:dyDescent="0.25">
      <c r="A1564" s="367">
        <v>40169</v>
      </c>
      <c r="B1564" s="367" t="s">
        <v>279</v>
      </c>
      <c r="C1564" s="279" t="s">
        <v>676</v>
      </c>
      <c r="D1564" s="159" t="s">
        <v>1155</v>
      </c>
      <c r="E1564" s="45">
        <f t="shared" si="125"/>
        <v>40169</v>
      </c>
      <c r="F1564" s="148" t="str">
        <f t="shared" si="122"/>
        <v>2009-10</v>
      </c>
      <c r="G1564" s="1"/>
      <c r="H1564" s="163"/>
      <c r="I1564" s="37"/>
      <c r="J1564" s="138">
        <f t="shared" si="126"/>
        <v>0.77968490742404351</v>
      </c>
      <c r="K1564" s="114"/>
      <c r="L1564" s="37">
        <v>85.208547954300002</v>
      </c>
      <c r="M1564" s="37" t="s">
        <v>142</v>
      </c>
      <c r="N1564" s="37">
        <v>1128.7084557073169</v>
      </c>
      <c r="O1564" s="132">
        <f t="shared" si="123"/>
        <v>96175.608574560814</v>
      </c>
      <c r="P1564" s="134">
        <f t="shared" si="124"/>
        <v>74986.67046790749</v>
      </c>
      <c r="Q1564" s="261">
        <v>1</v>
      </c>
      <c r="R1564" s="94"/>
    </row>
    <row r="1565" spans="1:18" x14ac:dyDescent="0.25">
      <c r="A1565" s="367">
        <v>40169</v>
      </c>
      <c r="B1565" s="367" t="s">
        <v>279</v>
      </c>
      <c r="C1565" s="279" t="s">
        <v>676</v>
      </c>
      <c r="D1565" s="159" t="s">
        <v>1155</v>
      </c>
      <c r="E1565" s="45">
        <f t="shared" si="125"/>
        <v>40169</v>
      </c>
      <c r="F1565" s="148" t="str">
        <f t="shared" si="122"/>
        <v>2009-10</v>
      </c>
      <c r="G1565" s="1"/>
      <c r="H1565" s="163"/>
      <c r="I1565" s="37"/>
      <c r="J1565" s="138">
        <f t="shared" si="126"/>
        <v>0.77968490742404351</v>
      </c>
      <c r="K1565" s="114"/>
      <c r="L1565" s="37">
        <v>21.141637235600001</v>
      </c>
      <c r="M1565" s="37" t="s">
        <v>142</v>
      </c>
      <c r="N1565" s="37">
        <v>1128.7084557073169</v>
      </c>
      <c r="O1565" s="132">
        <f t="shared" si="123"/>
        <v>23862.744715318386</v>
      </c>
      <c r="P1565" s="134">
        <f t="shared" si="124"/>
        <v>18605.421904246599</v>
      </c>
      <c r="Q1565" s="261">
        <v>1</v>
      </c>
      <c r="R1565" s="94"/>
    </row>
    <row r="1566" spans="1:18" x14ac:dyDescent="0.25">
      <c r="A1566" s="367">
        <v>40169</v>
      </c>
      <c r="B1566" s="367" t="s">
        <v>279</v>
      </c>
      <c r="C1566" s="279" t="s">
        <v>676</v>
      </c>
      <c r="D1566" s="159" t="s">
        <v>1155</v>
      </c>
      <c r="E1566" s="45">
        <f t="shared" si="125"/>
        <v>40169</v>
      </c>
      <c r="F1566" s="148" t="str">
        <f t="shared" si="122"/>
        <v>2009-10</v>
      </c>
      <c r="G1566" s="1"/>
      <c r="H1566" s="163"/>
      <c r="I1566" s="37"/>
      <c r="J1566" s="138">
        <f t="shared" si="126"/>
        <v>0.77968490742404351</v>
      </c>
      <c r="K1566" s="114"/>
      <c r="L1566" s="37">
        <v>3.99791154509</v>
      </c>
      <c r="M1566" s="37" t="s">
        <v>142</v>
      </c>
      <c r="N1566" s="37">
        <v>1128.7084557073169</v>
      </c>
      <c r="O1566" s="132">
        <f t="shared" si="123"/>
        <v>4512.4765661129877</v>
      </c>
      <c r="P1566" s="134">
        <f t="shared" si="124"/>
        <v>3518.3098737029704</v>
      </c>
      <c r="Q1566" s="261">
        <v>1</v>
      </c>
      <c r="R1566" s="94"/>
    </row>
    <row r="1567" spans="1:18" x14ac:dyDescent="0.25">
      <c r="A1567" s="367">
        <v>40169</v>
      </c>
      <c r="B1567" s="367" t="s">
        <v>279</v>
      </c>
      <c r="C1567" s="279" t="s">
        <v>676</v>
      </c>
      <c r="D1567" s="159" t="s">
        <v>1155</v>
      </c>
      <c r="E1567" s="45">
        <f t="shared" si="125"/>
        <v>40169</v>
      </c>
      <c r="F1567" s="148" t="str">
        <f t="shared" si="122"/>
        <v>2009-10</v>
      </c>
      <c r="G1567" s="1"/>
      <c r="H1567" s="163"/>
      <c r="I1567" s="37"/>
      <c r="J1567" s="138">
        <f t="shared" si="126"/>
        <v>0.77968490742404351</v>
      </c>
      <c r="K1567" s="114"/>
      <c r="L1567" s="37">
        <v>3.9997611479900002</v>
      </c>
      <c r="M1567" s="37" t="s">
        <v>142</v>
      </c>
      <c r="N1567" s="37">
        <v>771.6404230243902</v>
      </c>
      <c r="O1567" s="132">
        <f t="shared" si="123"/>
        <v>3086.3773842315245</v>
      </c>
      <c r="P1567" s="134">
        <f t="shared" si="124"/>
        <v>2406.4018651002179</v>
      </c>
      <c r="Q1567" s="261">
        <v>1</v>
      </c>
      <c r="R1567" s="94"/>
    </row>
    <row r="1568" spans="1:18" x14ac:dyDescent="0.25">
      <c r="A1568" s="367">
        <v>40169</v>
      </c>
      <c r="B1568" s="367" t="s">
        <v>279</v>
      </c>
      <c r="C1568" s="279" t="s">
        <v>676</v>
      </c>
      <c r="D1568" s="159" t="s">
        <v>1155</v>
      </c>
      <c r="E1568" s="45">
        <f t="shared" si="125"/>
        <v>40169</v>
      </c>
      <c r="F1568" s="148" t="str">
        <f t="shared" si="122"/>
        <v>2009-10</v>
      </c>
      <c r="G1568" s="1"/>
      <c r="H1568" s="163"/>
      <c r="I1568" s="37"/>
      <c r="J1568" s="138">
        <f t="shared" si="126"/>
        <v>0.77968490742404351</v>
      </c>
      <c r="K1568" s="114"/>
      <c r="L1568" s="37">
        <v>5.3999104061900001</v>
      </c>
      <c r="M1568" s="37" t="s">
        <v>142</v>
      </c>
      <c r="N1568" s="37">
        <v>1128.7084557073169</v>
      </c>
      <c r="O1568" s="132">
        <f t="shared" si="123"/>
        <v>6094.9245355285857</v>
      </c>
      <c r="P1568" s="134">
        <f t="shared" si="124"/>
        <v>4752.1206722401366</v>
      </c>
      <c r="Q1568" s="261">
        <v>1</v>
      </c>
      <c r="R1568" s="94"/>
    </row>
    <row r="1569" spans="1:18" x14ac:dyDescent="0.25">
      <c r="A1569" s="367">
        <v>40422</v>
      </c>
      <c r="B1569" s="367" t="s">
        <v>279</v>
      </c>
      <c r="C1569" s="279" t="s">
        <v>677</v>
      </c>
      <c r="D1569" s="159" t="s">
        <v>1150</v>
      </c>
      <c r="E1569" s="45">
        <f t="shared" si="125"/>
        <v>40422</v>
      </c>
      <c r="F1569" s="148" t="str">
        <f t="shared" si="122"/>
        <v>2010-11</v>
      </c>
      <c r="G1569" s="1"/>
      <c r="H1569" s="163"/>
      <c r="I1569" s="37"/>
      <c r="J1569" s="138">
        <f t="shared" si="126"/>
        <v>0.77968490742404351</v>
      </c>
      <c r="K1569" s="114"/>
      <c r="L1569" s="37">
        <v>2.3992473041400002</v>
      </c>
      <c r="M1569" s="37" t="s">
        <v>142</v>
      </c>
      <c r="N1569" s="37">
        <v>696.6467060487804</v>
      </c>
      <c r="O1569" s="132">
        <f t="shared" si="123"/>
        <v>1671.4277314255476</v>
      </c>
      <c r="P1569" s="134">
        <f t="shared" si="124"/>
        <v>1303.186976042507</v>
      </c>
      <c r="Q1569" s="261">
        <v>1</v>
      </c>
      <c r="R1569" s="94"/>
    </row>
    <row r="1570" spans="1:18" x14ac:dyDescent="0.25">
      <c r="A1570" s="367">
        <v>40422</v>
      </c>
      <c r="B1570" s="367" t="s">
        <v>279</v>
      </c>
      <c r="C1570" s="279" t="s">
        <v>677</v>
      </c>
      <c r="D1570" s="159" t="s">
        <v>1150</v>
      </c>
      <c r="E1570" s="45">
        <f t="shared" si="125"/>
        <v>40422</v>
      </c>
      <c r="F1570" s="148" t="str">
        <f t="shared" si="122"/>
        <v>2010-11</v>
      </c>
      <c r="G1570" s="1"/>
      <c r="H1570" s="163"/>
      <c r="I1570" s="37"/>
      <c r="J1570" s="138">
        <f t="shared" si="126"/>
        <v>0.77968490742404351</v>
      </c>
      <c r="K1570" s="114"/>
      <c r="L1570" s="37">
        <v>6.4208925612399996</v>
      </c>
      <c r="M1570" s="37" t="s">
        <v>142</v>
      </c>
      <c r="N1570" s="37">
        <v>696.6467060487804</v>
      </c>
      <c r="O1570" s="132">
        <f t="shared" si="123"/>
        <v>4473.0936526809628</v>
      </c>
      <c r="P1570" s="134">
        <f t="shared" si="124"/>
        <v>3487.603610489633</v>
      </c>
      <c r="Q1570" s="261">
        <v>1</v>
      </c>
      <c r="R1570" s="94"/>
    </row>
    <row r="1571" spans="1:18" x14ac:dyDescent="0.25">
      <c r="A1571" s="367">
        <v>40169</v>
      </c>
      <c r="B1571" s="367" t="s">
        <v>279</v>
      </c>
      <c r="C1571" s="279" t="s">
        <v>676</v>
      </c>
      <c r="D1571" s="159" t="s">
        <v>1155</v>
      </c>
      <c r="E1571" s="45">
        <f t="shared" si="125"/>
        <v>40169</v>
      </c>
      <c r="F1571" s="148" t="str">
        <f t="shared" si="122"/>
        <v>2009-10</v>
      </c>
      <c r="G1571" s="1"/>
      <c r="H1571" s="163"/>
      <c r="I1571" s="37"/>
      <c r="J1571" s="138">
        <f t="shared" si="126"/>
        <v>0.77968490742404351</v>
      </c>
      <c r="K1571" s="114"/>
      <c r="L1571" s="37">
        <v>203.53239434899999</v>
      </c>
      <c r="M1571" s="37" t="s">
        <v>142</v>
      </c>
      <c r="N1571" s="37">
        <v>1128.7084557073169</v>
      </c>
      <c r="O1571" s="132">
        <f t="shared" si="123"/>
        <v>229728.73451207241</v>
      </c>
      <c r="P1571" s="134">
        <f t="shared" si="124"/>
        <v>179116.02710068785</v>
      </c>
      <c r="Q1571" s="261">
        <v>1</v>
      </c>
      <c r="R1571" s="94"/>
    </row>
    <row r="1572" spans="1:18" x14ac:dyDescent="0.25">
      <c r="A1572" s="367">
        <v>40169</v>
      </c>
      <c r="B1572" s="367" t="s">
        <v>279</v>
      </c>
      <c r="C1572" s="279" t="s">
        <v>676</v>
      </c>
      <c r="D1572" s="159" t="s">
        <v>1155</v>
      </c>
      <c r="E1572" s="45">
        <f t="shared" si="125"/>
        <v>40169</v>
      </c>
      <c r="F1572" s="148" t="str">
        <f t="shared" si="122"/>
        <v>2009-10</v>
      </c>
      <c r="G1572" s="1"/>
      <c r="H1572" s="163"/>
      <c r="I1572" s="37"/>
      <c r="J1572" s="138">
        <f t="shared" si="126"/>
        <v>0.77968490742404351</v>
      </c>
      <c r="K1572" s="114"/>
      <c r="L1572" s="37">
        <v>67.133130886700002</v>
      </c>
      <c r="M1572" s="37" t="s">
        <v>142</v>
      </c>
      <c r="N1572" s="37">
        <v>1128.7084557073169</v>
      </c>
      <c r="O1572" s="132">
        <f t="shared" si="123"/>
        <v>75773.732489924339</v>
      </c>
      <c r="P1572" s="134">
        <f t="shared" si="124"/>
        <v>59079.6356015809</v>
      </c>
      <c r="Q1572" s="261">
        <v>1</v>
      </c>
      <c r="R1572" s="94"/>
    </row>
    <row r="1573" spans="1:18" x14ac:dyDescent="0.25">
      <c r="A1573" s="367">
        <v>40169</v>
      </c>
      <c r="B1573" s="367" t="s">
        <v>279</v>
      </c>
      <c r="C1573" s="279" t="s">
        <v>676</v>
      </c>
      <c r="D1573" s="159" t="s">
        <v>1155</v>
      </c>
      <c r="E1573" s="45">
        <f t="shared" si="125"/>
        <v>40169</v>
      </c>
      <c r="F1573" s="148" t="str">
        <f t="shared" si="122"/>
        <v>2009-10</v>
      </c>
      <c r="G1573" s="1"/>
      <c r="H1573" s="163"/>
      <c r="I1573" s="37"/>
      <c r="J1573" s="138">
        <f t="shared" si="126"/>
        <v>0.77968490742404351</v>
      </c>
      <c r="K1573" s="114"/>
      <c r="L1573" s="37">
        <v>4.0000634438500002</v>
      </c>
      <c r="M1573" s="37" t="s">
        <v>142</v>
      </c>
      <c r="N1573" s="37">
        <v>1128.7084557073169</v>
      </c>
      <c r="O1573" s="132">
        <f t="shared" si="123"/>
        <v>4514.9054324392255</v>
      </c>
      <c r="P1573" s="134">
        <f t="shared" si="124"/>
        <v>3520.2036241196888</v>
      </c>
      <c r="Q1573" s="261">
        <v>1</v>
      </c>
      <c r="R1573" s="94"/>
    </row>
    <row r="1574" spans="1:18" x14ac:dyDescent="0.25">
      <c r="A1574" s="367">
        <v>40169</v>
      </c>
      <c r="B1574" s="367" t="s">
        <v>279</v>
      </c>
      <c r="C1574" s="279" t="s">
        <v>676</v>
      </c>
      <c r="D1574" s="159" t="s">
        <v>1155</v>
      </c>
      <c r="E1574" s="45">
        <f t="shared" si="125"/>
        <v>40169</v>
      </c>
      <c r="F1574" s="148" t="str">
        <f t="shared" si="122"/>
        <v>2009-10</v>
      </c>
      <c r="G1574" s="1"/>
      <c r="H1574" s="163"/>
      <c r="I1574" s="37"/>
      <c r="J1574" s="138">
        <f t="shared" si="126"/>
        <v>0.77968490742404351</v>
      </c>
      <c r="K1574" s="114"/>
      <c r="L1574" s="37">
        <v>4.3988346191599996</v>
      </c>
      <c r="M1574" s="37" t="s">
        <v>142</v>
      </c>
      <c r="N1574" s="37">
        <v>1128.7084557073169</v>
      </c>
      <c r="O1574" s="132">
        <f t="shared" si="123"/>
        <v>4965.0018299039666</v>
      </c>
      <c r="P1574" s="134">
        <f t="shared" si="124"/>
        <v>3871.1369921088808</v>
      </c>
      <c r="Q1574" s="261">
        <v>1</v>
      </c>
      <c r="R1574" s="94"/>
    </row>
    <row r="1575" spans="1:18" x14ac:dyDescent="0.25">
      <c r="A1575" s="367">
        <v>40169</v>
      </c>
      <c r="B1575" s="367" t="s">
        <v>279</v>
      </c>
      <c r="C1575" s="279" t="s">
        <v>676</v>
      </c>
      <c r="D1575" s="159" t="s">
        <v>1155</v>
      </c>
      <c r="E1575" s="45">
        <f t="shared" si="125"/>
        <v>40169</v>
      </c>
      <c r="F1575" s="148" t="str">
        <f t="shared" si="122"/>
        <v>2009-10</v>
      </c>
      <c r="G1575" s="1"/>
      <c r="H1575" s="163"/>
      <c r="I1575" s="37"/>
      <c r="J1575" s="138">
        <f t="shared" si="126"/>
        <v>0.77968490742404351</v>
      </c>
      <c r="K1575" s="114"/>
      <c r="L1575" s="37">
        <v>175.84702983299999</v>
      </c>
      <c r="M1575" s="37" t="s">
        <v>142</v>
      </c>
      <c r="N1575" s="37">
        <v>1128.7084557073169</v>
      </c>
      <c r="O1575" s="132">
        <f t="shared" si="123"/>
        <v>198480.02948352392</v>
      </c>
      <c r="P1575" s="134">
        <f t="shared" si="124"/>
        <v>154751.88341338278</v>
      </c>
      <c r="Q1575" s="261">
        <v>1</v>
      </c>
      <c r="R1575" s="94"/>
    </row>
    <row r="1576" spans="1:18" x14ac:dyDescent="0.25">
      <c r="A1576" s="367">
        <v>39799</v>
      </c>
      <c r="B1576" s="367" t="s">
        <v>279</v>
      </c>
      <c r="C1576" s="279" t="s">
        <v>678</v>
      </c>
      <c r="D1576" s="159" t="s">
        <v>1156</v>
      </c>
      <c r="E1576" s="45">
        <f t="shared" si="125"/>
        <v>39799</v>
      </c>
      <c r="F1576" s="148" t="str">
        <f t="shared" si="122"/>
        <v>2008-09</v>
      </c>
      <c r="G1576" s="1"/>
      <c r="H1576" s="163"/>
      <c r="I1576" s="37"/>
      <c r="J1576" s="138">
        <f t="shared" si="126"/>
        <v>0.77968490742404351</v>
      </c>
      <c r="K1576" s="114"/>
      <c r="L1576" s="37">
        <v>12.9990290632</v>
      </c>
      <c r="M1576" s="37" t="s">
        <v>142</v>
      </c>
      <c r="N1576" s="37">
        <v>1422.8466506341463</v>
      </c>
      <c r="O1576" s="132">
        <f t="shared" si="123"/>
        <v>18495.624964070044</v>
      </c>
      <c r="P1576" s="134">
        <f t="shared" si="124"/>
        <v>14420.759637860781</v>
      </c>
      <c r="Q1576" s="261">
        <v>1</v>
      </c>
      <c r="R1576" s="94"/>
    </row>
    <row r="1577" spans="1:18" x14ac:dyDescent="0.25">
      <c r="A1577" s="367">
        <v>39799</v>
      </c>
      <c r="B1577" s="367" t="s">
        <v>279</v>
      </c>
      <c r="C1577" s="279" t="s">
        <v>678</v>
      </c>
      <c r="D1577" s="159" t="s">
        <v>1153</v>
      </c>
      <c r="E1577" s="45">
        <f t="shared" si="125"/>
        <v>39799</v>
      </c>
      <c r="F1577" s="148" t="str">
        <f t="shared" si="122"/>
        <v>2008-09</v>
      </c>
      <c r="G1577" s="1"/>
      <c r="H1577" s="163"/>
      <c r="I1577" s="37"/>
      <c r="J1577" s="138">
        <f t="shared" si="126"/>
        <v>0.77968490742404351</v>
      </c>
      <c r="K1577" s="114"/>
      <c r="L1577" s="37">
        <v>15.7941158846</v>
      </c>
      <c r="M1577" s="37" t="s">
        <v>142</v>
      </c>
      <c r="N1577" s="37">
        <v>1181.2618378536583</v>
      </c>
      <c r="O1577" s="132">
        <f t="shared" si="123"/>
        <v>18656.986357116253</v>
      </c>
      <c r="P1577" s="134">
        <f t="shared" si="124"/>
        <v>14546.570680659828</v>
      </c>
      <c r="Q1577" s="261">
        <v>1</v>
      </c>
      <c r="R1577" s="94"/>
    </row>
    <row r="1578" spans="1:18" x14ac:dyDescent="0.25">
      <c r="A1578" s="367">
        <v>39799</v>
      </c>
      <c r="B1578" s="367" t="s">
        <v>279</v>
      </c>
      <c r="C1578" s="279" t="s">
        <v>678</v>
      </c>
      <c r="D1578" s="159" t="s">
        <v>1153</v>
      </c>
      <c r="E1578" s="45">
        <f t="shared" si="125"/>
        <v>39799</v>
      </c>
      <c r="F1578" s="148" t="str">
        <f t="shared" si="122"/>
        <v>2008-09</v>
      </c>
      <c r="G1578" s="1"/>
      <c r="H1578" s="163"/>
      <c r="I1578" s="37"/>
      <c r="J1578" s="138">
        <f t="shared" si="126"/>
        <v>0.77968490742404351</v>
      </c>
      <c r="K1578" s="114"/>
      <c r="L1578" s="37">
        <v>210.00153688899999</v>
      </c>
      <c r="M1578" s="37" t="s">
        <v>142</v>
      </c>
      <c r="N1578" s="37">
        <v>1512.3320841951218</v>
      </c>
      <c r="O1578" s="132">
        <f t="shared" si="123"/>
        <v>317592.0619675201</v>
      </c>
      <c r="P1578" s="134">
        <f t="shared" si="124"/>
        <v>247621.73743375699</v>
      </c>
      <c r="Q1578" s="261">
        <v>1</v>
      </c>
      <c r="R1578" s="94"/>
    </row>
    <row r="1579" spans="1:18" x14ac:dyDescent="0.25">
      <c r="A1579" s="367">
        <v>39799</v>
      </c>
      <c r="B1579" s="367" t="s">
        <v>279</v>
      </c>
      <c r="C1579" s="279" t="s">
        <v>678</v>
      </c>
      <c r="D1579" s="159" t="s">
        <v>1153</v>
      </c>
      <c r="E1579" s="45">
        <f t="shared" si="125"/>
        <v>39799</v>
      </c>
      <c r="F1579" s="148" t="str">
        <f t="shared" si="122"/>
        <v>2008-09</v>
      </c>
      <c r="G1579" s="1"/>
      <c r="H1579" s="163"/>
      <c r="I1579" s="37"/>
      <c r="J1579" s="138">
        <f t="shared" si="126"/>
        <v>0.77968490742404351</v>
      </c>
      <c r="K1579" s="114"/>
      <c r="L1579" s="37">
        <v>3.62620600775</v>
      </c>
      <c r="M1579" s="37" t="s">
        <v>142</v>
      </c>
      <c r="N1579" s="37">
        <v>1422.8466506341463</v>
      </c>
      <c r="O1579" s="132">
        <f t="shared" si="123"/>
        <v>5159.5350726365068</v>
      </c>
      <c r="P1579" s="134">
        <f t="shared" si="124"/>
        <v>4022.8116254597003</v>
      </c>
      <c r="Q1579" s="261">
        <v>1</v>
      </c>
      <c r="R1579" s="94"/>
    </row>
    <row r="1580" spans="1:18" x14ac:dyDescent="0.25">
      <c r="A1580" s="367">
        <v>39799</v>
      </c>
      <c r="B1580" s="367" t="s">
        <v>279</v>
      </c>
      <c r="C1580" s="279" t="s">
        <v>678</v>
      </c>
      <c r="D1580" s="159" t="s">
        <v>1153</v>
      </c>
      <c r="E1580" s="45">
        <f t="shared" si="125"/>
        <v>39799</v>
      </c>
      <c r="F1580" s="148" t="str">
        <f t="shared" si="122"/>
        <v>2008-09</v>
      </c>
      <c r="G1580" s="1"/>
      <c r="H1580" s="163"/>
      <c r="I1580" s="37"/>
      <c r="J1580" s="138">
        <f t="shared" si="126"/>
        <v>0.77968490742404351</v>
      </c>
      <c r="K1580" s="114"/>
      <c r="L1580" s="37">
        <v>6.99940126011</v>
      </c>
      <c r="M1580" s="37" t="s">
        <v>142</v>
      </c>
      <c r="N1580" s="37">
        <v>1422.8466506341463</v>
      </c>
      <c r="O1580" s="132">
        <f t="shared" si="123"/>
        <v>9959.0746393919362</v>
      </c>
      <c r="P1580" s="134">
        <f t="shared" si="124"/>
        <v>7764.9401882434413</v>
      </c>
      <c r="Q1580" s="261">
        <v>1</v>
      </c>
      <c r="R1580" s="94"/>
    </row>
    <row r="1581" spans="1:18" x14ac:dyDescent="0.25">
      <c r="A1581" s="367">
        <v>39799</v>
      </c>
      <c r="B1581" s="367" t="s">
        <v>279</v>
      </c>
      <c r="C1581" s="279" t="s">
        <v>678</v>
      </c>
      <c r="D1581" s="159" t="s">
        <v>1153</v>
      </c>
      <c r="E1581" s="45">
        <f t="shared" si="125"/>
        <v>39799</v>
      </c>
      <c r="F1581" s="148" t="str">
        <f t="shared" si="122"/>
        <v>2008-09</v>
      </c>
      <c r="G1581" s="1"/>
      <c r="H1581" s="163"/>
      <c r="I1581" s="37"/>
      <c r="J1581" s="138">
        <f t="shared" si="126"/>
        <v>0.77968490742404351</v>
      </c>
      <c r="K1581" s="114"/>
      <c r="L1581" s="37">
        <v>4.37322087146</v>
      </c>
      <c r="M1581" s="37" t="s">
        <v>142</v>
      </c>
      <c r="N1581" s="37">
        <v>1422.8466506341463</v>
      </c>
      <c r="O1581" s="132">
        <f t="shared" si="123"/>
        <v>6222.4226694402032</v>
      </c>
      <c r="P1581" s="134">
        <f t="shared" si="124"/>
        <v>4851.5290429757542</v>
      </c>
      <c r="Q1581" s="261">
        <v>1</v>
      </c>
      <c r="R1581" s="94"/>
    </row>
    <row r="1582" spans="1:18" x14ac:dyDescent="0.25">
      <c r="A1582" s="367">
        <v>39799</v>
      </c>
      <c r="B1582" s="367" t="s">
        <v>279</v>
      </c>
      <c r="C1582" s="279" t="s">
        <v>678</v>
      </c>
      <c r="D1582" s="159" t="s">
        <v>1153</v>
      </c>
      <c r="E1582" s="45">
        <f t="shared" si="125"/>
        <v>39799</v>
      </c>
      <c r="F1582" s="148" t="str">
        <f t="shared" si="122"/>
        <v>2008-09</v>
      </c>
      <c r="G1582" s="1"/>
      <c r="H1582" s="163"/>
      <c r="I1582" s="37"/>
      <c r="J1582" s="138">
        <f t="shared" si="126"/>
        <v>0.77968490742404351</v>
      </c>
      <c r="K1582" s="114"/>
      <c r="L1582" s="37">
        <v>85.170470678800001</v>
      </c>
      <c r="M1582" s="37" t="s">
        <v>142</v>
      </c>
      <c r="N1582" s="37">
        <v>1385.4167692682922</v>
      </c>
      <c r="O1582" s="132">
        <f t="shared" si="123"/>
        <v>117996.59832488291</v>
      </c>
      <c r="P1582" s="134">
        <f t="shared" si="124"/>
        <v>92000.166841288388</v>
      </c>
      <c r="Q1582" s="261">
        <v>1</v>
      </c>
      <c r="R1582" s="94"/>
    </row>
    <row r="1583" spans="1:18" x14ac:dyDescent="0.25">
      <c r="A1583" s="367">
        <v>39799</v>
      </c>
      <c r="B1583" s="367" t="s">
        <v>279</v>
      </c>
      <c r="C1583" s="279" t="s">
        <v>678</v>
      </c>
      <c r="D1583" s="159" t="s">
        <v>1153</v>
      </c>
      <c r="E1583" s="45">
        <f t="shared" si="125"/>
        <v>39799</v>
      </c>
      <c r="F1583" s="148" t="str">
        <f t="shared" si="122"/>
        <v>2008-09</v>
      </c>
      <c r="G1583" s="1"/>
      <c r="H1583" s="163"/>
      <c r="I1583" s="37"/>
      <c r="J1583" s="138">
        <f t="shared" si="126"/>
        <v>0.77968490742404351</v>
      </c>
      <c r="K1583" s="114"/>
      <c r="L1583" s="37">
        <v>6.9993028366900001</v>
      </c>
      <c r="M1583" s="37" t="s">
        <v>142</v>
      </c>
      <c r="N1583" s="37">
        <v>1181.2618378536583</v>
      </c>
      <c r="O1583" s="132">
        <f t="shared" si="123"/>
        <v>8268.0093325627531</v>
      </c>
      <c r="P1583" s="134">
        <f t="shared" si="124"/>
        <v>6446.4420910403178</v>
      </c>
      <c r="Q1583" s="261">
        <v>1</v>
      </c>
      <c r="R1583" s="94"/>
    </row>
    <row r="1584" spans="1:18" x14ac:dyDescent="0.25">
      <c r="A1584" s="367">
        <v>43396</v>
      </c>
      <c r="B1584" s="367" t="s">
        <v>279</v>
      </c>
      <c r="C1584" s="279" t="s">
        <v>679</v>
      </c>
      <c r="D1584" s="159" t="s">
        <v>1157</v>
      </c>
      <c r="E1584" s="45">
        <f t="shared" si="125"/>
        <v>43396</v>
      </c>
      <c r="F1584" s="148" t="str">
        <f t="shared" si="122"/>
        <v>2018-19</v>
      </c>
      <c r="G1584" s="1"/>
      <c r="H1584" s="163"/>
      <c r="I1584" s="37"/>
      <c r="J1584" s="138">
        <f t="shared" si="126"/>
        <v>0.77968490742404351</v>
      </c>
      <c r="K1584" s="114"/>
      <c r="L1584" s="37">
        <v>393.48424559199998</v>
      </c>
      <c r="M1584" s="37" t="s">
        <v>142</v>
      </c>
      <c r="N1584" s="37">
        <v>1422.8419512195119</v>
      </c>
      <c r="O1584" s="132">
        <f t="shared" si="123"/>
        <v>559865.89177225891</v>
      </c>
      <c r="P1584" s="134">
        <f t="shared" si="124"/>
        <v>436518.98599633324</v>
      </c>
      <c r="Q1584" s="261">
        <v>1</v>
      </c>
      <c r="R1584" s="94"/>
    </row>
    <row r="1585" spans="1:18" x14ac:dyDescent="0.25">
      <c r="A1585" s="367">
        <v>43396</v>
      </c>
      <c r="B1585" s="367" t="s">
        <v>279</v>
      </c>
      <c r="C1585" s="279" t="s">
        <v>679</v>
      </c>
      <c r="D1585" s="159" t="s">
        <v>1157</v>
      </c>
      <c r="E1585" s="45">
        <f t="shared" si="125"/>
        <v>43396</v>
      </c>
      <c r="F1585" s="148" t="str">
        <f t="shared" si="122"/>
        <v>2018-19</v>
      </c>
      <c r="G1585" s="1"/>
      <c r="H1585" s="163"/>
      <c r="I1585" s="37"/>
      <c r="J1585" s="138">
        <f t="shared" si="126"/>
        <v>0.77968490742404351</v>
      </c>
      <c r="K1585" s="114"/>
      <c r="L1585" s="37">
        <v>0.90028995329299999</v>
      </c>
      <c r="M1585" s="37" t="s">
        <v>142</v>
      </c>
      <c r="N1585" s="37">
        <v>2042.4585365853657</v>
      </c>
      <c r="O1585" s="132">
        <f t="shared" si="123"/>
        <v>1838.8049005053279</v>
      </c>
      <c r="P1585" s="134">
        <f t="shared" si="124"/>
        <v>1433.688428621374</v>
      </c>
      <c r="Q1585" s="261">
        <v>1</v>
      </c>
      <c r="R1585" s="94"/>
    </row>
    <row r="1586" spans="1:18" x14ac:dyDescent="0.25">
      <c r="A1586" s="367">
        <v>43396</v>
      </c>
      <c r="B1586" s="367" t="s">
        <v>279</v>
      </c>
      <c r="C1586" s="279" t="s">
        <v>679</v>
      </c>
      <c r="D1586" s="159" t="s">
        <v>1157</v>
      </c>
      <c r="E1586" s="45">
        <f t="shared" si="125"/>
        <v>43396</v>
      </c>
      <c r="F1586" s="148" t="str">
        <f t="shared" si="122"/>
        <v>2018-19</v>
      </c>
      <c r="G1586" s="1"/>
      <c r="H1586" s="163"/>
      <c r="I1586" s="37"/>
      <c r="J1586" s="138">
        <f t="shared" si="126"/>
        <v>0.77968490742404351</v>
      </c>
      <c r="K1586" s="114"/>
      <c r="L1586" s="37">
        <v>0.99963593372799997</v>
      </c>
      <c r="M1586" s="37" t="s">
        <v>142</v>
      </c>
      <c r="N1586" s="37">
        <v>2042.4585365853657</v>
      </c>
      <c r="O1586" s="132">
        <f t="shared" si="123"/>
        <v>2041.7149463202363</v>
      </c>
      <c r="P1586" s="134">
        <f t="shared" si="124"/>
        <v>1591.8943289079793</v>
      </c>
      <c r="Q1586" s="261">
        <v>1</v>
      </c>
      <c r="R1586" s="94"/>
    </row>
    <row r="1587" spans="1:18" x14ac:dyDescent="0.25">
      <c r="A1587" s="367">
        <v>43739</v>
      </c>
      <c r="B1587" s="367" t="s">
        <v>279</v>
      </c>
      <c r="C1587" s="279" t="s">
        <v>680</v>
      </c>
      <c r="D1587" s="159" t="s">
        <v>1158</v>
      </c>
      <c r="E1587" s="45">
        <f t="shared" si="125"/>
        <v>43739</v>
      </c>
      <c r="F1587" s="148" t="str">
        <f t="shared" si="122"/>
        <v>2019-20</v>
      </c>
      <c r="G1587" s="1"/>
      <c r="H1587" s="163"/>
      <c r="I1587" s="37"/>
      <c r="J1587" s="138">
        <f t="shared" si="126"/>
        <v>0.77968490742404351</v>
      </c>
      <c r="K1587" s="114"/>
      <c r="L1587" s="37">
        <v>1.5000816644399999</v>
      </c>
      <c r="M1587" s="37" t="s">
        <v>142</v>
      </c>
      <c r="N1587" s="37">
        <v>696.6467060487804</v>
      </c>
      <c r="O1587" s="132">
        <f t="shared" si="123"/>
        <v>1045.0269503362979</v>
      </c>
      <c r="P1587" s="134">
        <f t="shared" si="124"/>
        <v>814.7917410285869</v>
      </c>
      <c r="Q1587" s="261">
        <v>1</v>
      </c>
      <c r="R1587" s="94"/>
    </row>
    <row r="1588" spans="1:18" x14ac:dyDescent="0.25">
      <c r="A1588" s="367">
        <v>41707</v>
      </c>
      <c r="B1588" s="367" t="s">
        <v>279</v>
      </c>
      <c r="C1588" s="279"/>
      <c r="D1588" s="159" t="s">
        <v>1159</v>
      </c>
      <c r="E1588" s="45">
        <f t="shared" si="125"/>
        <v>41707</v>
      </c>
      <c r="F1588" s="148" t="str">
        <f t="shared" si="122"/>
        <v>2013-14</v>
      </c>
      <c r="G1588" s="1"/>
      <c r="H1588" s="163"/>
      <c r="I1588" s="37"/>
      <c r="J1588" s="138">
        <f t="shared" si="126"/>
        <v>0.77968490742404351</v>
      </c>
      <c r="K1588" s="114"/>
      <c r="L1588" s="37">
        <v>1.4999549993200001</v>
      </c>
      <c r="M1588" s="37" t="s">
        <v>142</v>
      </c>
      <c r="N1588" s="37">
        <v>771.6404230243902</v>
      </c>
      <c r="O1588" s="132">
        <f t="shared" si="123"/>
        <v>1157.4259101928337</v>
      </c>
      <c r="P1588" s="134">
        <f t="shared" si="124"/>
        <v>902.42751363888885</v>
      </c>
      <c r="Q1588" s="261">
        <v>1</v>
      </c>
      <c r="R1588" s="94"/>
    </row>
    <row r="1589" spans="1:18" x14ac:dyDescent="0.25">
      <c r="A1589" s="367">
        <v>40165</v>
      </c>
      <c r="B1589" s="367" t="s">
        <v>279</v>
      </c>
      <c r="C1589" s="279" t="s">
        <v>667</v>
      </c>
      <c r="D1589" s="159" t="s">
        <v>1145</v>
      </c>
      <c r="E1589" s="45">
        <f t="shared" si="125"/>
        <v>40165</v>
      </c>
      <c r="F1589" s="148" t="str">
        <f t="shared" si="122"/>
        <v>2009-10</v>
      </c>
      <c r="G1589" s="1"/>
      <c r="H1589" s="163"/>
      <c r="I1589" s="37"/>
      <c r="J1589" s="138">
        <f t="shared" si="126"/>
        <v>0.77968490742404351</v>
      </c>
      <c r="K1589" s="114"/>
      <c r="L1589" s="37">
        <v>443.38613414399998</v>
      </c>
      <c r="M1589" s="37" t="s">
        <v>142</v>
      </c>
      <c r="N1589" s="37">
        <v>936.5640883902438</v>
      </c>
      <c r="O1589" s="132">
        <f t="shared" si="123"/>
        <v>415259.53052944969</v>
      </c>
      <c r="P1589" s="134">
        <f t="shared" si="124"/>
        <v>323771.58861780574</v>
      </c>
      <c r="Q1589" s="261">
        <v>1</v>
      </c>
      <c r="R1589" s="94"/>
    </row>
    <row r="1590" spans="1:18" x14ac:dyDescent="0.25">
      <c r="A1590" s="367">
        <v>40165</v>
      </c>
      <c r="B1590" s="367" t="s">
        <v>279</v>
      </c>
      <c r="C1590" s="279" t="s">
        <v>667</v>
      </c>
      <c r="D1590" s="159" t="s">
        <v>1160</v>
      </c>
      <c r="E1590" s="45">
        <f t="shared" si="125"/>
        <v>40165</v>
      </c>
      <c r="F1590" s="148" t="str">
        <f t="shared" si="122"/>
        <v>2009-10</v>
      </c>
      <c r="G1590" s="1"/>
      <c r="H1590" s="163"/>
      <c r="I1590" s="37"/>
      <c r="J1590" s="138">
        <f t="shared" si="126"/>
        <v>0.77968490742404351</v>
      </c>
      <c r="K1590" s="114"/>
      <c r="L1590" s="37">
        <v>134.95007400599999</v>
      </c>
      <c r="M1590" s="37" t="s">
        <v>142</v>
      </c>
      <c r="N1590" s="37">
        <v>936.5640883902438</v>
      </c>
      <c r="O1590" s="132">
        <f t="shared" si="123"/>
        <v>126389.39303962533</v>
      </c>
      <c r="P1590" s="134">
        <f t="shared" si="124"/>
        <v>98543.902211481327</v>
      </c>
      <c r="Q1590" s="261">
        <v>1</v>
      </c>
      <c r="R1590" s="94"/>
    </row>
    <row r="1591" spans="1:18" x14ac:dyDescent="0.25">
      <c r="A1591" s="367">
        <v>40165</v>
      </c>
      <c r="B1591" s="367" t="s">
        <v>279</v>
      </c>
      <c r="C1591" s="279" t="s">
        <v>667</v>
      </c>
      <c r="D1591" s="159" t="s">
        <v>1160</v>
      </c>
      <c r="E1591" s="45">
        <f t="shared" si="125"/>
        <v>40165</v>
      </c>
      <c r="F1591" s="148" t="str">
        <f t="shared" si="122"/>
        <v>2009-10</v>
      </c>
      <c r="G1591" s="1"/>
      <c r="H1591" s="163"/>
      <c r="I1591" s="37"/>
      <c r="J1591" s="138">
        <f t="shared" si="126"/>
        <v>0.77968490742404351</v>
      </c>
      <c r="K1591" s="114"/>
      <c r="L1591" s="37">
        <v>3.3988403745400002</v>
      </c>
      <c r="M1591" s="37" t="s">
        <v>142</v>
      </c>
      <c r="N1591" s="37">
        <v>936.5640883902438</v>
      </c>
      <c r="O1591" s="132">
        <f t="shared" si="123"/>
        <v>3183.2318369650102</v>
      </c>
      <c r="P1591" s="134">
        <f t="shared" si="124"/>
        <v>2481.9178201133318</v>
      </c>
      <c r="Q1591" s="261">
        <v>1</v>
      </c>
      <c r="R1591" s="94"/>
    </row>
    <row r="1592" spans="1:18" x14ac:dyDescent="0.25">
      <c r="A1592" s="367">
        <v>40368</v>
      </c>
      <c r="B1592" s="367" t="s">
        <v>279</v>
      </c>
      <c r="C1592" s="279" t="s">
        <v>681</v>
      </c>
      <c r="D1592" s="159" t="s">
        <v>1161</v>
      </c>
      <c r="E1592" s="45">
        <f t="shared" si="125"/>
        <v>40368</v>
      </c>
      <c r="F1592" s="148" t="str">
        <f t="shared" si="122"/>
        <v>2010-11</v>
      </c>
      <c r="G1592" s="1"/>
      <c r="H1592" s="163"/>
      <c r="I1592" s="37"/>
      <c r="J1592" s="138">
        <f t="shared" si="126"/>
        <v>0.77968490742404351</v>
      </c>
      <c r="K1592" s="114"/>
      <c r="L1592" s="37">
        <v>200.91096795600001</v>
      </c>
      <c r="M1592" s="37" t="s">
        <v>142</v>
      </c>
      <c r="N1592" s="37">
        <v>1181.2618378536583</v>
      </c>
      <c r="O1592" s="132">
        <f t="shared" si="123"/>
        <v>237328.45925266203</v>
      </c>
      <c r="P1592" s="134">
        <f t="shared" si="124"/>
        <v>185041.41778150268</v>
      </c>
      <c r="Q1592" s="261">
        <v>1</v>
      </c>
      <c r="R1592" s="94"/>
    </row>
    <row r="1593" spans="1:18" x14ac:dyDescent="0.25">
      <c r="A1593" s="367">
        <v>40368</v>
      </c>
      <c r="B1593" s="367" t="s">
        <v>279</v>
      </c>
      <c r="C1593" s="279" t="s">
        <v>681</v>
      </c>
      <c r="D1593" s="159" t="s">
        <v>1161</v>
      </c>
      <c r="E1593" s="45">
        <f t="shared" si="125"/>
        <v>40368</v>
      </c>
      <c r="F1593" s="148" t="str">
        <f t="shared" si="122"/>
        <v>2010-11</v>
      </c>
      <c r="G1593" s="1"/>
      <c r="H1593" s="163"/>
      <c r="I1593" s="37"/>
      <c r="J1593" s="138">
        <f t="shared" si="126"/>
        <v>0.77968490742404351</v>
      </c>
      <c r="K1593" s="114"/>
      <c r="L1593" s="37">
        <v>286.095399773</v>
      </c>
      <c r="M1593" s="37" t="s">
        <v>142</v>
      </c>
      <c r="N1593" s="37">
        <v>1181.2618378536583</v>
      </c>
      <c r="O1593" s="132">
        <f t="shared" si="123"/>
        <v>337953.5777373311</v>
      </c>
      <c r="P1593" s="134">
        <f t="shared" si="124"/>
        <v>263497.30397175526</v>
      </c>
      <c r="Q1593" s="261">
        <v>1</v>
      </c>
      <c r="R1593" s="94"/>
    </row>
    <row r="1594" spans="1:18" x14ac:dyDescent="0.25">
      <c r="A1594" s="367">
        <v>40793</v>
      </c>
      <c r="B1594" s="367" t="s">
        <v>279</v>
      </c>
      <c r="C1594" s="279" t="s">
        <v>681</v>
      </c>
      <c r="D1594" s="159" t="s">
        <v>1161</v>
      </c>
      <c r="E1594" s="45">
        <f t="shared" si="125"/>
        <v>40793</v>
      </c>
      <c r="F1594" s="148" t="str">
        <f t="shared" si="122"/>
        <v>2011-12</v>
      </c>
      <c r="G1594" s="1"/>
      <c r="H1594" s="163"/>
      <c r="I1594" s="37"/>
      <c r="J1594" s="138">
        <f t="shared" si="126"/>
        <v>0.77968490742404351</v>
      </c>
      <c r="K1594" s="114"/>
      <c r="L1594" s="37">
        <v>33.950272828499998</v>
      </c>
      <c r="M1594" s="37" t="s">
        <v>142</v>
      </c>
      <c r="N1594" s="37">
        <v>1181.2618378536583</v>
      </c>
      <c r="O1594" s="132">
        <f t="shared" si="123"/>
        <v>40104.161677027027</v>
      </c>
      <c r="P1594" s="134">
        <f t="shared" si="124"/>
        <v>31268.609584471691</v>
      </c>
      <c r="Q1594" s="261">
        <v>1</v>
      </c>
      <c r="R1594" s="94"/>
    </row>
    <row r="1595" spans="1:18" x14ac:dyDescent="0.25">
      <c r="A1595" s="367">
        <v>40368</v>
      </c>
      <c r="B1595" s="367" t="s">
        <v>279</v>
      </c>
      <c r="C1595" s="279" t="s">
        <v>681</v>
      </c>
      <c r="D1595" s="159" t="s">
        <v>1161</v>
      </c>
      <c r="E1595" s="45">
        <f t="shared" si="125"/>
        <v>40368</v>
      </c>
      <c r="F1595" s="148" t="str">
        <f t="shared" si="122"/>
        <v>2010-11</v>
      </c>
      <c r="G1595" s="1"/>
      <c r="H1595" s="163"/>
      <c r="I1595" s="37"/>
      <c r="J1595" s="138">
        <f t="shared" si="126"/>
        <v>0.77968490742404351</v>
      </c>
      <c r="K1595" s="114"/>
      <c r="L1595" s="37">
        <v>20.619096212399999</v>
      </c>
      <c r="M1595" s="37" t="s">
        <v>142</v>
      </c>
      <c r="N1595" s="37">
        <v>1181.2618378536583</v>
      </c>
      <c r="O1595" s="132">
        <f t="shared" si="123"/>
        <v>24356.551486741027</v>
      </c>
      <c r="P1595" s="134">
        <f t="shared" si="124"/>
        <v>18990.435591108628</v>
      </c>
      <c r="Q1595" s="261">
        <v>1</v>
      </c>
      <c r="R1595" s="94"/>
    </row>
    <row r="1596" spans="1:18" x14ac:dyDescent="0.25">
      <c r="A1596" s="367">
        <v>40793</v>
      </c>
      <c r="B1596" s="367" t="s">
        <v>279</v>
      </c>
      <c r="C1596" s="279" t="s">
        <v>681</v>
      </c>
      <c r="D1596" s="159" t="s">
        <v>1161</v>
      </c>
      <c r="E1596" s="45">
        <f t="shared" si="125"/>
        <v>40793</v>
      </c>
      <c r="F1596" s="148" t="str">
        <f t="shared" si="122"/>
        <v>2011-12</v>
      </c>
      <c r="G1596" s="1"/>
      <c r="H1596" s="163"/>
      <c r="I1596" s="37"/>
      <c r="J1596" s="138">
        <f t="shared" si="126"/>
        <v>0.77968490742404351</v>
      </c>
      <c r="K1596" s="114"/>
      <c r="L1596" s="37">
        <v>43.814172011799997</v>
      </c>
      <c r="M1596" s="37" t="s">
        <v>142</v>
      </c>
      <c r="N1596" s="37">
        <v>1512.3320841951218</v>
      </c>
      <c r="O1596" s="132">
        <f t="shared" si="123"/>
        <v>66261.578075889061</v>
      </c>
      <c r="P1596" s="134">
        <f t="shared" si="124"/>
        <v>51663.152367870593</v>
      </c>
      <c r="Q1596" s="261">
        <v>1</v>
      </c>
      <c r="R1596" s="94"/>
    </row>
    <row r="1597" spans="1:18" x14ac:dyDescent="0.25">
      <c r="A1597" s="367">
        <v>40793</v>
      </c>
      <c r="B1597" s="367" t="s">
        <v>279</v>
      </c>
      <c r="C1597" s="279" t="s">
        <v>681</v>
      </c>
      <c r="D1597" s="159" t="s">
        <v>1161</v>
      </c>
      <c r="E1597" s="45">
        <f t="shared" si="125"/>
        <v>40793</v>
      </c>
      <c r="F1597" s="148" t="str">
        <f t="shared" si="122"/>
        <v>2011-12</v>
      </c>
      <c r="G1597" s="1"/>
      <c r="H1597" s="163"/>
      <c r="I1597" s="37"/>
      <c r="J1597" s="138">
        <f t="shared" si="126"/>
        <v>0.77968490742404351</v>
      </c>
      <c r="K1597" s="114"/>
      <c r="L1597" s="37">
        <v>14.590619589399999</v>
      </c>
      <c r="M1597" s="37" t="s">
        <v>142</v>
      </c>
      <c r="N1597" s="37">
        <v>1181.2618378536583</v>
      </c>
      <c r="O1597" s="132">
        <f t="shared" si="123"/>
        <v>17235.342111598235</v>
      </c>
      <c r="P1597" s="134">
        <f t="shared" si="124"/>
        <v>13438.136118703189</v>
      </c>
      <c r="Q1597" s="261">
        <v>1</v>
      </c>
      <c r="R1597" s="94"/>
    </row>
    <row r="1598" spans="1:18" x14ac:dyDescent="0.25">
      <c r="A1598" s="367">
        <v>40793</v>
      </c>
      <c r="B1598" s="367" t="s">
        <v>279</v>
      </c>
      <c r="C1598" s="279" t="s">
        <v>681</v>
      </c>
      <c r="D1598" s="159" t="s">
        <v>1161</v>
      </c>
      <c r="E1598" s="45">
        <f t="shared" si="125"/>
        <v>40793</v>
      </c>
      <c r="F1598" s="148" t="str">
        <f t="shared" si="122"/>
        <v>2011-12</v>
      </c>
      <c r="G1598" s="1"/>
      <c r="H1598" s="163"/>
      <c r="I1598" s="37"/>
      <c r="J1598" s="138">
        <f t="shared" si="126"/>
        <v>0.77968490742404351</v>
      </c>
      <c r="K1598" s="114"/>
      <c r="L1598" s="37">
        <v>15.0943470345</v>
      </c>
      <c r="M1598" s="37" t="s">
        <v>142</v>
      </c>
      <c r="N1598" s="37">
        <v>1181.2618378536583</v>
      </c>
      <c r="O1598" s="132">
        <f t="shared" si="123"/>
        <v>17830.376119174387</v>
      </c>
      <c r="P1598" s="134">
        <f t="shared" si="124"/>
        <v>13902.075153814358</v>
      </c>
      <c r="Q1598" s="261">
        <v>1</v>
      </c>
      <c r="R1598" s="94"/>
    </row>
    <row r="1599" spans="1:18" x14ac:dyDescent="0.25">
      <c r="A1599" s="367">
        <v>40793</v>
      </c>
      <c r="B1599" s="367" t="s">
        <v>279</v>
      </c>
      <c r="C1599" s="279" t="s">
        <v>681</v>
      </c>
      <c r="D1599" s="159" t="s">
        <v>1161</v>
      </c>
      <c r="E1599" s="45">
        <f t="shared" si="125"/>
        <v>40793</v>
      </c>
      <c r="F1599" s="148" t="str">
        <f t="shared" si="122"/>
        <v>2011-12</v>
      </c>
      <c r="G1599" s="1"/>
      <c r="H1599" s="163"/>
      <c r="I1599" s="37"/>
      <c r="J1599" s="138">
        <f t="shared" si="126"/>
        <v>0.77968490742404351</v>
      </c>
      <c r="K1599" s="114"/>
      <c r="L1599" s="37">
        <v>6.88363096462</v>
      </c>
      <c r="M1599" s="37" t="s">
        <v>142</v>
      </c>
      <c r="N1599" s="37">
        <v>1512.3320841951218</v>
      </c>
      <c r="O1599" s="132">
        <f t="shared" si="123"/>
        <v>10410.335963553842</v>
      </c>
      <c r="P1599" s="134">
        <f t="shared" si="124"/>
        <v>8116.7818319966682</v>
      </c>
      <c r="Q1599" s="261">
        <v>1</v>
      </c>
      <c r="R1599" s="94"/>
    </row>
    <row r="1600" spans="1:18" x14ac:dyDescent="0.25">
      <c r="A1600" s="367">
        <v>40368</v>
      </c>
      <c r="B1600" s="367" t="s">
        <v>279</v>
      </c>
      <c r="C1600" s="279" t="s">
        <v>681</v>
      </c>
      <c r="D1600" s="159" t="s">
        <v>1161</v>
      </c>
      <c r="E1600" s="45">
        <f t="shared" si="125"/>
        <v>40368</v>
      </c>
      <c r="F1600" s="148" t="str">
        <f t="shared" si="122"/>
        <v>2010-11</v>
      </c>
      <c r="G1600" s="1"/>
      <c r="H1600" s="163"/>
      <c r="I1600" s="37"/>
      <c r="J1600" s="138">
        <f t="shared" si="126"/>
        <v>0.77968490742404351</v>
      </c>
      <c r="K1600" s="114"/>
      <c r="L1600" s="37">
        <v>167.96133033199999</v>
      </c>
      <c r="M1600" s="37" t="s">
        <v>142</v>
      </c>
      <c r="N1600" s="37">
        <v>1181.2618378536583</v>
      </c>
      <c r="O1600" s="132">
        <f t="shared" si="123"/>
        <v>198406.30975632372</v>
      </c>
      <c r="P1600" s="134">
        <f t="shared" si="124"/>
        <v>154694.40525470537</v>
      </c>
      <c r="Q1600" s="261">
        <v>1</v>
      </c>
      <c r="R1600" s="94"/>
    </row>
    <row r="1601" spans="1:18" x14ac:dyDescent="0.25">
      <c r="A1601" s="367">
        <v>40368</v>
      </c>
      <c r="B1601" s="367" t="s">
        <v>279</v>
      </c>
      <c r="C1601" s="279" t="s">
        <v>681</v>
      </c>
      <c r="D1601" s="159" t="s">
        <v>1161</v>
      </c>
      <c r="E1601" s="45">
        <f t="shared" si="125"/>
        <v>40368</v>
      </c>
      <c r="F1601" s="148" t="str">
        <f t="shared" si="122"/>
        <v>2010-11</v>
      </c>
      <c r="G1601" s="1"/>
      <c r="H1601" s="163"/>
      <c r="I1601" s="37"/>
      <c r="J1601" s="138">
        <f t="shared" si="126"/>
        <v>0.77968490742404351</v>
      </c>
      <c r="K1601" s="114"/>
      <c r="L1601" s="37">
        <v>197.49767011700001</v>
      </c>
      <c r="M1601" s="37" t="s">
        <v>142</v>
      </c>
      <c r="N1601" s="37">
        <v>1181.2618378536583</v>
      </c>
      <c r="O1601" s="132">
        <f t="shared" si="123"/>
        <v>233296.46077422297</v>
      </c>
      <c r="P1601" s="134">
        <f t="shared" si="124"/>
        <v>181897.72942110704</v>
      </c>
      <c r="Q1601" s="261">
        <v>1</v>
      </c>
      <c r="R1601" s="94"/>
    </row>
    <row r="1602" spans="1:18" x14ac:dyDescent="0.25">
      <c r="A1602" s="367">
        <v>40368</v>
      </c>
      <c r="B1602" s="367" t="s">
        <v>279</v>
      </c>
      <c r="C1602" s="279" t="s">
        <v>681</v>
      </c>
      <c r="D1602" s="159" t="s">
        <v>1161</v>
      </c>
      <c r="E1602" s="45">
        <f t="shared" si="125"/>
        <v>40368</v>
      </c>
      <c r="F1602" s="148" t="str">
        <f t="shared" si="122"/>
        <v>2010-11</v>
      </c>
      <c r="G1602" s="1"/>
      <c r="H1602" s="163"/>
      <c r="I1602" s="37"/>
      <c r="J1602" s="138">
        <f t="shared" si="126"/>
        <v>0.77968490742404351</v>
      </c>
      <c r="K1602" s="114"/>
      <c r="L1602" s="37">
        <v>112.01718011600001</v>
      </c>
      <c r="M1602" s="37" t="s">
        <v>142</v>
      </c>
      <c r="N1602" s="37">
        <v>1181.2618378536583</v>
      </c>
      <c r="O1602" s="132">
        <f t="shared" si="123"/>
        <v>132321.62005501043</v>
      </c>
      <c r="P1602" s="134">
        <f t="shared" si="124"/>
        <v>103169.17008279027</v>
      </c>
      <c r="Q1602" s="261">
        <v>1</v>
      </c>
      <c r="R1602" s="94"/>
    </row>
    <row r="1603" spans="1:18" x14ac:dyDescent="0.25">
      <c r="A1603" s="367">
        <v>40368</v>
      </c>
      <c r="B1603" s="367" t="s">
        <v>279</v>
      </c>
      <c r="C1603" s="279" t="s">
        <v>681</v>
      </c>
      <c r="D1603" s="159" t="s">
        <v>1161</v>
      </c>
      <c r="E1603" s="45">
        <f t="shared" si="125"/>
        <v>40368</v>
      </c>
      <c r="F1603" s="148" t="str">
        <f t="shared" si="122"/>
        <v>2010-11</v>
      </c>
      <c r="G1603" s="1"/>
      <c r="H1603" s="163"/>
      <c r="I1603" s="37"/>
      <c r="J1603" s="138">
        <f t="shared" si="126"/>
        <v>0.77968490742404351</v>
      </c>
      <c r="K1603" s="114"/>
      <c r="L1603" s="37">
        <v>150.28723297799999</v>
      </c>
      <c r="M1603" s="37" t="s">
        <v>142</v>
      </c>
      <c r="N1603" s="37">
        <v>1181.2618378536583</v>
      </c>
      <c r="O1603" s="132">
        <f t="shared" si="123"/>
        <v>177528.5730335332</v>
      </c>
      <c r="P1603" s="134">
        <f t="shared" si="124"/>
        <v>138416.34903077289</v>
      </c>
      <c r="Q1603" s="261">
        <v>1</v>
      </c>
      <c r="R1603" s="94"/>
    </row>
    <row r="1604" spans="1:18" x14ac:dyDescent="0.25">
      <c r="A1604" s="367">
        <v>40368</v>
      </c>
      <c r="B1604" s="367" t="s">
        <v>279</v>
      </c>
      <c r="C1604" s="279" t="s">
        <v>681</v>
      </c>
      <c r="D1604" s="159" t="s">
        <v>1161</v>
      </c>
      <c r="E1604" s="45">
        <f t="shared" si="125"/>
        <v>40368</v>
      </c>
      <c r="F1604" s="148" t="str">
        <f t="shared" si="122"/>
        <v>2010-11</v>
      </c>
      <c r="G1604" s="1"/>
      <c r="H1604" s="163"/>
      <c r="I1604" s="37"/>
      <c r="J1604" s="138">
        <f t="shared" si="126"/>
        <v>0.77968490742404351</v>
      </c>
      <c r="K1604" s="114"/>
      <c r="L1604" s="37">
        <v>1.1996470314200001</v>
      </c>
      <c r="M1604" s="37" t="s">
        <v>142</v>
      </c>
      <c r="N1604" s="37">
        <v>1181.2618378536583</v>
      </c>
      <c r="O1604" s="132">
        <f t="shared" si="123"/>
        <v>1417.0972571108746</v>
      </c>
      <c r="P1604" s="134">
        <f t="shared" si="124"/>
        <v>1104.8893437213583</v>
      </c>
      <c r="Q1604" s="261">
        <v>1</v>
      </c>
      <c r="R1604" s="94"/>
    </row>
    <row r="1605" spans="1:18" x14ac:dyDescent="0.25">
      <c r="A1605" s="367">
        <v>40368</v>
      </c>
      <c r="B1605" s="367" t="s">
        <v>279</v>
      </c>
      <c r="C1605" s="279" t="s">
        <v>681</v>
      </c>
      <c r="D1605" s="159" t="s">
        <v>1161</v>
      </c>
      <c r="E1605" s="45">
        <f t="shared" si="125"/>
        <v>40368</v>
      </c>
      <c r="F1605" s="148" t="str">
        <f t="shared" si="122"/>
        <v>2010-11</v>
      </c>
      <c r="G1605" s="1"/>
      <c r="H1605" s="163"/>
      <c r="I1605" s="37"/>
      <c r="J1605" s="138">
        <f t="shared" si="126"/>
        <v>0.77968490742404351</v>
      </c>
      <c r="K1605" s="114"/>
      <c r="L1605" s="37">
        <v>6.7547864262899999</v>
      </c>
      <c r="M1605" s="37" t="s">
        <v>142</v>
      </c>
      <c r="N1605" s="37">
        <v>1181.2618378536583</v>
      </c>
      <c r="O1605" s="132">
        <f t="shared" si="123"/>
        <v>7979.1714282282701</v>
      </c>
      <c r="P1605" s="134">
        <f t="shared" si="124"/>
        <v>6221.2395363387313</v>
      </c>
      <c r="Q1605" s="261">
        <v>1</v>
      </c>
      <c r="R1605" s="94"/>
    </row>
    <row r="1606" spans="1:18" x14ac:dyDescent="0.25">
      <c r="A1606" s="367">
        <v>40368</v>
      </c>
      <c r="B1606" s="367" t="s">
        <v>279</v>
      </c>
      <c r="C1606" s="279" t="s">
        <v>681</v>
      </c>
      <c r="D1606" s="159" t="s">
        <v>1161</v>
      </c>
      <c r="E1606" s="45">
        <f t="shared" si="125"/>
        <v>40368</v>
      </c>
      <c r="F1606" s="148" t="str">
        <f t="shared" si="122"/>
        <v>2010-11</v>
      </c>
      <c r="G1606" s="1"/>
      <c r="H1606" s="163"/>
      <c r="I1606" s="37"/>
      <c r="J1606" s="138">
        <f t="shared" si="126"/>
        <v>0.77968490742404351</v>
      </c>
      <c r="K1606" s="114"/>
      <c r="L1606" s="37">
        <v>74.049217745600004</v>
      </c>
      <c r="M1606" s="37" t="s">
        <v>142</v>
      </c>
      <c r="N1606" s="37">
        <v>1512.3320841951218</v>
      </c>
      <c r="O1606" s="132">
        <f t="shared" si="123"/>
        <v>111987.00780622165</v>
      </c>
      <c r="P1606" s="134">
        <f t="shared" si="124"/>
        <v>87314.579814089564</v>
      </c>
      <c r="Q1606" s="261">
        <v>1</v>
      </c>
      <c r="R1606" s="94"/>
    </row>
    <row r="1607" spans="1:18" x14ac:dyDescent="0.25">
      <c r="A1607" s="367">
        <v>40368</v>
      </c>
      <c r="B1607" s="367" t="s">
        <v>279</v>
      </c>
      <c r="C1607" s="279" t="s">
        <v>681</v>
      </c>
      <c r="D1607" s="159" t="s">
        <v>1161</v>
      </c>
      <c r="E1607" s="45">
        <f t="shared" si="125"/>
        <v>40368</v>
      </c>
      <c r="F1607" s="148" t="str">
        <f t="shared" si="122"/>
        <v>2010-11</v>
      </c>
      <c r="G1607" s="1"/>
      <c r="H1607" s="163"/>
      <c r="I1607" s="37"/>
      <c r="J1607" s="138">
        <f t="shared" si="126"/>
        <v>0.77968490742404351</v>
      </c>
      <c r="K1607" s="114"/>
      <c r="L1607" s="37">
        <v>1.09943712872</v>
      </c>
      <c r="M1607" s="37" t="s">
        <v>142</v>
      </c>
      <c r="N1607" s="37">
        <v>1422.8466506341463</v>
      </c>
      <c r="O1607" s="132">
        <f t="shared" si="123"/>
        <v>1564.3304361820747</v>
      </c>
      <c r="P1607" s="134">
        <f t="shared" si="124"/>
        <v>1219.6848313152345</v>
      </c>
      <c r="Q1607" s="261">
        <v>1</v>
      </c>
      <c r="R1607" s="94"/>
    </row>
    <row r="1608" spans="1:18" x14ac:dyDescent="0.25">
      <c r="A1608" s="367">
        <v>40368</v>
      </c>
      <c r="B1608" s="367" t="s">
        <v>279</v>
      </c>
      <c r="C1608" s="279" t="s">
        <v>681</v>
      </c>
      <c r="D1608" s="159" t="s">
        <v>1161</v>
      </c>
      <c r="E1608" s="45">
        <f t="shared" si="125"/>
        <v>40368</v>
      </c>
      <c r="F1608" s="148" t="str">
        <f t="shared" si="122"/>
        <v>2010-11</v>
      </c>
      <c r="G1608" s="1"/>
      <c r="H1608" s="163"/>
      <c r="I1608" s="37"/>
      <c r="J1608" s="138">
        <f t="shared" si="126"/>
        <v>0.77968490742404351</v>
      </c>
      <c r="K1608" s="114"/>
      <c r="L1608" s="37">
        <v>23.961781344599999</v>
      </c>
      <c r="M1608" s="37" t="s">
        <v>142</v>
      </c>
      <c r="N1608" s="37">
        <v>1181.2618378536583</v>
      </c>
      <c r="O1608" s="132">
        <f t="shared" si="123"/>
        <v>28305.137869369697</v>
      </c>
      <c r="P1608" s="134">
        <f t="shared" si="124"/>
        <v>22069.0887993043</v>
      </c>
      <c r="Q1608" s="261">
        <v>1</v>
      </c>
      <c r="R1608" s="94"/>
    </row>
    <row r="1609" spans="1:18" x14ac:dyDescent="0.25">
      <c r="A1609" s="367">
        <v>40368</v>
      </c>
      <c r="B1609" s="367" t="s">
        <v>279</v>
      </c>
      <c r="C1609" s="279" t="s">
        <v>681</v>
      </c>
      <c r="D1609" s="159" t="s">
        <v>1161</v>
      </c>
      <c r="E1609" s="45">
        <f t="shared" si="125"/>
        <v>40368</v>
      </c>
      <c r="F1609" s="148" t="str">
        <f t="shared" si="122"/>
        <v>2010-11</v>
      </c>
      <c r="G1609" s="1"/>
      <c r="H1609" s="163"/>
      <c r="I1609" s="37"/>
      <c r="J1609" s="138">
        <f t="shared" si="126"/>
        <v>0.77968490742404351</v>
      </c>
      <c r="K1609" s="114"/>
      <c r="L1609" s="37">
        <v>0.99998099981900002</v>
      </c>
      <c r="M1609" s="37" t="s">
        <v>142</v>
      </c>
      <c r="N1609" s="37">
        <v>1422.8466506341463</v>
      </c>
      <c r="O1609" s="132">
        <f t="shared" si="123"/>
        <v>1422.8196162902491</v>
      </c>
      <c r="P1609" s="134">
        <f t="shared" si="124"/>
        <v>1109.3509808083759</v>
      </c>
      <c r="Q1609" s="261">
        <v>1</v>
      </c>
      <c r="R1609" s="94"/>
    </row>
    <row r="1610" spans="1:18" x14ac:dyDescent="0.25">
      <c r="A1610" s="367">
        <v>40368</v>
      </c>
      <c r="B1610" s="367" t="s">
        <v>279</v>
      </c>
      <c r="C1610" s="279" t="s">
        <v>681</v>
      </c>
      <c r="D1610" s="159" t="s">
        <v>1161</v>
      </c>
      <c r="E1610" s="45">
        <f t="shared" si="125"/>
        <v>40368</v>
      </c>
      <c r="F1610" s="148" t="str">
        <f t="shared" si="122"/>
        <v>2010-11</v>
      </c>
      <c r="G1610" s="1"/>
      <c r="H1610" s="163"/>
      <c r="I1610" s="37"/>
      <c r="J1610" s="138">
        <f t="shared" si="126"/>
        <v>0.77968490742404351</v>
      </c>
      <c r="K1610" s="114"/>
      <c r="L1610" s="37">
        <v>124.04533877999999</v>
      </c>
      <c r="M1610" s="37" t="s">
        <v>142</v>
      </c>
      <c r="N1610" s="37">
        <v>1181.2618378536583</v>
      </c>
      <c r="O1610" s="132">
        <f t="shared" si="123"/>
        <v>146530.02486444247</v>
      </c>
      <c r="P1610" s="134">
        <f t="shared" si="124"/>
        <v>114247.24887127562</v>
      </c>
      <c r="Q1610" s="261">
        <v>1</v>
      </c>
      <c r="R1610" s="94"/>
    </row>
    <row r="1611" spans="1:18" x14ac:dyDescent="0.25">
      <c r="A1611" s="367">
        <v>39946</v>
      </c>
      <c r="B1611" s="367" t="s">
        <v>279</v>
      </c>
      <c r="C1611" s="279" t="s">
        <v>299</v>
      </c>
      <c r="D1611" s="159" t="s">
        <v>1162</v>
      </c>
      <c r="E1611" s="45">
        <f t="shared" si="125"/>
        <v>39946</v>
      </c>
      <c r="F1611" s="148" t="str">
        <f t="shared" si="122"/>
        <v>2008-09</v>
      </c>
      <c r="G1611" s="1"/>
      <c r="H1611" s="163"/>
      <c r="I1611" s="37"/>
      <c r="J1611" s="138">
        <f t="shared" si="126"/>
        <v>0.77968490742404351</v>
      </c>
      <c r="K1611" s="114"/>
      <c r="L1611" s="37">
        <v>1.4997683154400001</v>
      </c>
      <c r="M1611" s="37" t="s">
        <v>142</v>
      </c>
      <c r="N1611" s="37">
        <v>936.5640883902438</v>
      </c>
      <c r="O1611" s="132">
        <f t="shared" si="123"/>
        <v>1404.6291451466352</v>
      </c>
      <c r="P1611" s="134">
        <f t="shared" si="124"/>
        <v>1095.1681449987677</v>
      </c>
      <c r="Q1611" s="261">
        <v>1</v>
      </c>
      <c r="R1611" s="94"/>
    </row>
    <row r="1612" spans="1:18" x14ac:dyDescent="0.25">
      <c r="A1612" s="367">
        <v>39946</v>
      </c>
      <c r="B1612" s="367" t="s">
        <v>279</v>
      </c>
      <c r="C1612" s="279" t="s">
        <v>299</v>
      </c>
      <c r="D1612" s="159" t="s">
        <v>1162</v>
      </c>
      <c r="E1612" s="45">
        <f t="shared" si="125"/>
        <v>39946</v>
      </c>
      <c r="F1612" s="148" t="str">
        <f t="shared" si="122"/>
        <v>2008-09</v>
      </c>
      <c r="G1612" s="1"/>
      <c r="H1612" s="163"/>
      <c r="I1612" s="37"/>
      <c r="J1612" s="138">
        <f t="shared" si="126"/>
        <v>0.77968490742404351</v>
      </c>
      <c r="K1612" s="114"/>
      <c r="L1612" s="37">
        <v>1.49983365744</v>
      </c>
      <c r="M1612" s="37" t="s">
        <v>142</v>
      </c>
      <c r="N1612" s="37">
        <v>936.5640883902438</v>
      </c>
      <c r="O1612" s="132">
        <f t="shared" si="123"/>
        <v>1404.6903421172988</v>
      </c>
      <c r="P1612" s="134">
        <f t="shared" si="124"/>
        <v>1095.215859353174</v>
      </c>
      <c r="Q1612" s="261">
        <v>1</v>
      </c>
      <c r="R1612" s="94"/>
    </row>
    <row r="1613" spans="1:18" x14ac:dyDescent="0.25">
      <c r="A1613" s="367">
        <v>41781</v>
      </c>
      <c r="B1613" s="367" t="s">
        <v>279</v>
      </c>
      <c r="C1613" s="279" t="s">
        <v>682</v>
      </c>
      <c r="D1613" s="159" t="s">
        <v>1163</v>
      </c>
      <c r="E1613" s="45">
        <f t="shared" si="125"/>
        <v>41781</v>
      </c>
      <c r="F1613" s="148" t="str">
        <f t="shared" si="122"/>
        <v>2013-14</v>
      </c>
      <c r="G1613" s="1"/>
      <c r="H1613" s="163"/>
      <c r="I1613" s="37"/>
      <c r="J1613" s="138">
        <f t="shared" si="126"/>
        <v>0.77968490742404351</v>
      </c>
      <c r="K1613" s="114"/>
      <c r="L1613" s="37">
        <v>99.730720845899995</v>
      </c>
      <c r="M1613" s="37" t="s">
        <v>142</v>
      </c>
      <c r="N1613" s="37">
        <v>2679.5507189268287</v>
      </c>
      <c r="O1613" s="132">
        <f t="shared" si="123"/>
        <v>267233.52474172221</v>
      </c>
      <c r="P1613" s="134">
        <f t="shared" si="124"/>
        <v>208357.94599885051</v>
      </c>
      <c r="Q1613" s="261">
        <v>1</v>
      </c>
      <c r="R1613" s="94"/>
    </row>
    <row r="1614" spans="1:18" x14ac:dyDescent="0.25">
      <c r="A1614" s="367">
        <v>41781</v>
      </c>
      <c r="B1614" s="367" t="s">
        <v>279</v>
      </c>
      <c r="C1614" s="279" t="s">
        <v>682</v>
      </c>
      <c r="D1614" s="159" t="s">
        <v>1163</v>
      </c>
      <c r="E1614" s="45">
        <f t="shared" si="125"/>
        <v>41781</v>
      </c>
      <c r="F1614" s="148" t="str">
        <f t="shared" si="122"/>
        <v>2013-14</v>
      </c>
      <c r="G1614" s="1"/>
      <c r="H1614" s="163"/>
      <c r="I1614" s="37"/>
      <c r="J1614" s="138">
        <f t="shared" si="126"/>
        <v>0.77968490742404351</v>
      </c>
      <c r="K1614" s="114"/>
      <c r="L1614" s="37">
        <v>16.200816831699999</v>
      </c>
      <c r="M1614" s="37" t="s">
        <v>142</v>
      </c>
      <c r="N1614" s="37">
        <v>1422.8419512195119</v>
      </c>
      <c r="O1614" s="132">
        <f t="shared" si="123"/>
        <v>23051.201832165938</v>
      </c>
      <c r="P1614" s="134">
        <f t="shared" si="124"/>
        <v>17972.674166525241</v>
      </c>
      <c r="Q1614" s="261">
        <v>1</v>
      </c>
      <c r="R1614" s="94"/>
    </row>
    <row r="1615" spans="1:18" x14ac:dyDescent="0.25">
      <c r="A1615" s="367">
        <v>41781</v>
      </c>
      <c r="B1615" s="367" t="s">
        <v>279</v>
      </c>
      <c r="C1615" s="279" t="s">
        <v>682</v>
      </c>
      <c r="D1615" s="159" t="s">
        <v>1163</v>
      </c>
      <c r="E1615" s="45">
        <f t="shared" si="125"/>
        <v>41781</v>
      </c>
      <c r="F1615" s="148" t="str">
        <f t="shared" si="122"/>
        <v>2013-14</v>
      </c>
      <c r="G1615" s="1"/>
      <c r="H1615" s="163"/>
      <c r="I1615" s="37"/>
      <c r="J1615" s="138">
        <f t="shared" si="126"/>
        <v>0.77968490742404351</v>
      </c>
      <c r="K1615" s="114"/>
      <c r="L1615" s="37">
        <v>9.3216309220600007</v>
      </c>
      <c r="M1615" s="37" t="s">
        <v>142</v>
      </c>
      <c r="N1615" s="37">
        <v>1422.8419512195119</v>
      </c>
      <c r="O1615" s="132">
        <f t="shared" si="123"/>
        <v>13263.207529691988</v>
      </c>
      <c r="P1615" s="134">
        <f t="shared" si="124"/>
        <v>10341.122734933775</v>
      </c>
      <c r="Q1615" s="261">
        <v>1</v>
      </c>
      <c r="R1615" s="94"/>
    </row>
    <row r="1616" spans="1:18" x14ac:dyDescent="0.25">
      <c r="A1616" s="367">
        <v>40163</v>
      </c>
      <c r="B1616" s="367" t="s">
        <v>279</v>
      </c>
      <c r="C1616" s="279" t="s">
        <v>290</v>
      </c>
      <c r="D1616" s="159" t="s">
        <v>1164</v>
      </c>
      <c r="E1616" s="45">
        <f t="shared" si="125"/>
        <v>40163</v>
      </c>
      <c r="F1616" s="148" t="str">
        <f t="shared" si="122"/>
        <v>2009-10</v>
      </c>
      <c r="G1616" s="1"/>
      <c r="H1616" s="163"/>
      <c r="I1616" s="37"/>
      <c r="J1616" s="138">
        <f t="shared" si="126"/>
        <v>0.77968490742404351</v>
      </c>
      <c r="K1616" s="114"/>
      <c r="L1616" s="37">
        <v>10.371983887500001</v>
      </c>
      <c r="M1616" s="37" t="s">
        <v>142</v>
      </c>
      <c r="N1616" s="37">
        <v>2042.4636684878049</v>
      </c>
      <c r="O1616" s="132">
        <f t="shared" si="123"/>
        <v>21184.400260359656</v>
      </c>
      <c r="P1616" s="134">
        <f t="shared" si="124"/>
        <v>16517.157155832403</v>
      </c>
      <c r="Q1616" s="261">
        <v>1</v>
      </c>
      <c r="R1616" s="94"/>
    </row>
    <row r="1617" spans="1:18" x14ac:dyDescent="0.25">
      <c r="A1617" s="367">
        <v>41781</v>
      </c>
      <c r="B1617" s="367" t="s">
        <v>279</v>
      </c>
      <c r="C1617" s="279" t="s">
        <v>682</v>
      </c>
      <c r="D1617" s="159" t="s">
        <v>1163</v>
      </c>
      <c r="E1617" s="45">
        <f t="shared" si="125"/>
        <v>41781</v>
      </c>
      <c r="F1617" s="148" t="str">
        <f t="shared" si="122"/>
        <v>2013-14</v>
      </c>
      <c r="G1617" s="1"/>
      <c r="H1617" s="163"/>
      <c r="I1617" s="37"/>
      <c r="J1617" s="138">
        <f t="shared" si="126"/>
        <v>0.77968490742404351</v>
      </c>
      <c r="K1617" s="114"/>
      <c r="L1617" s="37">
        <v>11.5957152138</v>
      </c>
      <c r="M1617" s="37" t="s">
        <v>142</v>
      </c>
      <c r="N1617" s="37">
        <v>2679.5507189268287</v>
      </c>
      <c r="O1617" s="132">
        <f t="shared" si="123"/>
        <v>31071.307037608556</v>
      </c>
      <c r="P1617" s="134">
        <f t="shared" si="124"/>
        <v>24225.829151161859</v>
      </c>
      <c r="Q1617" s="261">
        <v>1</v>
      </c>
      <c r="R1617" s="94"/>
    </row>
    <row r="1618" spans="1:18" x14ac:dyDescent="0.25">
      <c r="A1618" s="367">
        <v>41526</v>
      </c>
      <c r="B1618" s="367" t="s">
        <v>279</v>
      </c>
      <c r="C1618" s="279" t="s">
        <v>682</v>
      </c>
      <c r="D1618" s="159" t="s">
        <v>1163</v>
      </c>
      <c r="E1618" s="45">
        <f t="shared" si="125"/>
        <v>41526</v>
      </c>
      <c r="F1618" s="148" t="str">
        <f t="shared" ref="F1618:F1681" si="127">IF(E1618="","-",IF(OR(E1618&lt;$E$15,E1618&gt;$E$16),"ERROR - date outside of range",IF(MONTH(E1618)&gt;=7,YEAR(E1618)&amp;"-"&amp;IF(YEAR(E1618)=1999,"00",IF(AND(YEAR(E1618)&gt;=2000,YEAR(E1618)&lt;2009),"0","")&amp;RIGHT(YEAR(E1618),2)+1),RIGHT(YEAR(E1618),4)-1&amp;"-"&amp;RIGHT(YEAR(E1618),2))))</f>
        <v>2013-14</v>
      </c>
      <c r="G1618" s="1"/>
      <c r="H1618" s="163"/>
      <c r="I1618" s="37"/>
      <c r="J1618" s="138">
        <f t="shared" si="126"/>
        <v>0.77968490742404351</v>
      </c>
      <c r="K1618" s="114"/>
      <c r="L1618" s="37">
        <v>2.5687974014699999</v>
      </c>
      <c r="M1618" s="37" t="s">
        <v>142</v>
      </c>
      <c r="N1618" s="37">
        <v>2679.5507189268287</v>
      </c>
      <c r="O1618" s="132">
        <f t="shared" ref="O1618:O1681" si="128">IF(N1618="","-",L1618*N1618)</f>
        <v>6883.2229238863074</v>
      </c>
      <c r="P1618" s="134">
        <f t="shared" ref="P1618:P1681" si="129">IF(O1618="-","-",IF(OR(E1618&lt;$E$15,E1618&gt;$E$16),0,O1618*J1618))*Q1618</f>
        <v>5366.7450281893498</v>
      </c>
      <c r="Q1618" s="261">
        <v>1</v>
      </c>
      <c r="R1618" s="94"/>
    </row>
    <row r="1619" spans="1:18" x14ac:dyDescent="0.25">
      <c r="A1619" s="367">
        <v>41526</v>
      </c>
      <c r="B1619" s="367" t="s">
        <v>279</v>
      </c>
      <c r="C1619" s="279" t="s">
        <v>682</v>
      </c>
      <c r="D1619" s="159" t="s">
        <v>1163</v>
      </c>
      <c r="E1619" s="45">
        <f t="shared" si="125"/>
        <v>41526</v>
      </c>
      <c r="F1619" s="148" t="str">
        <f t="shared" si="127"/>
        <v>2013-14</v>
      </c>
      <c r="G1619" s="1"/>
      <c r="H1619" s="163"/>
      <c r="I1619" s="37"/>
      <c r="J1619" s="138">
        <f t="shared" si="126"/>
        <v>0.77968490742404351</v>
      </c>
      <c r="K1619" s="114"/>
      <c r="L1619" s="37">
        <v>3.0017003547900001</v>
      </c>
      <c r="M1619" s="37" t="s">
        <v>142</v>
      </c>
      <c r="N1619" s="37">
        <v>2679.5507189268287</v>
      </c>
      <c r="O1619" s="132">
        <f t="shared" si="128"/>
        <v>8043.2083436804614</v>
      </c>
      <c r="P1619" s="134">
        <f t="shared" si="129"/>
        <v>6271.1681528347945</v>
      </c>
      <c r="Q1619" s="261">
        <v>1</v>
      </c>
      <c r="R1619" s="94"/>
    </row>
    <row r="1620" spans="1:18" x14ac:dyDescent="0.25">
      <c r="A1620" s="367">
        <v>41781</v>
      </c>
      <c r="B1620" s="367" t="s">
        <v>279</v>
      </c>
      <c r="C1620" s="279" t="s">
        <v>682</v>
      </c>
      <c r="D1620" s="159" t="s">
        <v>1163</v>
      </c>
      <c r="E1620" s="45">
        <f t="shared" si="125"/>
        <v>41781</v>
      </c>
      <c r="F1620" s="148" t="str">
        <f t="shared" si="127"/>
        <v>2013-14</v>
      </c>
      <c r="G1620" s="1"/>
      <c r="H1620" s="163"/>
      <c r="I1620" s="37"/>
      <c r="J1620" s="138">
        <f t="shared" si="126"/>
        <v>0.77968490742404351</v>
      </c>
      <c r="K1620" s="114"/>
      <c r="L1620" s="37">
        <v>6.6148911420800003</v>
      </c>
      <c r="M1620" s="37" t="s">
        <v>142</v>
      </c>
      <c r="N1620" s="37">
        <v>2679.5507189268287</v>
      </c>
      <c r="O1620" s="132">
        <f t="shared" si="128"/>
        <v>17724.936315383176</v>
      </c>
      <c r="P1620" s="134">
        <f t="shared" si="129"/>
        <v>13819.865330156599</v>
      </c>
      <c r="Q1620" s="261">
        <v>1</v>
      </c>
      <c r="R1620" s="94"/>
    </row>
    <row r="1621" spans="1:18" x14ac:dyDescent="0.25">
      <c r="A1621" s="367">
        <v>41781</v>
      </c>
      <c r="B1621" s="367" t="s">
        <v>279</v>
      </c>
      <c r="C1621" s="279" t="s">
        <v>682</v>
      </c>
      <c r="D1621" s="159" t="s">
        <v>1165</v>
      </c>
      <c r="E1621" s="45">
        <f t="shared" si="125"/>
        <v>41781</v>
      </c>
      <c r="F1621" s="148" t="str">
        <f t="shared" si="127"/>
        <v>2013-14</v>
      </c>
      <c r="G1621" s="1"/>
      <c r="H1621" s="163"/>
      <c r="I1621" s="37"/>
      <c r="J1621" s="138">
        <f t="shared" si="126"/>
        <v>0.77968490742404351</v>
      </c>
      <c r="K1621" s="114"/>
      <c r="L1621" s="37">
        <v>1.4995632697600001</v>
      </c>
      <c r="M1621" s="37" t="s">
        <v>142</v>
      </c>
      <c r="N1621" s="37">
        <v>771.6404230243902</v>
      </c>
      <c r="O1621" s="132">
        <f t="shared" si="128"/>
        <v>1157.1236358294443</v>
      </c>
      <c r="P1621" s="134">
        <f t="shared" si="129"/>
        <v>902.19183487985288</v>
      </c>
      <c r="Q1621" s="261">
        <v>1</v>
      </c>
      <c r="R1621" s="94"/>
    </row>
    <row r="1622" spans="1:18" x14ac:dyDescent="0.25">
      <c r="A1622" s="367">
        <v>41781</v>
      </c>
      <c r="B1622" s="367" t="s">
        <v>279</v>
      </c>
      <c r="C1622" s="279" t="s">
        <v>682</v>
      </c>
      <c r="D1622" s="159" t="s">
        <v>1163</v>
      </c>
      <c r="E1622" s="45">
        <f t="shared" si="125"/>
        <v>41781</v>
      </c>
      <c r="F1622" s="148" t="str">
        <f t="shared" si="127"/>
        <v>2013-14</v>
      </c>
      <c r="G1622" s="1"/>
      <c r="H1622" s="163"/>
      <c r="I1622" s="37"/>
      <c r="J1622" s="138">
        <f t="shared" si="126"/>
        <v>0.77968490742404351</v>
      </c>
      <c r="K1622" s="114"/>
      <c r="L1622" s="37">
        <v>12.2853513177</v>
      </c>
      <c r="M1622" s="37" t="s">
        <v>142</v>
      </c>
      <c r="N1622" s="37">
        <v>2679.5507189268287</v>
      </c>
      <c r="O1622" s="132">
        <f t="shared" si="128"/>
        <v>32919.221955611698</v>
      </c>
      <c r="P1622" s="134">
        <f t="shared" si="129"/>
        <v>25666.620522932648</v>
      </c>
      <c r="Q1622" s="261">
        <v>1</v>
      </c>
      <c r="R1622" s="94"/>
    </row>
    <row r="1623" spans="1:18" x14ac:dyDescent="0.25">
      <c r="A1623" s="367">
        <v>41781</v>
      </c>
      <c r="B1623" s="367" t="s">
        <v>279</v>
      </c>
      <c r="C1623" s="279" t="s">
        <v>682</v>
      </c>
      <c r="D1623" s="159" t="s">
        <v>1163</v>
      </c>
      <c r="E1623" s="45">
        <f t="shared" ref="E1623:E1686" si="130">IF(A1623&lt;2022,DATEVALUE("30 Jun "&amp;A1623),A1623)</f>
        <v>41781</v>
      </c>
      <c r="F1623" s="148" t="str">
        <f t="shared" si="127"/>
        <v>2013-14</v>
      </c>
      <c r="G1623" s="1"/>
      <c r="H1623" s="163"/>
      <c r="I1623" s="37"/>
      <c r="J1623" s="138">
        <f t="shared" si="126"/>
        <v>0.77968490742404351</v>
      </c>
      <c r="K1623" s="114"/>
      <c r="L1623" s="37">
        <v>3.0061618443100002</v>
      </c>
      <c r="M1623" s="37" t="s">
        <v>142</v>
      </c>
      <c r="N1623" s="37">
        <v>2679.5507189268287</v>
      </c>
      <c r="O1623" s="132">
        <f t="shared" si="128"/>
        <v>8055.1631311312622</v>
      </c>
      <c r="P1623" s="134">
        <f t="shared" si="129"/>
        <v>6280.4891201816463</v>
      </c>
      <c r="Q1623" s="261">
        <v>1</v>
      </c>
      <c r="R1623" s="94"/>
    </row>
    <row r="1624" spans="1:18" x14ac:dyDescent="0.25">
      <c r="A1624" s="367">
        <v>41781</v>
      </c>
      <c r="B1624" s="367" t="s">
        <v>279</v>
      </c>
      <c r="C1624" s="279" t="s">
        <v>682</v>
      </c>
      <c r="D1624" s="159" t="s">
        <v>1163</v>
      </c>
      <c r="E1624" s="45">
        <f t="shared" si="130"/>
        <v>41781</v>
      </c>
      <c r="F1624" s="148" t="str">
        <f t="shared" si="127"/>
        <v>2013-14</v>
      </c>
      <c r="G1624" s="1"/>
      <c r="H1624" s="163"/>
      <c r="I1624" s="37"/>
      <c r="J1624" s="138">
        <f t="shared" ref="J1624:J1687" si="131">J1623</f>
        <v>0.77968490742404351</v>
      </c>
      <c r="K1624" s="114"/>
      <c r="L1624" s="37">
        <v>249.926943674</v>
      </c>
      <c r="M1624" s="37" t="s">
        <v>142</v>
      </c>
      <c r="N1624" s="37">
        <v>2679.5507189268287</v>
      </c>
      <c r="O1624" s="132">
        <f t="shared" si="128"/>
        <v>669691.9216008517</v>
      </c>
      <c r="P1624" s="134">
        <f t="shared" si="129"/>
        <v>522148.68389598985</v>
      </c>
      <c r="Q1624" s="261">
        <v>1</v>
      </c>
      <c r="R1624" s="94"/>
    </row>
    <row r="1625" spans="1:18" x14ac:dyDescent="0.25">
      <c r="A1625" s="367">
        <v>41781</v>
      </c>
      <c r="B1625" s="367" t="s">
        <v>279</v>
      </c>
      <c r="C1625" s="279" t="s">
        <v>682</v>
      </c>
      <c r="D1625" s="159" t="s">
        <v>1163</v>
      </c>
      <c r="E1625" s="45">
        <f t="shared" si="130"/>
        <v>41781</v>
      </c>
      <c r="F1625" s="148" t="str">
        <f t="shared" si="127"/>
        <v>2013-14</v>
      </c>
      <c r="G1625" s="1"/>
      <c r="H1625" s="163"/>
      <c r="I1625" s="37"/>
      <c r="J1625" s="138">
        <f t="shared" si="131"/>
        <v>0.77968490742404351</v>
      </c>
      <c r="K1625" s="114"/>
      <c r="L1625" s="37">
        <v>249.48663695299999</v>
      </c>
      <c r="M1625" s="37" t="s">
        <v>142</v>
      </c>
      <c r="N1625" s="37">
        <v>1422.8419512195119</v>
      </c>
      <c r="O1625" s="132">
        <f t="shared" si="128"/>
        <v>354980.05332540045</v>
      </c>
      <c r="P1625" s="134">
        <f t="shared" si="129"/>
        <v>276772.59001439688</v>
      </c>
      <c r="Q1625" s="261">
        <v>1</v>
      </c>
      <c r="R1625" s="94"/>
    </row>
    <row r="1626" spans="1:18" x14ac:dyDescent="0.25">
      <c r="A1626" s="367">
        <v>41781</v>
      </c>
      <c r="B1626" s="367" t="s">
        <v>279</v>
      </c>
      <c r="C1626" s="279" t="s">
        <v>682</v>
      </c>
      <c r="D1626" s="159" t="s">
        <v>1163</v>
      </c>
      <c r="E1626" s="45">
        <f t="shared" si="130"/>
        <v>41781</v>
      </c>
      <c r="F1626" s="148" t="str">
        <f t="shared" si="127"/>
        <v>2013-14</v>
      </c>
      <c r="G1626" s="1"/>
      <c r="H1626" s="163"/>
      <c r="I1626" s="37"/>
      <c r="J1626" s="138">
        <f t="shared" si="131"/>
        <v>0.77968490742404351</v>
      </c>
      <c r="K1626" s="114"/>
      <c r="L1626" s="37">
        <v>249.950562104</v>
      </c>
      <c r="M1626" s="37" t="s">
        <v>142</v>
      </c>
      <c r="N1626" s="37">
        <v>1422.8419512195119</v>
      </c>
      <c r="O1626" s="132">
        <f t="shared" si="128"/>
        <v>355640.14549246914</v>
      </c>
      <c r="P1626" s="134">
        <f t="shared" si="129"/>
        <v>277287.25391456916</v>
      </c>
      <c r="Q1626" s="261">
        <v>1</v>
      </c>
      <c r="R1626" s="94"/>
    </row>
    <row r="1627" spans="1:18" x14ac:dyDescent="0.25">
      <c r="A1627" s="367">
        <v>41781</v>
      </c>
      <c r="B1627" s="367" t="s">
        <v>279</v>
      </c>
      <c r="C1627" s="279" t="s">
        <v>682</v>
      </c>
      <c r="D1627" s="159" t="s">
        <v>1163</v>
      </c>
      <c r="E1627" s="45">
        <f t="shared" si="130"/>
        <v>41781</v>
      </c>
      <c r="F1627" s="148" t="str">
        <f t="shared" si="127"/>
        <v>2013-14</v>
      </c>
      <c r="G1627" s="1"/>
      <c r="H1627" s="163"/>
      <c r="I1627" s="37"/>
      <c r="J1627" s="138">
        <f t="shared" si="131"/>
        <v>0.77968490742404351</v>
      </c>
      <c r="K1627" s="114"/>
      <c r="L1627" s="37">
        <v>73.215467537199999</v>
      </c>
      <c r="M1627" s="37" t="s">
        <v>142</v>
      </c>
      <c r="N1627" s="37">
        <v>1422.8419512195119</v>
      </c>
      <c r="O1627" s="132">
        <f t="shared" si="128"/>
        <v>104174.03869007848</v>
      </c>
      <c r="P1627" s="134">
        <f t="shared" si="129"/>
        <v>81222.92571206257</v>
      </c>
      <c r="Q1627" s="261">
        <v>1</v>
      </c>
      <c r="R1627" s="94"/>
    </row>
    <row r="1628" spans="1:18" x14ac:dyDescent="0.25">
      <c r="A1628" s="367">
        <v>41781</v>
      </c>
      <c r="B1628" s="367" t="s">
        <v>279</v>
      </c>
      <c r="C1628" s="279" t="s">
        <v>682</v>
      </c>
      <c r="D1628" s="159" t="s">
        <v>1165</v>
      </c>
      <c r="E1628" s="45">
        <f t="shared" si="130"/>
        <v>41781</v>
      </c>
      <c r="F1628" s="148" t="str">
        <f t="shared" si="127"/>
        <v>2013-14</v>
      </c>
      <c r="G1628" s="1"/>
      <c r="H1628" s="163"/>
      <c r="I1628" s="37"/>
      <c r="J1628" s="138">
        <f t="shared" si="131"/>
        <v>0.77968490742404351</v>
      </c>
      <c r="K1628" s="114"/>
      <c r="L1628" s="37">
        <v>11.3510541181</v>
      </c>
      <c r="M1628" s="37" t="s">
        <v>142</v>
      </c>
      <c r="N1628" s="37">
        <v>696.6467060487804</v>
      </c>
      <c r="O1628" s="132">
        <f t="shared" si="128"/>
        <v>7907.6744615558091</v>
      </c>
      <c r="P1628" s="134">
        <f t="shared" si="129"/>
        <v>6165.4944304976143</v>
      </c>
      <c r="Q1628" s="261">
        <v>1</v>
      </c>
      <c r="R1628" s="94"/>
    </row>
    <row r="1629" spans="1:18" x14ac:dyDescent="0.25">
      <c r="A1629" s="367">
        <v>41781</v>
      </c>
      <c r="B1629" s="367" t="s">
        <v>279</v>
      </c>
      <c r="C1629" s="279" t="s">
        <v>682</v>
      </c>
      <c r="D1629" s="159" t="s">
        <v>1163</v>
      </c>
      <c r="E1629" s="45">
        <f t="shared" si="130"/>
        <v>41781</v>
      </c>
      <c r="F1629" s="148" t="str">
        <f t="shared" si="127"/>
        <v>2013-14</v>
      </c>
      <c r="G1629" s="1"/>
      <c r="H1629" s="163"/>
      <c r="I1629" s="37"/>
      <c r="J1629" s="138">
        <f t="shared" si="131"/>
        <v>0.77968490742404351</v>
      </c>
      <c r="K1629" s="114"/>
      <c r="L1629" s="37">
        <v>137.06167223700001</v>
      </c>
      <c r="M1629" s="37" t="s">
        <v>142</v>
      </c>
      <c r="N1629" s="37">
        <v>1422.8419512195119</v>
      </c>
      <c r="O1629" s="132">
        <f t="shared" si="128"/>
        <v>195017.0971631023</v>
      </c>
      <c r="P1629" s="134">
        <f t="shared" si="129"/>
        <v>152051.88734771911</v>
      </c>
      <c r="Q1629" s="261">
        <v>1</v>
      </c>
      <c r="R1629" s="94"/>
    </row>
    <row r="1630" spans="1:18" x14ac:dyDescent="0.25">
      <c r="A1630" s="367">
        <v>41781</v>
      </c>
      <c r="B1630" s="367" t="s">
        <v>279</v>
      </c>
      <c r="C1630" s="279" t="s">
        <v>682</v>
      </c>
      <c r="D1630" s="159" t="s">
        <v>1163</v>
      </c>
      <c r="E1630" s="45">
        <f t="shared" si="130"/>
        <v>41781</v>
      </c>
      <c r="F1630" s="148" t="str">
        <f t="shared" si="127"/>
        <v>2013-14</v>
      </c>
      <c r="G1630" s="1"/>
      <c r="H1630" s="163"/>
      <c r="I1630" s="37"/>
      <c r="J1630" s="138">
        <f t="shared" si="131"/>
        <v>0.77968490742404351</v>
      </c>
      <c r="K1630" s="114"/>
      <c r="L1630" s="37">
        <v>2.6991910667900001</v>
      </c>
      <c r="M1630" s="37" t="s">
        <v>142</v>
      </c>
      <c r="N1630" s="37">
        <v>2042.4636684878049</v>
      </c>
      <c r="O1630" s="132">
        <f t="shared" si="128"/>
        <v>5512.9996882254154</v>
      </c>
      <c r="P1630" s="134">
        <f t="shared" si="129"/>
        <v>4298.4026515428141</v>
      </c>
      <c r="Q1630" s="261">
        <v>1</v>
      </c>
      <c r="R1630" s="94"/>
    </row>
    <row r="1631" spans="1:18" x14ac:dyDescent="0.25">
      <c r="A1631" s="367">
        <v>41781</v>
      </c>
      <c r="B1631" s="367" t="s">
        <v>279</v>
      </c>
      <c r="C1631" s="279" t="s">
        <v>682</v>
      </c>
      <c r="D1631" s="159" t="s">
        <v>1163</v>
      </c>
      <c r="E1631" s="45">
        <f t="shared" si="130"/>
        <v>41781</v>
      </c>
      <c r="F1631" s="148" t="str">
        <f t="shared" si="127"/>
        <v>2013-14</v>
      </c>
      <c r="G1631" s="1"/>
      <c r="H1631" s="163"/>
      <c r="I1631" s="37"/>
      <c r="J1631" s="138">
        <f t="shared" si="131"/>
        <v>0.77968490742404351</v>
      </c>
      <c r="K1631" s="114"/>
      <c r="L1631" s="37">
        <v>2.6993285309199999</v>
      </c>
      <c r="M1631" s="37" t="s">
        <v>142</v>
      </c>
      <c r="N1631" s="37">
        <v>2042.4636684878049</v>
      </c>
      <c r="O1631" s="132">
        <f t="shared" si="128"/>
        <v>5513.2804537166603</v>
      </c>
      <c r="P1631" s="134">
        <f t="shared" si="129"/>
        <v>4298.6215601588628</v>
      </c>
      <c r="Q1631" s="261">
        <v>1</v>
      </c>
      <c r="R1631" s="94"/>
    </row>
    <row r="1632" spans="1:18" x14ac:dyDescent="0.25">
      <c r="A1632" s="367">
        <v>41781</v>
      </c>
      <c r="B1632" s="367" t="s">
        <v>279</v>
      </c>
      <c r="C1632" s="279" t="s">
        <v>682</v>
      </c>
      <c r="D1632" s="159" t="s">
        <v>1163</v>
      </c>
      <c r="E1632" s="45">
        <f t="shared" si="130"/>
        <v>41781</v>
      </c>
      <c r="F1632" s="148" t="str">
        <f t="shared" si="127"/>
        <v>2013-14</v>
      </c>
      <c r="G1632" s="1"/>
      <c r="H1632" s="163"/>
      <c r="I1632" s="37"/>
      <c r="J1632" s="138">
        <f t="shared" si="131"/>
        <v>0.77968490742404351</v>
      </c>
      <c r="K1632" s="114"/>
      <c r="L1632" s="37">
        <v>17.6264074479</v>
      </c>
      <c r="M1632" s="37" t="s">
        <v>142</v>
      </c>
      <c r="N1632" s="37">
        <v>1422.8419512195119</v>
      </c>
      <c r="O1632" s="132">
        <f t="shared" si="128"/>
        <v>25079.591966160173</v>
      </c>
      <c r="P1632" s="134">
        <f t="shared" si="129"/>
        <v>19554.179340368381</v>
      </c>
      <c r="Q1632" s="261">
        <v>1</v>
      </c>
      <c r="R1632" s="94"/>
    </row>
    <row r="1633" spans="1:18" x14ac:dyDescent="0.25">
      <c r="A1633" s="367">
        <v>41781</v>
      </c>
      <c r="B1633" s="367" t="s">
        <v>279</v>
      </c>
      <c r="C1633" s="279" t="s">
        <v>682</v>
      </c>
      <c r="D1633" s="159" t="s">
        <v>1163</v>
      </c>
      <c r="E1633" s="45">
        <f t="shared" si="130"/>
        <v>41781</v>
      </c>
      <c r="F1633" s="148" t="str">
        <f t="shared" si="127"/>
        <v>2013-14</v>
      </c>
      <c r="G1633" s="1"/>
      <c r="H1633" s="163"/>
      <c r="I1633" s="37"/>
      <c r="J1633" s="138">
        <f t="shared" si="131"/>
        <v>0.77968490742404351</v>
      </c>
      <c r="K1633" s="114"/>
      <c r="L1633" s="37">
        <v>27.502475997600001</v>
      </c>
      <c r="M1633" s="37" t="s">
        <v>142</v>
      </c>
      <c r="N1633" s="37">
        <v>2679.5507189268287</v>
      </c>
      <c r="O1633" s="132">
        <f t="shared" si="128"/>
        <v>73694.279331636935</v>
      </c>
      <c r="P1633" s="134">
        <f t="shared" si="129"/>
        <v>57458.317358368949</v>
      </c>
      <c r="Q1633" s="261">
        <v>1</v>
      </c>
      <c r="R1633" s="94"/>
    </row>
    <row r="1634" spans="1:18" x14ac:dyDescent="0.25">
      <c r="A1634" s="367">
        <v>41781</v>
      </c>
      <c r="B1634" s="367" t="s">
        <v>279</v>
      </c>
      <c r="C1634" s="279" t="s">
        <v>682</v>
      </c>
      <c r="D1634" s="159" t="s">
        <v>1163</v>
      </c>
      <c r="E1634" s="45">
        <f t="shared" si="130"/>
        <v>41781</v>
      </c>
      <c r="F1634" s="148" t="str">
        <f t="shared" si="127"/>
        <v>2013-14</v>
      </c>
      <c r="G1634" s="1"/>
      <c r="H1634" s="163"/>
      <c r="I1634" s="37"/>
      <c r="J1634" s="138">
        <f t="shared" si="131"/>
        <v>0.77968490742404351</v>
      </c>
      <c r="K1634" s="114"/>
      <c r="L1634" s="37">
        <v>3.8972793917300002</v>
      </c>
      <c r="M1634" s="37" t="s">
        <v>142</v>
      </c>
      <c r="N1634" s="37">
        <v>1422.8419512195119</v>
      </c>
      <c r="O1634" s="132">
        <f t="shared" si="128"/>
        <v>5545.2126141767058</v>
      </c>
      <c r="P1634" s="134">
        <f t="shared" si="129"/>
        <v>4323.5185837310028</v>
      </c>
      <c r="Q1634" s="261">
        <v>1</v>
      </c>
      <c r="R1634" s="94"/>
    </row>
    <row r="1635" spans="1:18" x14ac:dyDescent="0.25">
      <c r="A1635" s="367">
        <v>41781</v>
      </c>
      <c r="B1635" s="367" t="s">
        <v>279</v>
      </c>
      <c r="C1635" s="279" t="s">
        <v>682</v>
      </c>
      <c r="D1635" s="159" t="s">
        <v>1163</v>
      </c>
      <c r="E1635" s="45">
        <f t="shared" si="130"/>
        <v>41781</v>
      </c>
      <c r="F1635" s="148" t="str">
        <f t="shared" si="127"/>
        <v>2013-14</v>
      </c>
      <c r="G1635" s="1"/>
      <c r="H1635" s="163"/>
      <c r="I1635" s="37"/>
      <c r="J1635" s="138">
        <f t="shared" si="131"/>
        <v>0.77968490742404351</v>
      </c>
      <c r="K1635" s="114"/>
      <c r="L1635" s="37">
        <v>6.5614100514300002</v>
      </c>
      <c r="M1635" s="37" t="s">
        <v>142</v>
      </c>
      <c r="N1635" s="37">
        <v>1422.8419512195119</v>
      </c>
      <c r="O1635" s="132">
        <f t="shared" si="128"/>
        <v>9335.8494803279791</v>
      </c>
      <c r="P1635" s="134">
        <f t="shared" si="129"/>
        <v>7279.0209377943247</v>
      </c>
      <c r="Q1635" s="261">
        <v>1</v>
      </c>
      <c r="R1635" s="94"/>
    </row>
    <row r="1636" spans="1:18" x14ac:dyDescent="0.25">
      <c r="A1636" s="367">
        <v>41781</v>
      </c>
      <c r="B1636" s="367" t="s">
        <v>279</v>
      </c>
      <c r="C1636" s="279" t="s">
        <v>682</v>
      </c>
      <c r="D1636" s="159" t="s">
        <v>1163</v>
      </c>
      <c r="E1636" s="45">
        <f t="shared" si="130"/>
        <v>41781</v>
      </c>
      <c r="F1636" s="148" t="str">
        <f t="shared" si="127"/>
        <v>2013-14</v>
      </c>
      <c r="G1636" s="1"/>
      <c r="H1636" s="163"/>
      <c r="I1636" s="37"/>
      <c r="J1636" s="138">
        <f t="shared" si="131"/>
        <v>0.77968490742404351</v>
      </c>
      <c r="K1636" s="114"/>
      <c r="L1636" s="37">
        <v>53.952722805999997</v>
      </c>
      <c r="M1636" s="37" t="s">
        <v>142</v>
      </c>
      <c r="N1636" s="37">
        <v>1422.8419512195119</v>
      </c>
      <c r="O1636" s="132">
        <f t="shared" si="128"/>
        <v>76766.197390894493</v>
      </c>
      <c r="P1636" s="134">
        <f t="shared" si="129"/>
        <v>59853.445506015421</v>
      </c>
      <c r="Q1636" s="261">
        <v>1</v>
      </c>
      <c r="R1636" s="94"/>
    </row>
    <row r="1637" spans="1:18" x14ac:dyDescent="0.25">
      <c r="A1637" s="367">
        <v>41781</v>
      </c>
      <c r="B1637" s="367" t="s">
        <v>279</v>
      </c>
      <c r="C1637" s="279" t="s">
        <v>682</v>
      </c>
      <c r="D1637" s="159" t="s">
        <v>1163</v>
      </c>
      <c r="E1637" s="45">
        <f t="shared" si="130"/>
        <v>41781</v>
      </c>
      <c r="F1637" s="148" t="str">
        <f t="shared" si="127"/>
        <v>2013-14</v>
      </c>
      <c r="G1637" s="1"/>
      <c r="H1637" s="163"/>
      <c r="I1637" s="37"/>
      <c r="J1637" s="138">
        <f t="shared" si="131"/>
        <v>0.77968490742404351</v>
      </c>
      <c r="K1637" s="114"/>
      <c r="L1637" s="37">
        <v>1.5005162445</v>
      </c>
      <c r="M1637" s="37" t="s">
        <v>142</v>
      </c>
      <c r="N1637" s="37">
        <v>771.6404230243902</v>
      </c>
      <c r="O1637" s="132">
        <f t="shared" si="128"/>
        <v>1157.8589896609494</v>
      </c>
      <c r="P1637" s="134">
        <f t="shared" si="129"/>
        <v>902.76517916389389</v>
      </c>
      <c r="Q1637" s="261">
        <v>1</v>
      </c>
      <c r="R1637" s="94"/>
    </row>
    <row r="1638" spans="1:18" x14ac:dyDescent="0.25">
      <c r="A1638" s="367">
        <v>41781</v>
      </c>
      <c r="B1638" s="367" t="s">
        <v>279</v>
      </c>
      <c r="C1638" s="279" t="s">
        <v>682</v>
      </c>
      <c r="D1638" s="159" t="s">
        <v>1089</v>
      </c>
      <c r="E1638" s="45">
        <f t="shared" si="130"/>
        <v>41781</v>
      </c>
      <c r="F1638" s="148" t="str">
        <f t="shared" si="127"/>
        <v>2013-14</v>
      </c>
      <c r="G1638" s="1"/>
      <c r="H1638" s="163"/>
      <c r="I1638" s="37"/>
      <c r="J1638" s="138">
        <f t="shared" si="131"/>
        <v>0.77968490742404351</v>
      </c>
      <c r="K1638" s="114"/>
      <c r="L1638" s="37">
        <v>138.92703311099999</v>
      </c>
      <c r="M1638" s="37" t="s">
        <v>142</v>
      </c>
      <c r="N1638" s="37">
        <v>1422.8419512195119</v>
      </c>
      <c r="O1638" s="132">
        <f t="shared" si="128"/>
        <v>197671.21086879296</v>
      </c>
      <c r="P1638" s="134">
        <f t="shared" si="129"/>
        <v>154121.25974663341</v>
      </c>
      <c r="Q1638" s="261">
        <v>1</v>
      </c>
      <c r="R1638" s="94"/>
    </row>
    <row r="1639" spans="1:18" x14ac:dyDescent="0.25">
      <c r="A1639" s="367">
        <v>41781</v>
      </c>
      <c r="B1639" s="367" t="s">
        <v>279</v>
      </c>
      <c r="C1639" s="279" t="s">
        <v>682</v>
      </c>
      <c r="D1639" s="159" t="s">
        <v>1163</v>
      </c>
      <c r="E1639" s="45">
        <f t="shared" si="130"/>
        <v>41781</v>
      </c>
      <c r="F1639" s="148" t="str">
        <f t="shared" si="127"/>
        <v>2013-14</v>
      </c>
      <c r="G1639" s="1"/>
      <c r="H1639" s="163"/>
      <c r="I1639" s="37"/>
      <c r="J1639" s="138">
        <f t="shared" si="131"/>
        <v>0.77968490742404351</v>
      </c>
      <c r="K1639" s="114"/>
      <c r="L1639" s="37">
        <v>215.99069946899999</v>
      </c>
      <c r="M1639" s="37" t="s">
        <v>142</v>
      </c>
      <c r="N1639" s="37">
        <v>2679.5507189268287</v>
      </c>
      <c r="O1639" s="132">
        <f t="shared" si="128"/>
        <v>578758.03404366749</v>
      </c>
      <c r="P1639" s="134">
        <f t="shared" si="129"/>
        <v>451248.90419425833</v>
      </c>
      <c r="Q1639" s="261">
        <v>1</v>
      </c>
      <c r="R1639" s="94"/>
    </row>
    <row r="1640" spans="1:18" x14ac:dyDescent="0.25">
      <c r="A1640" s="367">
        <v>41781</v>
      </c>
      <c r="B1640" s="367" t="s">
        <v>279</v>
      </c>
      <c r="C1640" s="279" t="s">
        <v>682</v>
      </c>
      <c r="D1640" s="159" t="s">
        <v>1163</v>
      </c>
      <c r="E1640" s="45">
        <f t="shared" si="130"/>
        <v>41781</v>
      </c>
      <c r="F1640" s="148" t="str">
        <f t="shared" si="127"/>
        <v>2013-14</v>
      </c>
      <c r="G1640" s="1"/>
      <c r="H1640" s="163"/>
      <c r="I1640" s="37"/>
      <c r="J1640" s="138">
        <f t="shared" si="131"/>
        <v>0.77968490742404351</v>
      </c>
      <c r="K1640" s="114"/>
      <c r="L1640" s="37">
        <v>9.4452699802600009</v>
      </c>
      <c r="M1640" s="37" t="s">
        <v>142</v>
      </c>
      <c r="N1640" s="37">
        <v>1422.8419512195119</v>
      </c>
      <c r="O1640" s="132">
        <f t="shared" si="128"/>
        <v>13439.126368508219</v>
      </c>
      <c r="P1640" s="134">
        <f t="shared" si="129"/>
        <v>10478.283998490353</v>
      </c>
      <c r="Q1640" s="261">
        <v>1</v>
      </c>
      <c r="R1640" s="94"/>
    </row>
    <row r="1641" spans="1:18" x14ac:dyDescent="0.25">
      <c r="A1641" s="367">
        <v>41781</v>
      </c>
      <c r="B1641" s="367" t="s">
        <v>279</v>
      </c>
      <c r="C1641" s="279" t="s">
        <v>682</v>
      </c>
      <c r="D1641" s="159" t="s">
        <v>1163</v>
      </c>
      <c r="E1641" s="45">
        <f t="shared" si="130"/>
        <v>41781</v>
      </c>
      <c r="F1641" s="148" t="str">
        <f t="shared" si="127"/>
        <v>2013-14</v>
      </c>
      <c r="G1641" s="1"/>
      <c r="H1641" s="163"/>
      <c r="I1641" s="37"/>
      <c r="J1641" s="138">
        <f t="shared" si="131"/>
        <v>0.77968490742404351</v>
      </c>
      <c r="K1641" s="114"/>
      <c r="L1641" s="37">
        <v>9.4940289711299997</v>
      </c>
      <c r="M1641" s="37" t="s">
        <v>142</v>
      </c>
      <c r="N1641" s="37">
        <v>1422.8419512195119</v>
      </c>
      <c r="O1641" s="132">
        <f t="shared" si="128"/>
        <v>13508.502706217183</v>
      </c>
      <c r="P1641" s="134">
        <f t="shared" si="129"/>
        <v>10532.375681934385</v>
      </c>
      <c r="Q1641" s="261">
        <v>1</v>
      </c>
      <c r="R1641" s="94"/>
    </row>
    <row r="1642" spans="1:18" x14ac:dyDescent="0.25">
      <c r="A1642" s="367">
        <v>41781</v>
      </c>
      <c r="B1642" s="367" t="s">
        <v>279</v>
      </c>
      <c r="C1642" s="279" t="s">
        <v>682</v>
      </c>
      <c r="D1642" s="159" t="s">
        <v>1089</v>
      </c>
      <c r="E1642" s="45">
        <f t="shared" si="130"/>
        <v>41781</v>
      </c>
      <c r="F1642" s="148" t="str">
        <f t="shared" si="127"/>
        <v>2013-14</v>
      </c>
      <c r="G1642" s="1"/>
      <c r="H1642" s="163"/>
      <c r="I1642" s="37"/>
      <c r="J1642" s="138">
        <f t="shared" si="131"/>
        <v>0.77968490742404351</v>
      </c>
      <c r="K1642" s="114"/>
      <c r="L1642" s="37">
        <v>131.38373043600001</v>
      </c>
      <c r="M1642" s="37" t="s">
        <v>142</v>
      </c>
      <c r="N1642" s="37">
        <v>2679.5507189268287</v>
      </c>
      <c r="O1642" s="132">
        <f t="shared" si="128"/>
        <v>352049.36934507248</v>
      </c>
      <c r="P1642" s="134">
        <f t="shared" si="129"/>
        <v>274487.57994650572</v>
      </c>
      <c r="Q1642" s="261">
        <v>1</v>
      </c>
      <c r="R1642" s="94"/>
    </row>
    <row r="1643" spans="1:18" x14ac:dyDescent="0.25">
      <c r="A1643" s="367">
        <v>41781</v>
      </c>
      <c r="B1643" s="367" t="s">
        <v>279</v>
      </c>
      <c r="C1643" s="279" t="s">
        <v>682</v>
      </c>
      <c r="D1643" s="159" t="s">
        <v>1089</v>
      </c>
      <c r="E1643" s="45">
        <f t="shared" si="130"/>
        <v>41781</v>
      </c>
      <c r="F1643" s="148" t="str">
        <f t="shared" si="127"/>
        <v>2013-14</v>
      </c>
      <c r="G1643" s="1"/>
      <c r="H1643" s="163"/>
      <c r="I1643" s="37"/>
      <c r="J1643" s="138">
        <f t="shared" si="131"/>
        <v>0.77968490742404351</v>
      </c>
      <c r="K1643" s="114"/>
      <c r="L1643" s="37">
        <v>5.9956280738599999</v>
      </c>
      <c r="M1643" s="37" t="s">
        <v>142</v>
      </c>
      <c r="N1643" s="37">
        <v>1422.8419512195119</v>
      </c>
      <c r="O1643" s="132">
        <f t="shared" si="128"/>
        <v>8530.8311473974463</v>
      </c>
      <c r="P1643" s="134">
        <f t="shared" si="129"/>
        <v>6651.3602934087248</v>
      </c>
      <c r="Q1643" s="261">
        <v>1</v>
      </c>
      <c r="R1643" s="94"/>
    </row>
    <row r="1644" spans="1:18" x14ac:dyDescent="0.25">
      <c r="A1644" s="367">
        <v>41781</v>
      </c>
      <c r="B1644" s="367" t="s">
        <v>279</v>
      </c>
      <c r="C1644" s="279" t="s">
        <v>682</v>
      </c>
      <c r="D1644" s="159" t="s">
        <v>1089</v>
      </c>
      <c r="E1644" s="45">
        <f t="shared" si="130"/>
        <v>41781</v>
      </c>
      <c r="F1644" s="148" t="str">
        <f t="shared" si="127"/>
        <v>2013-14</v>
      </c>
      <c r="G1644" s="1"/>
      <c r="H1644" s="163"/>
      <c r="I1644" s="37"/>
      <c r="J1644" s="138">
        <f t="shared" si="131"/>
        <v>0.77968490742404351</v>
      </c>
      <c r="K1644" s="114"/>
      <c r="L1644" s="37">
        <v>147.946250859</v>
      </c>
      <c r="M1644" s="37" t="s">
        <v>142</v>
      </c>
      <c r="N1644" s="37">
        <v>2679.5507189268287</v>
      </c>
      <c r="O1644" s="132">
        <f t="shared" si="128"/>
        <v>396429.48285176238</v>
      </c>
      <c r="P1644" s="134">
        <f t="shared" si="129"/>
        <v>309090.08463743777</v>
      </c>
      <c r="Q1644" s="261">
        <v>1</v>
      </c>
      <c r="R1644" s="94"/>
    </row>
    <row r="1645" spans="1:18" x14ac:dyDescent="0.25">
      <c r="A1645" s="367">
        <v>41739</v>
      </c>
      <c r="B1645" s="367" t="s">
        <v>279</v>
      </c>
      <c r="C1645" s="279" t="s">
        <v>683</v>
      </c>
      <c r="D1645" s="159" t="s">
        <v>1089</v>
      </c>
      <c r="E1645" s="45">
        <f t="shared" si="130"/>
        <v>41739</v>
      </c>
      <c r="F1645" s="148" t="str">
        <f t="shared" si="127"/>
        <v>2013-14</v>
      </c>
      <c r="G1645" s="1"/>
      <c r="H1645" s="163"/>
      <c r="I1645" s="37"/>
      <c r="J1645" s="138">
        <f t="shared" si="131"/>
        <v>0.77968490742404351</v>
      </c>
      <c r="K1645" s="114"/>
      <c r="L1645" s="37">
        <v>1.6057063866100001</v>
      </c>
      <c r="M1645" s="37" t="s">
        <v>142</v>
      </c>
      <c r="N1645" s="37">
        <v>1422.8419512195119</v>
      </c>
      <c r="O1645" s="132">
        <f t="shared" si="128"/>
        <v>2284.6664082098046</v>
      </c>
      <c r="P1645" s="134">
        <f t="shared" si="129"/>
        <v>1781.3199169798834</v>
      </c>
      <c r="Q1645" s="261">
        <v>1</v>
      </c>
      <c r="R1645" s="94"/>
    </row>
    <row r="1646" spans="1:18" x14ac:dyDescent="0.25">
      <c r="A1646" s="367">
        <v>41739</v>
      </c>
      <c r="B1646" s="367" t="s">
        <v>279</v>
      </c>
      <c r="C1646" s="279" t="s">
        <v>683</v>
      </c>
      <c r="D1646" s="159" t="s">
        <v>1089</v>
      </c>
      <c r="E1646" s="45">
        <f t="shared" si="130"/>
        <v>41739</v>
      </c>
      <c r="F1646" s="148" t="str">
        <f t="shared" si="127"/>
        <v>2013-14</v>
      </c>
      <c r="G1646" s="1"/>
      <c r="H1646" s="163"/>
      <c r="I1646" s="37"/>
      <c r="J1646" s="138">
        <f t="shared" si="131"/>
        <v>0.77968490742404351</v>
      </c>
      <c r="K1646" s="114"/>
      <c r="L1646" s="37">
        <v>5.7196878486199996</v>
      </c>
      <c r="M1646" s="37" t="s">
        <v>142</v>
      </c>
      <c r="N1646" s="37">
        <v>1422.8419512195119</v>
      </c>
      <c r="O1646" s="132">
        <f t="shared" si="128"/>
        <v>8138.2118188970126</v>
      </c>
      <c r="P1646" s="134">
        <f t="shared" si="129"/>
        <v>6345.2409286139737</v>
      </c>
      <c r="Q1646" s="261">
        <v>1</v>
      </c>
      <c r="R1646" s="94"/>
    </row>
    <row r="1647" spans="1:18" x14ac:dyDescent="0.25">
      <c r="A1647" s="367">
        <v>41522</v>
      </c>
      <c r="B1647" s="367" t="s">
        <v>279</v>
      </c>
      <c r="C1647" s="279" t="s">
        <v>683</v>
      </c>
      <c r="D1647" s="159" t="s">
        <v>1089</v>
      </c>
      <c r="E1647" s="45">
        <f t="shared" si="130"/>
        <v>41522</v>
      </c>
      <c r="F1647" s="148" t="str">
        <f t="shared" si="127"/>
        <v>2013-14</v>
      </c>
      <c r="G1647" s="1"/>
      <c r="H1647" s="163"/>
      <c r="I1647" s="37"/>
      <c r="J1647" s="138">
        <f t="shared" si="131"/>
        <v>0.77968490742404351</v>
      </c>
      <c r="K1647" s="114"/>
      <c r="L1647" s="37">
        <v>1.6458002052</v>
      </c>
      <c r="M1647" s="37" t="s">
        <v>142</v>
      </c>
      <c r="N1647" s="37">
        <v>1422.8419512195119</v>
      </c>
      <c r="O1647" s="132">
        <f t="shared" si="128"/>
        <v>2341.713575284241</v>
      </c>
      <c r="P1647" s="134">
        <f t="shared" si="129"/>
        <v>1825.7987321591193</v>
      </c>
      <c r="Q1647" s="261">
        <v>1</v>
      </c>
      <c r="R1647" s="94"/>
    </row>
    <row r="1648" spans="1:18" x14ac:dyDescent="0.25">
      <c r="A1648" s="367">
        <v>41522</v>
      </c>
      <c r="B1648" s="367" t="s">
        <v>279</v>
      </c>
      <c r="C1648" s="279" t="s">
        <v>683</v>
      </c>
      <c r="D1648" s="159" t="s">
        <v>1089</v>
      </c>
      <c r="E1648" s="45">
        <f t="shared" si="130"/>
        <v>41522</v>
      </c>
      <c r="F1648" s="148" t="str">
        <f t="shared" si="127"/>
        <v>2013-14</v>
      </c>
      <c r="G1648" s="1"/>
      <c r="H1648" s="163"/>
      <c r="I1648" s="37"/>
      <c r="J1648" s="138">
        <f t="shared" si="131"/>
        <v>0.77968490742404351</v>
      </c>
      <c r="K1648" s="114"/>
      <c r="L1648" s="37">
        <v>2.21448381095</v>
      </c>
      <c r="M1648" s="37" t="s">
        <v>142</v>
      </c>
      <c r="N1648" s="37">
        <v>1422.8419512195119</v>
      </c>
      <c r="O1648" s="132">
        <f t="shared" si="128"/>
        <v>3150.8604665161188</v>
      </c>
      <c r="P1648" s="134">
        <f t="shared" si="129"/>
        <v>2456.6783511416984</v>
      </c>
      <c r="Q1648" s="261">
        <v>1</v>
      </c>
      <c r="R1648" s="94"/>
    </row>
    <row r="1649" spans="1:18" x14ac:dyDescent="0.25">
      <c r="A1649" s="367">
        <v>41522</v>
      </c>
      <c r="B1649" s="367" t="s">
        <v>279</v>
      </c>
      <c r="C1649" s="279" t="s">
        <v>683</v>
      </c>
      <c r="D1649" s="159" t="s">
        <v>1089</v>
      </c>
      <c r="E1649" s="45">
        <f t="shared" si="130"/>
        <v>41522</v>
      </c>
      <c r="F1649" s="148" t="str">
        <f t="shared" si="127"/>
        <v>2013-14</v>
      </c>
      <c r="G1649" s="1"/>
      <c r="H1649" s="163"/>
      <c r="I1649" s="37"/>
      <c r="J1649" s="138">
        <f t="shared" si="131"/>
        <v>0.77968490742404351</v>
      </c>
      <c r="K1649" s="114"/>
      <c r="L1649" s="37">
        <v>2.16989025689</v>
      </c>
      <c r="M1649" s="37" t="s">
        <v>142</v>
      </c>
      <c r="N1649" s="37">
        <v>1422.8419512195119</v>
      </c>
      <c r="O1649" s="132">
        <f t="shared" si="128"/>
        <v>3087.4108870455757</v>
      </c>
      <c r="P1649" s="134">
        <f t="shared" si="129"/>
        <v>2407.2076716461138</v>
      </c>
      <c r="Q1649" s="261">
        <v>1</v>
      </c>
      <c r="R1649" s="94"/>
    </row>
    <row r="1650" spans="1:18" x14ac:dyDescent="0.25">
      <c r="A1650" s="367">
        <v>41781</v>
      </c>
      <c r="B1650" s="367" t="s">
        <v>279</v>
      </c>
      <c r="C1650" s="279" t="s">
        <v>682</v>
      </c>
      <c r="D1650" s="159" t="s">
        <v>1089</v>
      </c>
      <c r="E1650" s="45">
        <f t="shared" si="130"/>
        <v>41781</v>
      </c>
      <c r="F1650" s="148" t="str">
        <f t="shared" si="127"/>
        <v>2013-14</v>
      </c>
      <c r="G1650" s="1"/>
      <c r="H1650" s="163"/>
      <c r="I1650" s="37"/>
      <c r="J1650" s="138">
        <f t="shared" si="131"/>
        <v>0.77968490742404351</v>
      </c>
      <c r="K1650" s="114"/>
      <c r="L1650" s="37">
        <v>2.73847940389</v>
      </c>
      <c r="M1650" s="37" t="s">
        <v>142</v>
      </c>
      <c r="N1650" s="37">
        <v>1422.8419512195119</v>
      </c>
      <c r="O1650" s="132">
        <f t="shared" si="128"/>
        <v>3896.4233784052935</v>
      </c>
      <c r="P1650" s="134">
        <f t="shared" si="129"/>
        <v>3037.98250107681</v>
      </c>
      <c r="Q1650" s="261">
        <v>1</v>
      </c>
      <c r="R1650" s="94"/>
    </row>
    <row r="1651" spans="1:18" x14ac:dyDescent="0.25">
      <c r="A1651" s="367">
        <v>41781</v>
      </c>
      <c r="B1651" s="367" t="s">
        <v>279</v>
      </c>
      <c r="C1651" s="279" t="s">
        <v>682</v>
      </c>
      <c r="D1651" s="159" t="s">
        <v>1089</v>
      </c>
      <c r="E1651" s="45">
        <f t="shared" si="130"/>
        <v>41781</v>
      </c>
      <c r="F1651" s="148" t="str">
        <f t="shared" si="127"/>
        <v>2013-14</v>
      </c>
      <c r="G1651" s="1"/>
      <c r="H1651" s="163"/>
      <c r="I1651" s="37"/>
      <c r="J1651" s="138">
        <f t="shared" si="131"/>
        <v>0.77968490742404351</v>
      </c>
      <c r="K1651" s="114"/>
      <c r="L1651" s="37">
        <v>2.0234312534500001</v>
      </c>
      <c r="M1651" s="37" t="s">
        <v>142</v>
      </c>
      <c r="N1651" s="37">
        <v>1422.8419512195119</v>
      </c>
      <c r="O1651" s="132">
        <f t="shared" si="128"/>
        <v>2879.0228728173406</v>
      </c>
      <c r="P1651" s="134">
        <f t="shared" si="129"/>
        <v>2244.7306820642921</v>
      </c>
      <c r="Q1651" s="261">
        <v>1</v>
      </c>
      <c r="R1651" s="94"/>
    </row>
    <row r="1652" spans="1:18" x14ac:dyDescent="0.25">
      <c r="A1652" s="367">
        <v>41781</v>
      </c>
      <c r="B1652" s="367" t="s">
        <v>279</v>
      </c>
      <c r="C1652" s="279" t="s">
        <v>682</v>
      </c>
      <c r="D1652" s="159" t="s">
        <v>1089</v>
      </c>
      <c r="E1652" s="45">
        <f t="shared" si="130"/>
        <v>41781</v>
      </c>
      <c r="F1652" s="148" t="str">
        <f t="shared" si="127"/>
        <v>2013-14</v>
      </c>
      <c r="G1652" s="1"/>
      <c r="H1652" s="163"/>
      <c r="I1652" s="37"/>
      <c r="J1652" s="138">
        <f t="shared" si="131"/>
        <v>0.77968490742404351</v>
      </c>
      <c r="K1652" s="114"/>
      <c r="L1652" s="37">
        <v>17.005476794300002</v>
      </c>
      <c r="M1652" s="37" t="s">
        <v>142</v>
      </c>
      <c r="N1652" s="37">
        <v>1512.3336585365851</v>
      </c>
      <c r="O1652" s="132">
        <f t="shared" si="128"/>
        <v>25717.954935482721</v>
      </c>
      <c r="P1652" s="134">
        <f t="shared" si="129"/>
        <v>20051.901313007569</v>
      </c>
      <c r="Q1652" s="261">
        <v>1</v>
      </c>
      <c r="R1652" s="94"/>
    </row>
    <row r="1653" spans="1:18" x14ac:dyDescent="0.25">
      <c r="A1653" s="367">
        <v>41781</v>
      </c>
      <c r="B1653" s="367" t="s">
        <v>279</v>
      </c>
      <c r="C1653" s="279" t="s">
        <v>682</v>
      </c>
      <c r="D1653" s="159" t="s">
        <v>1089</v>
      </c>
      <c r="E1653" s="45">
        <f t="shared" si="130"/>
        <v>41781</v>
      </c>
      <c r="F1653" s="148" t="str">
        <f t="shared" si="127"/>
        <v>2013-14</v>
      </c>
      <c r="G1653" s="1"/>
      <c r="H1653" s="163"/>
      <c r="I1653" s="37"/>
      <c r="J1653" s="138">
        <f t="shared" si="131"/>
        <v>0.77968490742404351</v>
      </c>
      <c r="K1653" s="114"/>
      <c r="L1653" s="37">
        <v>6.3821866158900002</v>
      </c>
      <c r="M1653" s="37" t="s">
        <v>142</v>
      </c>
      <c r="N1653" s="37">
        <v>1422.8419512195119</v>
      </c>
      <c r="O1653" s="132">
        <f t="shared" si="128"/>
        <v>9080.8428575999806</v>
      </c>
      <c r="P1653" s="134">
        <f t="shared" si="129"/>
        <v>7080.1961227601278</v>
      </c>
      <c r="Q1653" s="261">
        <v>1</v>
      </c>
      <c r="R1653" s="94"/>
    </row>
    <row r="1654" spans="1:18" x14ac:dyDescent="0.25">
      <c r="A1654" s="367">
        <v>41781</v>
      </c>
      <c r="B1654" s="367" t="s">
        <v>279</v>
      </c>
      <c r="C1654" s="279" t="s">
        <v>682</v>
      </c>
      <c r="D1654" s="159" t="s">
        <v>1089</v>
      </c>
      <c r="E1654" s="45">
        <f t="shared" si="130"/>
        <v>41781</v>
      </c>
      <c r="F1654" s="148" t="str">
        <f t="shared" si="127"/>
        <v>2013-14</v>
      </c>
      <c r="G1654" s="1"/>
      <c r="H1654" s="163"/>
      <c r="I1654" s="37"/>
      <c r="J1654" s="138">
        <f t="shared" si="131"/>
        <v>0.77968490742404351</v>
      </c>
      <c r="K1654" s="114"/>
      <c r="L1654" s="37">
        <v>7.7682811490999999</v>
      </c>
      <c r="M1654" s="37" t="s">
        <v>142</v>
      </c>
      <c r="N1654" s="37">
        <v>1422.8419512195119</v>
      </c>
      <c r="O1654" s="132">
        <f t="shared" si="128"/>
        <v>11053.036307807195</v>
      </c>
      <c r="P1654" s="134">
        <f t="shared" si="129"/>
        <v>8617.8855904072443</v>
      </c>
      <c r="Q1654" s="261">
        <v>1</v>
      </c>
      <c r="R1654" s="94"/>
    </row>
    <row r="1655" spans="1:18" x14ac:dyDescent="0.25">
      <c r="A1655" s="367">
        <v>41859</v>
      </c>
      <c r="B1655" s="367" t="s">
        <v>279</v>
      </c>
      <c r="C1655" s="279" t="s">
        <v>583</v>
      </c>
      <c r="D1655" s="159" t="s">
        <v>1089</v>
      </c>
      <c r="E1655" s="45">
        <f t="shared" si="130"/>
        <v>41859</v>
      </c>
      <c r="F1655" s="148" t="str">
        <f t="shared" si="127"/>
        <v>2014-15</v>
      </c>
      <c r="G1655" s="1"/>
      <c r="H1655" s="163"/>
      <c r="I1655" s="37"/>
      <c r="J1655" s="138">
        <f t="shared" si="131"/>
        <v>0.77968490742404351</v>
      </c>
      <c r="K1655" s="114"/>
      <c r="L1655" s="37">
        <v>4.99852708389</v>
      </c>
      <c r="M1655" s="37" t="s">
        <v>142</v>
      </c>
      <c r="N1655" s="37">
        <v>1181.2618378536583</v>
      </c>
      <c r="O1655" s="132">
        <f t="shared" si="128"/>
        <v>5904.5692896771889</v>
      </c>
      <c r="P1655" s="134">
        <f t="shared" si="129"/>
        <v>4603.7035600008094</v>
      </c>
      <c r="Q1655" s="261">
        <v>1</v>
      </c>
      <c r="R1655" s="94"/>
    </row>
    <row r="1656" spans="1:18" x14ac:dyDescent="0.25">
      <c r="A1656" s="367">
        <v>41859</v>
      </c>
      <c r="B1656" s="367" t="s">
        <v>279</v>
      </c>
      <c r="C1656" s="279" t="s">
        <v>583</v>
      </c>
      <c r="D1656" s="159" t="s">
        <v>1089</v>
      </c>
      <c r="E1656" s="45">
        <f t="shared" si="130"/>
        <v>41859</v>
      </c>
      <c r="F1656" s="148" t="str">
        <f t="shared" si="127"/>
        <v>2014-15</v>
      </c>
      <c r="G1656" s="1"/>
      <c r="H1656" s="163"/>
      <c r="I1656" s="37"/>
      <c r="J1656" s="138">
        <f t="shared" si="131"/>
        <v>0.77968490742404351</v>
      </c>
      <c r="K1656" s="114"/>
      <c r="L1656" s="37">
        <v>3.0002567360299999</v>
      </c>
      <c r="M1656" s="37" t="s">
        <v>142</v>
      </c>
      <c r="N1656" s="37">
        <v>1181.2618378536583</v>
      </c>
      <c r="O1656" s="132">
        <f t="shared" si="128"/>
        <v>3544.0887860356161</v>
      </c>
      <c r="P1656" s="134">
        <f t="shared" si="129"/>
        <v>2763.2725370427702</v>
      </c>
      <c r="Q1656" s="261">
        <v>1</v>
      </c>
      <c r="R1656" s="94"/>
    </row>
    <row r="1657" spans="1:18" x14ac:dyDescent="0.25">
      <c r="A1657" s="367">
        <v>41739</v>
      </c>
      <c r="B1657" s="367" t="s">
        <v>279</v>
      </c>
      <c r="C1657" s="279" t="s">
        <v>683</v>
      </c>
      <c r="D1657" s="159" t="s">
        <v>1089</v>
      </c>
      <c r="E1657" s="45">
        <f t="shared" si="130"/>
        <v>41739</v>
      </c>
      <c r="F1657" s="148" t="str">
        <f t="shared" si="127"/>
        <v>2013-14</v>
      </c>
      <c r="G1657" s="1"/>
      <c r="H1657" s="163"/>
      <c r="I1657" s="37"/>
      <c r="J1657" s="138">
        <f t="shared" si="131"/>
        <v>0.77968490742404351</v>
      </c>
      <c r="K1657" s="114"/>
      <c r="L1657" s="37">
        <v>4.17755873687</v>
      </c>
      <c r="M1657" s="37" t="s">
        <v>142</v>
      </c>
      <c r="N1657" s="37">
        <v>1422.8466506341463</v>
      </c>
      <c r="O1657" s="132">
        <f t="shared" si="128"/>
        <v>5944.0254565828945</v>
      </c>
      <c r="P1657" s="134">
        <f t="shared" si="129"/>
        <v>4634.4669378419921</v>
      </c>
      <c r="Q1657" s="261">
        <v>1</v>
      </c>
      <c r="R1657" s="94"/>
    </row>
    <row r="1658" spans="1:18" x14ac:dyDescent="0.25">
      <c r="A1658" s="367">
        <v>41739</v>
      </c>
      <c r="B1658" s="367" t="s">
        <v>279</v>
      </c>
      <c r="C1658" s="279" t="s">
        <v>683</v>
      </c>
      <c r="D1658" s="159" t="s">
        <v>1089</v>
      </c>
      <c r="E1658" s="45">
        <f t="shared" si="130"/>
        <v>41739</v>
      </c>
      <c r="F1658" s="148" t="str">
        <f t="shared" si="127"/>
        <v>2013-14</v>
      </c>
      <c r="G1658" s="1"/>
      <c r="H1658" s="163"/>
      <c r="I1658" s="37"/>
      <c r="J1658" s="138">
        <f t="shared" si="131"/>
        <v>0.77968490742404351</v>
      </c>
      <c r="K1658" s="114"/>
      <c r="L1658" s="37">
        <v>1.5352552937099999</v>
      </c>
      <c r="M1658" s="37" t="s">
        <v>142</v>
      </c>
      <c r="N1658" s="37">
        <v>1422.8466506341463</v>
      </c>
      <c r="O1658" s="132">
        <f t="shared" si="128"/>
        <v>2184.432852523616</v>
      </c>
      <c r="P1658" s="134">
        <f t="shared" si="129"/>
        <v>1703.1693263939148</v>
      </c>
      <c r="Q1658" s="261">
        <v>1</v>
      </c>
      <c r="R1658" s="94"/>
    </row>
    <row r="1659" spans="1:18" x14ac:dyDescent="0.25">
      <c r="A1659" s="367">
        <v>41739</v>
      </c>
      <c r="B1659" s="367" t="s">
        <v>279</v>
      </c>
      <c r="C1659" s="279" t="s">
        <v>683</v>
      </c>
      <c r="D1659" s="159" t="s">
        <v>1089</v>
      </c>
      <c r="E1659" s="45">
        <f t="shared" si="130"/>
        <v>41739</v>
      </c>
      <c r="F1659" s="148" t="str">
        <f t="shared" si="127"/>
        <v>2013-14</v>
      </c>
      <c r="G1659" s="1"/>
      <c r="H1659" s="163"/>
      <c r="I1659" s="37"/>
      <c r="J1659" s="138">
        <f t="shared" si="131"/>
        <v>0.77968490742404351</v>
      </c>
      <c r="K1659" s="114"/>
      <c r="L1659" s="37">
        <v>219.151782043</v>
      </c>
      <c r="M1659" s="37" t="s">
        <v>142</v>
      </c>
      <c r="N1659" s="37">
        <v>2679.5507189268287</v>
      </c>
      <c r="O1659" s="132">
        <f t="shared" si="128"/>
        <v>587228.31512741628</v>
      </c>
      <c r="P1659" s="134">
        <f t="shared" si="129"/>
        <v>457853.05451689661</v>
      </c>
      <c r="Q1659" s="261">
        <v>1</v>
      </c>
      <c r="R1659" s="94"/>
    </row>
    <row r="1660" spans="1:18" x14ac:dyDescent="0.25">
      <c r="A1660" s="367">
        <v>41739</v>
      </c>
      <c r="B1660" s="367" t="s">
        <v>279</v>
      </c>
      <c r="C1660" s="279" t="s">
        <v>683</v>
      </c>
      <c r="D1660" s="159" t="s">
        <v>1089</v>
      </c>
      <c r="E1660" s="45">
        <f t="shared" si="130"/>
        <v>41739</v>
      </c>
      <c r="F1660" s="148" t="str">
        <f t="shared" si="127"/>
        <v>2013-14</v>
      </c>
      <c r="G1660" s="1"/>
      <c r="H1660" s="163"/>
      <c r="I1660" s="37"/>
      <c r="J1660" s="138">
        <f t="shared" si="131"/>
        <v>0.77968490742404351</v>
      </c>
      <c r="K1660" s="114"/>
      <c r="L1660" s="37">
        <v>222.95378359</v>
      </c>
      <c r="M1660" s="37" t="s">
        <v>142</v>
      </c>
      <c r="N1660" s="37">
        <v>2679.5507189268287</v>
      </c>
      <c r="O1660" s="132">
        <f t="shared" si="128"/>
        <v>597415.97110604111</v>
      </c>
      <c r="P1660" s="134">
        <f t="shared" si="129"/>
        <v>465796.21612545871</v>
      </c>
      <c r="Q1660" s="261">
        <v>1</v>
      </c>
      <c r="R1660" s="94"/>
    </row>
    <row r="1661" spans="1:18" x14ac:dyDescent="0.25">
      <c r="A1661" s="367">
        <v>41739</v>
      </c>
      <c r="B1661" s="367" t="s">
        <v>279</v>
      </c>
      <c r="C1661" s="279" t="s">
        <v>683</v>
      </c>
      <c r="D1661" s="159" t="s">
        <v>1089</v>
      </c>
      <c r="E1661" s="45">
        <f t="shared" si="130"/>
        <v>41739</v>
      </c>
      <c r="F1661" s="148" t="str">
        <f t="shared" si="127"/>
        <v>2013-14</v>
      </c>
      <c r="G1661" s="1"/>
      <c r="H1661" s="163"/>
      <c r="I1661" s="37"/>
      <c r="J1661" s="138">
        <f t="shared" si="131"/>
        <v>0.77968490742404351</v>
      </c>
      <c r="K1661" s="114"/>
      <c r="L1661" s="37">
        <v>4.8595368091999998</v>
      </c>
      <c r="M1661" s="37" t="s">
        <v>142</v>
      </c>
      <c r="N1661" s="37">
        <v>2679.5507189268287</v>
      </c>
      <c r="O1661" s="132">
        <f t="shared" si="128"/>
        <v>13021.375350743247</v>
      </c>
      <c r="P1661" s="134">
        <f t="shared" si="129"/>
        <v>10152.56983487797</v>
      </c>
      <c r="Q1661" s="261">
        <v>1</v>
      </c>
      <c r="R1661" s="94"/>
    </row>
    <row r="1662" spans="1:18" x14ac:dyDescent="0.25">
      <c r="A1662" s="367">
        <v>41739</v>
      </c>
      <c r="B1662" s="367" t="s">
        <v>279</v>
      </c>
      <c r="C1662" s="279" t="s">
        <v>683</v>
      </c>
      <c r="D1662" s="159" t="s">
        <v>1089</v>
      </c>
      <c r="E1662" s="45">
        <f t="shared" si="130"/>
        <v>41739</v>
      </c>
      <c r="F1662" s="148" t="str">
        <f t="shared" si="127"/>
        <v>2013-14</v>
      </c>
      <c r="G1662" s="1"/>
      <c r="H1662" s="163"/>
      <c r="I1662" s="37"/>
      <c r="J1662" s="138">
        <f t="shared" si="131"/>
        <v>0.77968490742404351</v>
      </c>
      <c r="K1662" s="114"/>
      <c r="L1662" s="37">
        <v>3.4457797709400002</v>
      </c>
      <c r="M1662" s="37" t="s">
        <v>142</v>
      </c>
      <c r="N1662" s="37">
        <v>1422.8419512195119</v>
      </c>
      <c r="O1662" s="132">
        <f t="shared" si="128"/>
        <v>4902.8000127569931</v>
      </c>
      <c r="P1662" s="134">
        <f t="shared" si="129"/>
        <v>3822.6391740650356</v>
      </c>
      <c r="Q1662" s="261">
        <v>1</v>
      </c>
      <c r="R1662" s="94"/>
    </row>
    <row r="1663" spans="1:18" x14ac:dyDescent="0.25">
      <c r="A1663" s="367">
        <v>41739</v>
      </c>
      <c r="B1663" s="367" t="s">
        <v>279</v>
      </c>
      <c r="C1663" s="279" t="s">
        <v>683</v>
      </c>
      <c r="D1663" s="159" t="s">
        <v>1089</v>
      </c>
      <c r="E1663" s="45">
        <f t="shared" si="130"/>
        <v>41739</v>
      </c>
      <c r="F1663" s="148" t="str">
        <f t="shared" si="127"/>
        <v>2013-14</v>
      </c>
      <c r="G1663" s="1"/>
      <c r="H1663" s="163"/>
      <c r="I1663" s="37"/>
      <c r="J1663" s="138">
        <f t="shared" si="131"/>
        <v>0.77968490742404351</v>
      </c>
      <c r="K1663" s="114"/>
      <c r="L1663" s="37">
        <v>1.99982324219</v>
      </c>
      <c r="M1663" s="37" t="s">
        <v>142</v>
      </c>
      <c r="N1663" s="37">
        <v>1422.8419512195119</v>
      </c>
      <c r="O1663" s="132">
        <f t="shared" si="128"/>
        <v>2845.4324040117499</v>
      </c>
      <c r="P1663" s="134">
        <f t="shared" si="129"/>
        <v>2218.5407005032748</v>
      </c>
      <c r="Q1663" s="261">
        <v>1</v>
      </c>
      <c r="R1663" s="94"/>
    </row>
    <row r="1664" spans="1:18" x14ac:dyDescent="0.25">
      <c r="A1664" s="367">
        <v>41739</v>
      </c>
      <c r="B1664" s="367" t="s">
        <v>279</v>
      </c>
      <c r="C1664" s="279" t="s">
        <v>683</v>
      </c>
      <c r="D1664" s="159" t="s">
        <v>1089</v>
      </c>
      <c r="E1664" s="45">
        <f t="shared" si="130"/>
        <v>41739</v>
      </c>
      <c r="F1664" s="148" t="str">
        <f t="shared" si="127"/>
        <v>2013-14</v>
      </c>
      <c r="G1664" s="1"/>
      <c r="H1664" s="163"/>
      <c r="I1664" s="37"/>
      <c r="J1664" s="138">
        <f t="shared" si="131"/>
        <v>0.77968490742404351</v>
      </c>
      <c r="K1664" s="114"/>
      <c r="L1664" s="37">
        <v>1.4983277345099999</v>
      </c>
      <c r="M1664" s="37" t="s">
        <v>142</v>
      </c>
      <c r="N1664" s="37">
        <v>1422.8466506341463</v>
      </c>
      <c r="O1664" s="132">
        <f t="shared" si="128"/>
        <v>2131.8905985998017</v>
      </c>
      <c r="P1664" s="134">
        <f t="shared" si="129"/>
        <v>1662.2029240074751</v>
      </c>
      <c r="Q1664" s="261">
        <v>1</v>
      </c>
      <c r="R1664" s="94"/>
    </row>
    <row r="1665" spans="1:18" x14ac:dyDescent="0.25">
      <c r="A1665" s="367">
        <v>41739</v>
      </c>
      <c r="B1665" s="367" t="s">
        <v>279</v>
      </c>
      <c r="C1665" s="279" t="s">
        <v>683</v>
      </c>
      <c r="D1665" s="159" t="s">
        <v>1089</v>
      </c>
      <c r="E1665" s="45">
        <f t="shared" si="130"/>
        <v>41739</v>
      </c>
      <c r="F1665" s="148" t="str">
        <f t="shared" si="127"/>
        <v>2013-14</v>
      </c>
      <c r="G1665" s="1"/>
      <c r="H1665" s="163"/>
      <c r="I1665" s="37"/>
      <c r="J1665" s="138">
        <f t="shared" si="131"/>
        <v>0.77968490742404351</v>
      </c>
      <c r="K1665" s="114"/>
      <c r="L1665" s="37">
        <v>2.1812698553100001</v>
      </c>
      <c r="M1665" s="37" t="s">
        <v>142</v>
      </c>
      <c r="N1665" s="37">
        <v>1422.8419512195119</v>
      </c>
      <c r="O1665" s="132">
        <f t="shared" si="128"/>
        <v>3103.6022570655828</v>
      </c>
      <c r="P1665" s="134">
        <f t="shared" si="129"/>
        <v>2419.8318384812314</v>
      </c>
      <c r="Q1665" s="261">
        <v>1</v>
      </c>
      <c r="R1665" s="94"/>
    </row>
    <row r="1666" spans="1:18" x14ac:dyDescent="0.25">
      <c r="A1666" s="367">
        <v>41739</v>
      </c>
      <c r="B1666" s="367" t="s">
        <v>279</v>
      </c>
      <c r="C1666" s="279" t="s">
        <v>683</v>
      </c>
      <c r="D1666" s="159" t="s">
        <v>1089</v>
      </c>
      <c r="E1666" s="45">
        <f t="shared" si="130"/>
        <v>41739</v>
      </c>
      <c r="F1666" s="148" t="str">
        <f t="shared" si="127"/>
        <v>2013-14</v>
      </c>
      <c r="G1666" s="1"/>
      <c r="H1666" s="163"/>
      <c r="I1666" s="37"/>
      <c r="J1666" s="138">
        <f t="shared" si="131"/>
        <v>0.77968490742404351</v>
      </c>
      <c r="K1666" s="114"/>
      <c r="L1666" s="37">
        <v>5.2389398515199996</v>
      </c>
      <c r="M1666" s="37" t="s">
        <v>142</v>
      </c>
      <c r="N1666" s="37">
        <v>1422.8419512195119</v>
      </c>
      <c r="O1666" s="132">
        <f t="shared" si="128"/>
        <v>7454.1834006583758</v>
      </c>
      <c r="P1666" s="134">
        <f t="shared" si="129"/>
        <v>5811.9142946641678</v>
      </c>
      <c r="Q1666" s="261">
        <v>1</v>
      </c>
      <c r="R1666" s="94"/>
    </row>
    <row r="1667" spans="1:18" x14ac:dyDescent="0.25">
      <c r="A1667" s="367">
        <v>41739</v>
      </c>
      <c r="B1667" s="367" t="s">
        <v>279</v>
      </c>
      <c r="C1667" s="279" t="s">
        <v>683</v>
      </c>
      <c r="D1667" s="159" t="s">
        <v>1089</v>
      </c>
      <c r="E1667" s="45">
        <f t="shared" si="130"/>
        <v>41739</v>
      </c>
      <c r="F1667" s="148" t="str">
        <f t="shared" si="127"/>
        <v>2013-14</v>
      </c>
      <c r="G1667" s="1"/>
      <c r="H1667" s="163"/>
      <c r="I1667" s="37"/>
      <c r="J1667" s="138">
        <f t="shared" si="131"/>
        <v>0.77968490742404351</v>
      </c>
      <c r="K1667" s="114"/>
      <c r="L1667" s="37">
        <v>6.8582741269199996</v>
      </c>
      <c r="M1667" s="37" t="s">
        <v>142</v>
      </c>
      <c r="N1667" s="37">
        <v>2679.5507189268287</v>
      </c>
      <c r="O1667" s="132">
        <f t="shared" si="128"/>
        <v>18377.093367385754</v>
      </c>
      <c r="P1667" s="134">
        <f t="shared" si="129"/>
        <v>14328.342340873165</v>
      </c>
      <c r="Q1667" s="261">
        <v>1</v>
      </c>
      <c r="R1667" s="94"/>
    </row>
    <row r="1668" spans="1:18" x14ac:dyDescent="0.25">
      <c r="A1668" s="367">
        <v>41739</v>
      </c>
      <c r="B1668" s="367" t="s">
        <v>279</v>
      </c>
      <c r="C1668" s="279" t="s">
        <v>683</v>
      </c>
      <c r="D1668" s="159" t="s">
        <v>1089</v>
      </c>
      <c r="E1668" s="45">
        <f t="shared" si="130"/>
        <v>41739</v>
      </c>
      <c r="F1668" s="148" t="str">
        <f t="shared" si="127"/>
        <v>2013-14</v>
      </c>
      <c r="G1668" s="1"/>
      <c r="H1668" s="163"/>
      <c r="I1668" s="37"/>
      <c r="J1668" s="138">
        <f t="shared" si="131"/>
        <v>0.77968490742404351</v>
      </c>
      <c r="K1668" s="114"/>
      <c r="L1668" s="37">
        <v>1.0863263782100001</v>
      </c>
      <c r="M1668" s="37" t="s">
        <v>142</v>
      </c>
      <c r="N1668" s="37">
        <v>1422.8419512195119</v>
      </c>
      <c r="O1668" s="132">
        <f t="shared" si="128"/>
        <v>1545.6707436335421</v>
      </c>
      <c r="P1668" s="134">
        <f t="shared" si="129"/>
        <v>1205.1361506579708</v>
      </c>
      <c r="Q1668" s="261">
        <v>1</v>
      </c>
      <c r="R1668" s="94"/>
    </row>
    <row r="1669" spans="1:18" x14ac:dyDescent="0.25">
      <c r="A1669" s="367">
        <v>41739</v>
      </c>
      <c r="B1669" s="367" t="s">
        <v>279</v>
      </c>
      <c r="C1669" s="279" t="s">
        <v>683</v>
      </c>
      <c r="D1669" s="159" t="s">
        <v>1089</v>
      </c>
      <c r="E1669" s="45">
        <f t="shared" si="130"/>
        <v>41739</v>
      </c>
      <c r="F1669" s="148" t="str">
        <f t="shared" si="127"/>
        <v>2013-14</v>
      </c>
      <c r="G1669" s="1"/>
      <c r="H1669" s="163"/>
      <c r="I1669" s="37"/>
      <c r="J1669" s="138">
        <f t="shared" si="131"/>
        <v>0.77968490742404351</v>
      </c>
      <c r="K1669" s="114"/>
      <c r="L1669" s="37">
        <v>1.2106630414799999</v>
      </c>
      <c r="M1669" s="37" t="s">
        <v>142</v>
      </c>
      <c r="N1669" s="37">
        <v>1422.8419512195119</v>
      </c>
      <c r="O1669" s="132">
        <f t="shared" si="128"/>
        <v>1722.5821642087519</v>
      </c>
      <c r="P1669" s="134">
        <f t="shared" si="129"/>
        <v>1343.0713152314092</v>
      </c>
      <c r="Q1669" s="261">
        <v>1</v>
      </c>
      <c r="R1669" s="94"/>
    </row>
    <row r="1670" spans="1:18" x14ac:dyDescent="0.25">
      <c r="A1670" s="367">
        <v>41739</v>
      </c>
      <c r="B1670" s="367" t="s">
        <v>279</v>
      </c>
      <c r="C1670" s="279" t="s">
        <v>683</v>
      </c>
      <c r="D1670" s="159" t="s">
        <v>1089</v>
      </c>
      <c r="E1670" s="45">
        <f t="shared" si="130"/>
        <v>41739</v>
      </c>
      <c r="F1670" s="148" t="str">
        <f t="shared" si="127"/>
        <v>2013-14</v>
      </c>
      <c r="G1670" s="1"/>
      <c r="H1670" s="163"/>
      <c r="I1670" s="37"/>
      <c r="J1670" s="138">
        <f t="shared" si="131"/>
        <v>0.77968490742404351</v>
      </c>
      <c r="K1670" s="114"/>
      <c r="L1670" s="37">
        <v>1.5002946377299999</v>
      </c>
      <c r="M1670" s="37" t="s">
        <v>142</v>
      </c>
      <c r="N1670" s="37">
        <v>1422.8466506341463</v>
      </c>
      <c r="O1670" s="132">
        <f t="shared" si="128"/>
        <v>2134.6892002585005</v>
      </c>
      <c r="P1670" s="134">
        <f t="shared" si="129"/>
        <v>1664.3849514826545</v>
      </c>
      <c r="Q1670" s="261">
        <v>1</v>
      </c>
      <c r="R1670" s="94"/>
    </row>
    <row r="1671" spans="1:18" x14ac:dyDescent="0.25">
      <c r="A1671" s="367">
        <v>41739</v>
      </c>
      <c r="B1671" s="367" t="s">
        <v>279</v>
      </c>
      <c r="C1671" s="279" t="s">
        <v>683</v>
      </c>
      <c r="D1671" s="159" t="s">
        <v>1089</v>
      </c>
      <c r="E1671" s="45">
        <f t="shared" si="130"/>
        <v>41739</v>
      </c>
      <c r="F1671" s="148" t="str">
        <f t="shared" si="127"/>
        <v>2013-14</v>
      </c>
      <c r="G1671" s="1"/>
      <c r="H1671" s="163"/>
      <c r="I1671" s="37"/>
      <c r="J1671" s="138">
        <f t="shared" si="131"/>
        <v>0.77968490742404351</v>
      </c>
      <c r="K1671" s="114"/>
      <c r="L1671" s="37">
        <v>1.03530526899</v>
      </c>
      <c r="M1671" s="37" t="s">
        <v>142</v>
      </c>
      <c r="N1671" s="37">
        <v>2679.5507189268287</v>
      </c>
      <c r="O1671" s="132">
        <f t="shared" si="128"/>
        <v>2774.1529778308882</v>
      </c>
      <c r="P1671" s="134">
        <f t="shared" si="129"/>
        <v>2162.9652077002106</v>
      </c>
      <c r="Q1671" s="261">
        <v>1</v>
      </c>
      <c r="R1671" s="94"/>
    </row>
    <row r="1672" spans="1:18" x14ac:dyDescent="0.25">
      <c r="A1672" s="367">
        <v>41739</v>
      </c>
      <c r="B1672" s="367" t="s">
        <v>279</v>
      </c>
      <c r="C1672" s="279" t="s">
        <v>683</v>
      </c>
      <c r="D1672" s="159" t="s">
        <v>1089</v>
      </c>
      <c r="E1672" s="45">
        <f t="shared" si="130"/>
        <v>41739</v>
      </c>
      <c r="F1672" s="148" t="str">
        <f t="shared" si="127"/>
        <v>2013-14</v>
      </c>
      <c r="G1672" s="1"/>
      <c r="H1672" s="163"/>
      <c r="I1672" s="37"/>
      <c r="J1672" s="138">
        <f t="shared" si="131"/>
        <v>0.77968490742404351</v>
      </c>
      <c r="K1672" s="114"/>
      <c r="L1672" s="37">
        <v>54.058613700000002</v>
      </c>
      <c r="M1672" s="37" t="s">
        <v>142</v>
      </c>
      <c r="N1672" s="37">
        <v>1422.8466506341463</v>
      </c>
      <c r="O1672" s="132">
        <f t="shared" si="128"/>
        <v>76917.117440970178</v>
      </c>
      <c r="P1672" s="134">
        <f t="shared" si="129"/>
        <v>59971.115591287118</v>
      </c>
      <c r="Q1672" s="261">
        <v>1</v>
      </c>
      <c r="R1672" s="94"/>
    </row>
    <row r="1673" spans="1:18" x14ac:dyDescent="0.25">
      <c r="A1673" s="367">
        <v>41739</v>
      </c>
      <c r="B1673" s="367" t="s">
        <v>279</v>
      </c>
      <c r="C1673" s="279" t="s">
        <v>683</v>
      </c>
      <c r="D1673" s="159" t="s">
        <v>1089</v>
      </c>
      <c r="E1673" s="45">
        <f t="shared" si="130"/>
        <v>41739</v>
      </c>
      <c r="F1673" s="148" t="str">
        <f t="shared" si="127"/>
        <v>2013-14</v>
      </c>
      <c r="G1673" s="1"/>
      <c r="H1673" s="163"/>
      <c r="I1673" s="37"/>
      <c r="J1673" s="138">
        <f t="shared" si="131"/>
        <v>0.77968490742404351</v>
      </c>
      <c r="K1673" s="114"/>
      <c r="L1673" s="37">
        <v>1.6897456739900001</v>
      </c>
      <c r="M1673" s="37" t="s">
        <v>142</v>
      </c>
      <c r="N1673" s="37">
        <v>1422.8466506341463</v>
      </c>
      <c r="O1673" s="132">
        <f t="shared" si="128"/>
        <v>2404.2489726602098</v>
      </c>
      <c r="P1673" s="134">
        <f t="shared" si="129"/>
        <v>1874.5566376729273</v>
      </c>
      <c r="Q1673" s="261">
        <v>1</v>
      </c>
      <c r="R1673" s="94"/>
    </row>
    <row r="1674" spans="1:18" x14ac:dyDescent="0.25">
      <c r="A1674" s="367">
        <v>42354</v>
      </c>
      <c r="B1674" s="367" t="s">
        <v>279</v>
      </c>
      <c r="C1674" s="279" t="s">
        <v>684</v>
      </c>
      <c r="D1674" s="159" t="s">
        <v>1089</v>
      </c>
      <c r="E1674" s="45">
        <f t="shared" si="130"/>
        <v>42354</v>
      </c>
      <c r="F1674" s="148" t="str">
        <f t="shared" si="127"/>
        <v>2015-16</v>
      </c>
      <c r="G1674" s="1"/>
      <c r="H1674" s="163"/>
      <c r="I1674" s="37"/>
      <c r="J1674" s="138">
        <f t="shared" si="131"/>
        <v>0.77968490742404351</v>
      </c>
      <c r="K1674" s="114"/>
      <c r="L1674" s="37">
        <v>1.9799323511</v>
      </c>
      <c r="M1674" s="37" t="s">
        <v>142</v>
      </c>
      <c r="N1674" s="37">
        <v>696.6467060487804</v>
      </c>
      <c r="O1674" s="132">
        <f t="shared" si="128"/>
        <v>1379.3133505932324</v>
      </c>
      <c r="P1674" s="134">
        <f t="shared" si="129"/>
        <v>1075.4298020660317</v>
      </c>
      <c r="Q1674" s="261">
        <v>1</v>
      </c>
      <c r="R1674" s="94"/>
    </row>
    <row r="1675" spans="1:18" x14ac:dyDescent="0.25">
      <c r="A1675" s="367">
        <v>40446</v>
      </c>
      <c r="B1675" s="367" t="s">
        <v>279</v>
      </c>
      <c r="C1675" s="279" t="s">
        <v>685</v>
      </c>
      <c r="D1675" s="159" t="s">
        <v>1166</v>
      </c>
      <c r="E1675" s="45">
        <f t="shared" si="130"/>
        <v>40446</v>
      </c>
      <c r="F1675" s="148" t="str">
        <f t="shared" si="127"/>
        <v>2010-11</v>
      </c>
      <c r="G1675" s="1"/>
      <c r="H1675" s="163"/>
      <c r="I1675" s="37"/>
      <c r="J1675" s="138">
        <f t="shared" si="131"/>
        <v>0.77968490742404351</v>
      </c>
      <c r="K1675" s="114"/>
      <c r="L1675" s="37">
        <v>61.711968094299998</v>
      </c>
      <c r="M1675" s="37" t="s">
        <v>142</v>
      </c>
      <c r="N1675" s="37">
        <v>1003.0093919999996</v>
      </c>
      <c r="O1675" s="132">
        <f t="shared" si="128"/>
        <v>61897.683597387215</v>
      </c>
      <c r="P1675" s="134">
        <f t="shared" si="129"/>
        <v>48260.689705391589</v>
      </c>
      <c r="Q1675" s="261">
        <v>1</v>
      </c>
      <c r="R1675" s="94"/>
    </row>
    <row r="1676" spans="1:18" x14ac:dyDescent="0.25">
      <c r="A1676" s="367">
        <v>40446</v>
      </c>
      <c r="B1676" s="367" t="s">
        <v>279</v>
      </c>
      <c r="C1676" s="279" t="s">
        <v>685</v>
      </c>
      <c r="D1676" s="159" t="s">
        <v>1166</v>
      </c>
      <c r="E1676" s="45">
        <f t="shared" si="130"/>
        <v>40446</v>
      </c>
      <c r="F1676" s="148" t="str">
        <f t="shared" si="127"/>
        <v>2010-11</v>
      </c>
      <c r="G1676" s="1"/>
      <c r="H1676" s="163"/>
      <c r="I1676" s="37"/>
      <c r="J1676" s="138">
        <f t="shared" si="131"/>
        <v>0.77968490742404351</v>
      </c>
      <c r="K1676" s="114"/>
      <c r="L1676" s="37">
        <v>2.9986175199199998</v>
      </c>
      <c r="M1676" s="37" t="s">
        <v>142</v>
      </c>
      <c r="N1676" s="37">
        <v>1003.0093919999996</v>
      </c>
      <c r="O1676" s="132">
        <f t="shared" si="128"/>
        <v>3007.6415354955057</v>
      </c>
      <c r="P1676" s="134">
        <f t="shared" si="129"/>
        <v>2345.0127121675214</v>
      </c>
      <c r="Q1676" s="261">
        <v>1</v>
      </c>
      <c r="R1676" s="94"/>
    </row>
    <row r="1677" spans="1:18" x14ac:dyDescent="0.25">
      <c r="A1677" s="367">
        <v>40446</v>
      </c>
      <c r="B1677" s="367" t="s">
        <v>279</v>
      </c>
      <c r="C1677" s="279" t="s">
        <v>685</v>
      </c>
      <c r="D1677" s="159" t="s">
        <v>1166</v>
      </c>
      <c r="E1677" s="45">
        <f t="shared" si="130"/>
        <v>40446</v>
      </c>
      <c r="F1677" s="148" t="str">
        <f t="shared" si="127"/>
        <v>2010-11</v>
      </c>
      <c r="G1677" s="1"/>
      <c r="H1677" s="163"/>
      <c r="I1677" s="37"/>
      <c r="J1677" s="138">
        <f t="shared" si="131"/>
        <v>0.77968490742404351</v>
      </c>
      <c r="K1677" s="114"/>
      <c r="L1677" s="37">
        <v>15.9946907441</v>
      </c>
      <c r="M1677" s="37" t="s">
        <v>142</v>
      </c>
      <c r="N1677" s="37">
        <v>1003.0093919999996</v>
      </c>
      <c r="O1677" s="132">
        <f t="shared" si="128"/>
        <v>16042.825038467761</v>
      </c>
      <c r="P1677" s="134">
        <f t="shared" si="129"/>
        <v>12508.348554937864</v>
      </c>
      <c r="Q1677" s="261">
        <v>1</v>
      </c>
      <c r="R1677" s="94"/>
    </row>
    <row r="1678" spans="1:18" x14ac:dyDescent="0.25">
      <c r="A1678" s="367">
        <v>40446</v>
      </c>
      <c r="B1678" s="367" t="s">
        <v>279</v>
      </c>
      <c r="C1678" s="279" t="s">
        <v>685</v>
      </c>
      <c r="D1678" s="159" t="s">
        <v>1166</v>
      </c>
      <c r="E1678" s="45">
        <f t="shared" si="130"/>
        <v>40446</v>
      </c>
      <c r="F1678" s="148" t="str">
        <f t="shared" si="127"/>
        <v>2010-11</v>
      </c>
      <c r="G1678" s="1"/>
      <c r="H1678" s="163"/>
      <c r="I1678" s="37"/>
      <c r="J1678" s="138">
        <f t="shared" si="131"/>
        <v>0.77968490742404351</v>
      </c>
      <c r="K1678" s="114"/>
      <c r="L1678" s="37">
        <v>33.769193834100001</v>
      </c>
      <c r="M1678" s="37" t="s">
        <v>142</v>
      </c>
      <c r="N1678" s="37">
        <v>1003.0093919999996</v>
      </c>
      <c r="O1678" s="132">
        <f t="shared" si="128"/>
        <v>33870.818575870777</v>
      </c>
      <c r="P1678" s="134">
        <f t="shared" si="129"/>
        <v>26408.566045704381</v>
      </c>
      <c r="Q1678" s="261">
        <v>1</v>
      </c>
      <c r="R1678" s="94"/>
    </row>
    <row r="1679" spans="1:18" x14ac:dyDescent="0.25">
      <c r="A1679" s="367">
        <v>39316</v>
      </c>
      <c r="B1679" s="367" t="s">
        <v>279</v>
      </c>
      <c r="C1679" s="279" t="s">
        <v>685</v>
      </c>
      <c r="D1679" s="159" t="s">
        <v>1166</v>
      </c>
      <c r="E1679" s="45">
        <f t="shared" si="130"/>
        <v>39316</v>
      </c>
      <c r="F1679" s="148" t="str">
        <f t="shared" si="127"/>
        <v>2007-08</v>
      </c>
      <c r="G1679" s="1"/>
      <c r="H1679" s="163"/>
      <c r="I1679" s="37"/>
      <c r="J1679" s="138">
        <f t="shared" si="131"/>
        <v>0.77968490742404351</v>
      </c>
      <c r="K1679" s="114"/>
      <c r="L1679" s="37">
        <v>8.4012646323499993</v>
      </c>
      <c r="M1679" s="37" t="s">
        <v>142</v>
      </c>
      <c r="N1679" s="37">
        <v>696.6467060487804</v>
      </c>
      <c r="O1679" s="132">
        <f t="shared" si="128"/>
        <v>5852.7133327707452</v>
      </c>
      <c r="P1679" s="134">
        <f t="shared" si="129"/>
        <v>4563.2722530408237</v>
      </c>
      <c r="Q1679" s="261">
        <v>1</v>
      </c>
      <c r="R1679" s="94"/>
    </row>
    <row r="1680" spans="1:18" x14ac:dyDescent="0.25">
      <c r="A1680" s="367">
        <v>39316</v>
      </c>
      <c r="B1680" s="367" t="s">
        <v>279</v>
      </c>
      <c r="C1680" s="279" t="s">
        <v>685</v>
      </c>
      <c r="D1680" s="159" t="s">
        <v>1166</v>
      </c>
      <c r="E1680" s="45">
        <f t="shared" si="130"/>
        <v>39316</v>
      </c>
      <c r="F1680" s="148" t="str">
        <f t="shared" si="127"/>
        <v>2007-08</v>
      </c>
      <c r="G1680" s="1"/>
      <c r="H1680" s="163"/>
      <c r="I1680" s="37"/>
      <c r="J1680" s="138">
        <f t="shared" si="131"/>
        <v>0.77968490742404351</v>
      </c>
      <c r="K1680" s="114"/>
      <c r="L1680" s="37">
        <v>3.99883115002</v>
      </c>
      <c r="M1680" s="37" t="s">
        <v>142</v>
      </c>
      <c r="N1680" s="37">
        <v>696.6467060487804</v>
      </c>
      <c r="O1680" s="132">
        <f t="shared" si="128"/>
        <v>2785.7725487066896</v>
      </c>
      <c r="P1680" s="134">
        <f t="shared" si="129"/>
        <v>2172.0248117428168</v>
      </c>
      <c r="Q1680" s="261">
        <v>1</v>
      </c>
      <c r="R1680" s="94"/>
    </row>
    <row r="1681" spans="1:18" x14ac:dyDescent="0.25">
      <c r="A1681" s="367">
        <v>39316</v>
      </c>
      <c r="B1681" s="367" t="s">
        <v>279</v>
      </c>
      <c r="C1681" s="279" t="s">
        <v>685</v>
      </c>
      <c r="D1681" s="159" t="s">
        <v>1166</v>
      </c>
      <c r="E1681" s="45">
        <f t="shared" si="130"/>
        <v>39316</v>
      </c>
      <c r="F1681" s="148" t="str">
        <f t="shared" si="127"/>
        <v>2007-08</v>
      </c>
      <c r="G1681" s="1"/>
      <c r="H1681" s="163"/>
      <c r="I1681" s="37"/>
      <c r="J1681" s="138">
        <f t="shared" si="131"/>
        <v>0.77968490742404351</v>
      </c>
      <c r="K1681" s="114"/>
      <c r="L1681" s="37">
        <v>449.664463802</v>
      </c>
      <c r="M1681" s="37" t="s">
        <v>142</v>
      </c>
      <c r="N1681" s="37">
        <v>916.51999999999987</v>
      </c>
      <c r="O1681" s="132">
        <f t="shared" si="128"/>
        <v>412126.47436380899</v>
      </c>
      <c r="P1681" s="134">
        <f t="shared" si="129"/>
        <v>321328.79201134387</v>
      </c>
      <c r="Q1681" s="261">
        <v>1</v>
      </c>
      <c r="R1681" s="94"/>
    </row>
    <row r="1682" spans="1:18" x14ac:dyDescent="0.25">
      <c r="A1682" s="367">
        <v>40368</v>
      </c>
      <c r="B1682" s="367" t="s">
        <v>279</v>
      </c>
      <c r="C1682" s="279" t="s">
        <v>681</v>
      </c>
      <c r="D1682" s="159" t="s">
        <v>1161</v>
      </c>
      <c r="E1682" s="45">
        <f t="shared" si="130"/>
        <v>40368</v>
      </c>
      <c r="F1682" s="148" t="str">
        <f t="shared" ref="F1682:F1745" si="132">IF(E1682="","-",IF(OR(E1682&lt;$E$15,E1682&gt;$E$16),"ERROR - date outside of range",IF(MONTH(E1682)&gt;=7,YEAR(E1682)&amp;"-"&amp;IF(YEAR(E1682)=1999,"00",IF(AND(YEAR(E1682)&gt;=2000,YEAR(E1682)&lt;2009),"0","")&amp;RIGHT(YEAR(E1682),2)+1),RIGHT(YEAR(E1682),4)-1&amp;"-"&amp;RIGHT(YEAR(E1682),2))))</f>
        <v>2010-11</v>
      </c>
      <c r="G1682" s="1"/>
      <c r="H1682" s="163"/>
      <c r="I1682" s="37"/>
      <c r="J1682" s="138">
        <f t="shared" si="131"/>
        <v>0.77968490742404351</v>
      </c>
      <c r="K1682" s="114"/>
      <c r="L1682" s="37">
        <v>210.41974613799999</v>
      </c>
      <c r="M1682" s="37" t="s">
        <v>142</v>
      </c>
      <c r="N1682" s="37">
        <v>1181.2618378536583</v>
      </c>
      <c r="O1682" s="132">
        <f t="shared" ref="O1682:O1745" si="133">IF(N1682="","-",L1682*N1682)</f>
        <v>248560.8160436741</v>
      </c>
      <c r="P1682" s="134">
        <f t="shared" ref="P1682:P1745" si="134">IF(O1682="-","-",IF(OR(E1682&lt;$E$15,E1682&gt;$E$16),0,O1682*J1682))*Q1682</f>
        <v>193799.11684625674</v>
      </c>
      <c r="Q1682" s="261">
        <v>1</v>
      </c>
      <c r="R1682" s="94"/>
    </row>
    <row r="1683" spans="1:18" x14ac:dyDescent="0.25">
      <c r="A1683" s="367">
        <v>40368</v>
      </c>
      <c r="B1683" s="367" t="s">
        <v>279</v>
      </c>
      <c r="C1683" s="279" t="s">
        <v>681</v>
      </c>
      <c r="D1683" s="159" t="s">
        <v>1161</v>
      </c>
      <c r="E1683" s="45">
        <f t="shared" si="130"/>
        <v>40368</v>
      </c>
      <c r="F1683" s="148" t="str">
        <f t="shared" si="132"/>
        <v>2010-11</v>
      </c>
      <c r="G1683" s="1"/>
      <c r="H1683" s="163"/>
      <c r="I1683" s="37"/>
      <c r="J1683" s="138">
        <f t="shared" si="131"/>
        <v>0.77968490742404351</v>
      </c>
      <c r="K1683" s="114"/>
      <c r="L1683" s="37">
        <v>13.476071001599999</v>
      </c>
      <c r="M1683" s="37" t="s">
        <v>142</v>
      </c>
      <c r="N1683" s="37">
        <v>1181.2618378536583</v>
      </c>
      <c r="O1683" s="132">
        <f t="shared" si="133"/>
        <v>15918.768398396405</v>
      </c>
      <c r="P1683" s="134">
        <f t="shared" si="134"/>
        <v>12411.62346500849</v>
      </c>
      <c r="Q1683" s="261">
        <v>1</v>
      </c>
      <c r="R1683" s="94"/>
    </row>
    <row r="1684" spans="1:18" x14ac:dyDescent="0.25">
      <c r="A1684" s="367">
        <v>40880</v>
      </c>
      <c r="B1684" s="367" t="s">
        <v>279</v>
      </c>
      <c r="C1684" s="279" t="s">
        <v>686</v>
      </c>
      <c r="D1684" s="159" t="s">
        <v>1167</v>
      </c>
      <c r="E1684" s="45">
        <f t="shared" si="130"/>
        <v>40880</v>
      </c>
      <c r="F1684" s="148" t="str">
        <f t="shared" si="132"/>
        <v>2011-12</v>
      </c>
      <c r="G1684" s="1"/>
      <c r="H1684" s="163"/>
      <c r="I1684" s="37"/>
      <c r="J1684" s="138">
        <f t="shared" si="131"/>
        <v>0.77968490742404351</v>
      </c>
      <c r="K1684" s="114"/>
      <c r="L1684" s="37">
        <v>360.40687978099999</v>
      </c>
      <c r="M1684" s="37" t="s">
        <v>142</v>
      </c>
      <c r="N1684" s="37">
        <v>2683.0915094634142</v>
      </c>
      <c r="O1684" s="132">
        <f t="shared" si="133"/>
        <v>967004.63909260253</v>
      </c>
      <c r="P1684" s="134">
        <f t="shared" si="134"/>
        <v>753958.92250953638</v>
      </c>
      <c r="Q1684" s="261">
        <v>1</v>
      </c>
      <c r="R1684" s="94"/>
    </row>
    <row r="1685" spans="1:18" x14ac:dyDescent="0.25">
      <c r="A1685" s="367">
        <v>40880</v>
      </c>
      <c r="B1685" s="367" t="s">
        <v>279</v>
      </c>
      <c r="C1685" s="279" t="s">
        <v>686</v>
      </c>
      <c r="D1685" s="159" t="s">
        <v>1167</v>
      </c>
      <c r="E1685" s="45">
        <f t="shared" si="130"/>
        <v>40880</v>
      </c>
      <c r="F1685" s="148" t="str">
        <f t="shared" si="132"/>
        <v>2011-12</v>
      </c>
      <c r="G1685" s="1"/>
      <c r="H1685" s="163"/>
      <c r="I1685" s="37"/>
      <c r="J1685" s="138">
        <f t="shared" si="131"/>
        <v>0.77968490742404351</v>
      </c>
      <c r="K1685" s="114"/>
      <c r="L1685" s="37">
        <v>284.04048492800001</v>
      </c>
      <c r="M1685" s="37" t="s">
        <v>142</v>
      </c>
      <c r="N1685" s="37">
        <v>2683.0915094634142</v>
      </c>
      <c r="O1685" s="132">
        <f t="shared" si="133"/>
        <v>762106.61345418775</v>
      </c>
      <c r="P1685" s="134">
        <f t="shared" si="134"/>
        <v>594203.02435827965</v>
      </c>
      <c r="Q1685" s="261">
        <v>1</v>
      </c>
      <c r="R1685" s="94"/>
    </row>
    <row r="1686" spans="1:18" x14ac:dyDescent="0.25">
      <c r="A1686" s="367">
        <v>40880</v>
      </c>
      <c r="B1686" s="367" t="s">
        <v>279</v>
      </c>
      <c r="C1686" s="279" t="s">
        <v>686</v>
      </c>
      <c r="D1686" s="159" t="s">
        <v>1167</v>
      </c>
      <c r="E1686" s="45">
        <f t="shared" si="130"/>
        <v>40880</v>
      </c>
      <c r="F1686" s="148" t="str">
        <f t="shared" si="132"/>
        <v>2011-12</v>
      </c>
      <c r="G1686" s="1"/>
      <c r="H1686" s="163"/>
      <c r="I1686" s="37"/>
      <c r="J1686" s="138">
        <f t="shared" si="131"/>
        <v>0.77968490742404351</v>
      </c>
      <c r="K1686" s="114"/>
      <c r="L1686" s="37">
        <v>77.476488644200003</v>
      </c>
      <c r="M1686" s="37" t="s">
        <v>142</v>
      </c>
      <c r="N1686" s="37">
        <v>2679.5507189268287</v>
      </c>
      <c r="O1686" s="132">
        <f t="shared" si="133"/>
        <v>207602.18084649241</v>
      </c>
      <c r="P1686" s="134">
        <f t="shared" si="134"/>
        <v>161864.28715432697</v>
      </c>
      <c r="Q1686" s="261">
        <v>1</v>
      </c>
      <c r="R1686" s="94"/>
    </row>
    <row r="1687" spans="1:18" x14ac:dyDescent="0.25">
      <c r="A1687" s="367">
        <v>40994</v>
      </c>
      <c r="B1687" s="367" t="s">
        <v>279</v>
      </c>
      <c r="C1687" s="279" t="s">
        <v>687</v>
      </c>
      <c r="D1687" s="159" t="s">
        <v>1167</v>
      </c>
      <c r="E1687" s="45">
        <f t="shared" ref="E1687:E1750" si="135">IF(A1687&lt;2022,DATEVALUE("30 Jun "&amp;A1687),A1687)</f>
        <v>40994</v>
      </c>
      <c r="F1687" s="148" t="str">
        <f t="shared" si="132"/>
        <v>2011-12</v>
      </c>
      <c r="G1687" s="1"/>
      <c r="H1687" s="163"/>
      <c r="I1687" s="37"/>
      <c r="J1687" s="138">
        <f t="shared" si="131"/>
        <v>0.77968490742404351</v>
      </c>
      <c r="K1687" s="114"/>
      <c r="L1687" s="37">
        <v>1.4993361864500001</v>
      </c>
      <c r="M1687" s="37" t="s">
        <v>142</v>
      </c>
      <c r="N1687" s="37">
        <v>771.6404230243902</v>
      </c>
      <c r="O1687" s="132">
        <f t="shared" si="133"/>
        <v>1156.948409168054</v>
      </c>
      <c r="P1687" s="134">
        <f t="shared" si="134"/>
        <v>902.05521329658859</v>
      </c>
      <c r="Q1687" s="261">
        <v>1</v>
      </c>
      <c r="R1687" s="94"/>
    </row>
    <row r="1688" spans="1:18" x14ac:dyDescent="0.25">
      <c r="A1688" s="367">
        <v>40994</v>
      </c>
      <c r="B1688" s="367" t="s">
        <v>279</v>
      </c>
      <c r="C1688" s="279" t="s">
        <v>687</v>
      </c>
      <c r="D1688" s="159" t="s">
        <v>1167</v>
      </c>
      <c r="E1688" s="45">
        <f t="shared" si="135"/>
        <v>40994</v>
      </c>
      <c r="F1688" s="148" t="str">
        <f t="shared" si="132"/>
        <v>2011-12</v>
      </c>
      <c r="G1688" s="1"/>
      <c r="H1688" s="163"/>
      <c r="I1688" s="37"/>
      <c r="J1688" s="138">
        <f t="shared" ref="J1688:J1751" si="136">J1687</f>
        <v>0.77968490742404351</v>
      </c>
      <c r="K1688" s="114"/>
      <c r="L1688" s="37">
        <v>6.0603054348700001</v>
      </c>
      <c r="M1688" s="37" t="s">
        <v>142</v>
      </c>
      <c r="N1688" s="37">
        <v>621.96682926829249</v>
      </c>
      <c r="O1688" s="132">
        <f t="shared" si="133"/>
        <v>3769.3089557234944</v>
      </c>
      <c r="P1688" s="134">
        <f t="shared" si="134"/>
        <v>2938.8733041958908</v>
      </c>
      <c r="Q1688" s="261">
        <v>1</v>
      </c>
      <c r="R1688" s="94"/>
    </row>
    <row r="1689" spans="1:18" x14ac:dyDescent="0.25">
      <c r="A1689" s="367">
        <v>40880</v>
      </c>
      <c r="B1689" s="367" t="s">
        <v>279</v>
      </c>
      <c r="C1689" s="279" t="s">
        <v>686</v>
      </c>
      <c r="D1689" s="159" t="s">
        <v>1168</v>
      </c>
      <c r="E1689" s="45">
        <f t="shared" si="135"/>
        <v>40880</v>
      </c>
      <c r="F1689" s="148" t="str">
        <f t="shared" si="132"/>
        <v>2011-12</v>
      </c>
      <c r="G1689" s="1"/>
      <c r="H1689" s="163"/>
      <c r="I1689" s="37"/>
      <c r="J1689" s="138">
        <f t="shared" si="136"/>
        <v>0.77968490742404351</v>
      </c>
      <c r="K1689" s="114"/>
      <c r="L1689" s="37">
        <v>2.2834118639600001</v>
      </c>
      <c r="M1689" s="37" t="s">
        <v>142</v>
      </c>
      <c r="N1689" s="37">
        <v>1422.8419512195119</v>
      </c>
      <c r="O1689" s="132">
        <f t="shared" si="133"/>
        <v>3248.9341919546291</v>
      </c>
      <c r="P1689" s="134">
        <f t="shared" si="134"/>
        <v>2533.1449546809545</v>
      </c>
      <c r="Q1689" s="261">
        <v>1</v>
      </c>
      <c r="R1689" s="94"/>
    </row>
    <row r="1690" spans="1:18" x14ac:dyDescent="0.25">
      <c r="A1690" s="367">
        <v>40880</v>
      </c>
      <c r="B1690" s="367" t="s">
        <v>279</v>
      </c>
      <c r="C1690" s="279" t="s">
        <v>686</v>
      </c>
      <c r="D1690" s="159" t="s">
        <v>1168</v>
      </c>
      <c r="E1690" s="45">
        <f t="shared" si="135"/>
        <v>40880</v>
      </c>
      <c r="F1690" s="148" t="str">
        <f t="shared" si="132"/>
        <v>2011-12</v>
      </c>
      <c r="G1690" s="1"/>
      <c r="H1690" s="163"/>
      <c r="I1690" s="37"/>
      <c r="J1690" s="138">
        <f t="shared" si="136"/>
        <v>0.77968490742404351</v>
      </c>
      <c r="K1690" s="114"/>
      <c r="L1690" s="37">
        <v>7.4068822564800003</v>
      </c>
      <c r="M1690" s="37" t="s">
        <v>142</v>
      </c>
      <c r="N1690" s="37">
        <v>2042.4636684878049</v>
      </c>
      <c r="O1690" s="132">
        <f t="shared" si="133"/>
        <v>15128.28790562737</v>
      </c>
      <c r="P1690" s="134">
        <f t="shared" si="134"/>
        <v>11795.297755183354</v>
      </c>
      <c r="Q1690" s="261">
        <v>1</v>
      </c>
      <c r="R1690" s="94"/>
    </row>
    <row r="1691" spans="1:18" x14ac:dyDescent="0.25">
      <c r="A1691" s="367">
        <v>40880</v>
      </c>
      <c r="B1691" s="367" t="s">
        <v>279</v>
      </c>
      <c r="C1691" s="279" t="s">
        <v>686</v>
      </c>
      <c r="D1691" s="159" t="s">
        <v>1168</v>
      </c>
      <c r="E1691" s="45">
        <f t="shared" si="135"/>
        <v>40880</v>
      </c>
      <c r="F1691" s="148" t="str">
        <f t="shared" si="132"/>
        <v>2011-12</v>
      </c>
      <c r="G1691" s="1"/>
      <c r="H1691" s="163"/>
      <c r="I1691" s="37"/>
      <c r="J1691" s="138">
        <f t="shared" si="136"/>
        <v>0.77968490742404351</v>
      </c>
      <c r="K1691" s="114"/>
      <c r="L1691" s="37">
        <v>2.30310442664</v>
      </c>
      <c r="M1691" s="37" t="s">
        <v>142</v>
      </c>
      <c r="N1691" s="37">
        <v>1422.8419512195119</v>
      </c>
      <c r="O1691" s="132">
        <f t="shared" si="133"/>
        <v>3276.9535962627529</v>
      </c>
      <c r="P1691" s="134">
        <f t="shared" si="134"/>
        <v>2554.9912613350107</v>
      </c>
      <c r="Q1691" s="261">
        <v>1</v>
      </c>
      <c r="R1691" s="94"/>
    </row>
    <row r="1692" spans="1:18" x14ac:dyDescent="0.25">
      <c r="A1692" s="367">
        <v>40880</v>
      </c>
      <c r="B1692" s="367" t="s">
        <v>279</v>
      </c>
      <c r="C1692" s="279" t="s">
        <v>686</v>
      </c>
      <c r="D1692" s="159" t="s">
        <v>1167</v>
      </c>
      <c r="E1692" s="45">
        <f t="shared" si="135"/>
        <v>40880</v>
      </c>
      <c r="F1692" s="148" t="str">
        <f t="shared" si="132"/>
        <v>2011-12</v>
      </c>
      <c r="G1692" s="1"/>
      <c r="H1692" s="163"/>
      <c r="I1692" s="37"/>
      <c r="J1692" s="138">
        <f t="shared" si="136"/>
        <v>0.77968490742404351</v>
      </c>
      <c r="K1692" s="114"/>
      <c r="L1692" s="37">
        <v>2.7688542744400002</v>
      </c>
      <c r="M1692" s="37" t="s">
        <v>142</v>
      </c>
      <c r="N1692" s="37">
        <v>621.96682926829249</v>
      </c>
      <c r="O1692" s="132">
        <f t="shared" si="133"/>
        <v>1722.1355137794055</v>
      </c>
      <c r="P1692" s="134">
        <f t="shared" si="134"/>
        <v>1342.7230686327534</v>
      </c>
      <c r="Q1692" s="261">
        <v>1</v>
      </c>
      <c r="R1692" s="94"/>
    </row>
    <row r="1693" spans="1:18" x14ac:dyDescent="0.25">
      <c r="A1693" s="367">
        <v>40880</v>
      </c>
      <c r="B1693" s="367" t="s">
        <v>279</v>
      </c>
      <c r="C1693" s="279" t="s">
        <v>686</v>
      </c>
      <c r="D1693" s="159" t="s">
        <v>1167</v>
      </c>
      <c r="E1693" s="45">
        <f t="shared" si="135"/>
        <v>40880</v>
      </c>
      <c r="F1693" s="148" t="str">
        <f t="shared" si="132"/>
        <v>2011-12</v>
      </c>
      <c r="G1693" s="1"/>
      <c r="H1693" s="163"/>
      <c r="I1693" s="37"/>
      <c r="J1693" s="138">
        <f t="shared" si="136"/>
        <v>0.77968490742404351</v>
      </c>
      <c r="K1693" s="114"/>
      <c r="L1693" s="37">
        <v>9.8105463628800003</v>
      </c>
      <c r="M1693" s="37" t="s">
        <v>142</v>
      </c>
      <c r="N1693" s="37">
        <v>621.96682926829249</v>
      </c>
      <c r="O1693" s="132">
        <f t="shared" si="133"/>
        <v>6101.8344147100534</v>
      </c>
      <c r="P1693" s="134">
        <f t="shared" si="134"/>
        <v>4757.5082007500505</v>
      </c>
      <c r="Q1693" s="261">
        <v>1</v>
      </c>
      <c r="R1693" s="94"/>
    </row>
    <row r="1694" spans="1:18" x14ac:dyDescent="0.25">
      <c r="A1694" s="367">
        <v>41155</v>
      </c>
      <c r="B1694" s="367" t="s">
        <v>279</v>
      </c>
      <c r="C1694" s="279" t="s">
        <v>688</v>
      </c>
      <c r="D1694" s="159" t="s">
        <v>1169</v>
      </c>
      <c r="E1694" s="45">
        <f t="shared" si="135"/>
        <v>41155</v>
      </c>
      <c r="F1694" s="148" t="str">
        <f t="shared" si="132"/>
        <v>2012-13</v>
      </c>
      <c r="G1694" s="1"/>
      <c r="H1694" s="163"/>
      <c r="I1694" s="37"/>
      <c r="J1694" s="138">
        <f t="shared" si="136"/>
        <v>0.77968490742404351</v>
      </c>
      <c r="K1694" s="114"/>
      <c r="L1694" s="37">
        <v>29.638287416800001</v>
      </c>
      <c r="M1694" s="37" t="s">
        <v>142</v>
      </c>
      <c r="N1694" s="37">
        <v>3100.7755036097556</v>
      </c>
      <c r="O1694" s="132">
        <f t="shared" si="133"/>
        <v>91901.675590958708</v>
      </c>
      <c r="P1694" s="134">
        <f t="shared" si="134"/>
        <v>71654.349425251115</v>
      </c>
      <c r="Q1694" s="261">
        <v>1</v>
      </c>
      <c r="R1694" s="94"/>
    </row>
    <row r="1695" spans="1:18" x14ac:dyDescent="0.25">
      <c r="A1695" s="367">
        <v>40015</v>
      </c>
      <c r="B1695" s="367" t="s">
        <v>279</v>
      </c>
      <c r="C1695" s="279" t="s">
        <v>689</v>
      </c>
      <c r="D1695" s="159" t="s">
        <v>1167</v>
      </c>
      <c r="E1695" s="45">
        <f t="shared" si="135"/>
        <v>40015</v>
      </c>
      <c r="F1695" s="148" t="str">
        <f t="shared" si="132"/>
        <v>2009-10</v>
      </c>
      <c r="G1695" s="1"/>
      <c r="H1695" s="163"/>
      <c r="I1695" s="37"/>
      <c r="J1695" s="138">
        <f t="shared" si="136"/>
        <v>0.77968490742404351</v>
      </c>
      <c r="K1695" s="114"/>
      <c r="L1695" s="37">
        <v>434.57941547799999</v>
      </c>
      <c r="M1695" s="37" t="s">
        <v>142</v>
      </c>
      <c r="N1695" s="37">
        <v>771.6404230243902</v>
      </c>
      <c r="O1695" s="132">
        <f t="shared" si="133"/>
        <v>335339.04399713612</v>
      </c>
      <c r="P1695" s="134">
        <f t="shared" si="134"/>
        <v>261458.79147457433</v>
      </c>
      <c r="Q1695" s="261">
        <v>1</v>
      </c>
      <c r="R1695" s="94"/>
    </row>
    <row r="1696" spans="1:18" x14ac:dyDescent="0.25">
      <c r="A1696" s="367">
        <v>40880</v>
      </c>
      <c r="B1696" s="367" t="s">
        <v>279</v>
      </c>
      <c r="C1696" s="279" t="s">
        <v>686</v>
      </c>
      <c r="D1696" s="159" t="s">
        <v>1167</v>
      </c>
      <c r="E1696" s="45">
        <f t="shared" si="135"/>
        <v>40880</v>
      </c>
      <c r="F1696" s="148" t="str">
        <f t="shared" si="132"/>
        <v>2011-12</v>
      </c>
      <c r="G1696" s="1"/>
      <c r="H1696" s="163"/>
      <c r="I1696" s="37"/>
      <c r="J1696" s="138">
        <f t="shared" si="136"/>
        <v>0.77968490742404351</v>
      </c>
      <c r="K1696" s="114"/>
      <c r="L1696" s="37">
        <v>103.88973114300001</v>
      </c>
      <c r="M1696" s="37" t="s">
        <v>142</v>
      </c>
      <c r="N1696" s="37">
        <v>2683.0915094634142</v>
      </c>
      <c r="O1696" s="132">
        <f t="shared" si="133"/>
        <v>278745.65555022017</v>
      </c>
      <c r="P1696" s="134">
        <f t="shared" si="134"/>
        <v>217333.78064252774</v>
      </c>
      <c r="Q1696" s="261">
        <v>1</v>
      </c>
      <c r="R1696" s="94"/>
    </row>
    <row r="1697" spans="1:18" x14ac:dyDescent="0.25">
      <c r="A1697" s="367">
        <v>40015</v>
      </c>
      <c r="B1697" s="367" t="s">
        <v>279</v>
      </c>
      <c r="C1697" s="279" t="s">
        <v>689</v>
      </c>
      <c r="D1697" s="159" t="s">
        <v>1167</v>
      </c>
      <c r="E1697" s="45">
        <f t="shared" si="135"/>
        <v>40015</v>
      </c>
      <c r="F1697" s="148" t="str">
        <f t="shared" si="132"/>
        <v>2009-10</v>
      </c>
      <c r="G1697" s="1"/>
      <c r="H1697" s="163"/>
      <c r="I1697" s="37"/>
      <c r="J1697" s="138">
        <f t="shared" si="136"/>
        <v>0.77968490742404351</v>
      </c>
      <c r="K1697" s="114"/>
      <c r="L1697" s="37">
        <v>1.7995004862499999</v>
      </c>
      <c r="M1697" s="37" t="s">
        <v>142</v>
      </c>
      <c r="N1697" s="37">
        <v>1003.0093919999996</v>
      </c>
      <c r="O1697" s="132">
        <f t="shared" si="133"/>
        <v>1804.9158886173161</v>
      </c>
      <c r="P1697" s="134">
        <f t="shared" si="134"/>
        <v>1407.2656775247774</v>
      </c>
      <c r="Q1697" s="261">
        <v>1</v>
      </c>
      <c r="R1697" s="94"/>
    </row>
    <row r="1698" spans="1:18" x14ac:dyDescent="0.25">
      <c r="A1698" s="367">
        <v>39919</v>
      </c>
      <c r="B1698" s="367" t="s">
        <v>279</v>
      </c>
      <c r="C1698" s="279" t="s">
        <v>690</v>
      </c>
      <c r="D1698" s="159" t="s">
        <v>1167</v>
      </c>
      <c r="E1698" s="45">
        <f t="shared" si="135"/>
        <v>39919</v>
      </c>
      <c r="F1698" s="148" t="str">
        <f t="shared" si="132"/>
        <v>2008-09</v>
      </c>
      <c r="G1698" s="1"/>
      <c r="H1698" s="163"/>
      <c r="I1698" s="37"/>
      <c r="J1698" s="138">
        <f t="shared" si="136"/>
        <v>0.77968490742404351</v>
      </c>
      <c r="K1698" s="114"/>
      <c r="L1698" s="37">
        <v>38.919364830699998</v>
      </c>
      <c r="M1698" s="37" t="s">
        <v>142</v>
      </c>
      <c r="N1698" s="37">
        <v>771.6404230243902</v>
      </c>
      <c r="O1698" s="132">
        <f t="shared" si="133"/>
        <v>30031.755141801921</v>
      </c>
      <c r="P1698" s="134">
        <f t="shared" si="134"/>
        <v>23415.306227517372</v>
      </c>
      <c r="Q1698" s="261">
        <v>1</v>
      </c>
      <c r="R1698" s="94"/>
    </row>
    <row r="1699" spans="1:18" x14ac:dyDescent="0.25">
      <c r="A1699" s="367">
        <v>39919</v>
      </c>
      <c r="B1699" s="367" t="s">
        <v>279</v>
      </c>
      <c r="C1699" s="279" t="s">
        <v>690</v>
      </c>
      <c r="D1699" s="159" t="s">
        <v>1167</v>
      </c>
      <c r="E1699" s="45">
        <f t="shared" si="135"/>
        <v>39919</v>
      </c>
      <c r="F1699" s="148" t="str">
        <f t="shared" si="132"/>
        <v>2008-09</v>
      </c>
      <c r="G1699" s="1"/>
      <c r="H1699" s="163"/>
      <c r="I1699" s="37"/>
      <c r="J1699" s="138">
        <f t="shared" si="136"/>
        <v>0.77968490742404351</v>
      </c>
      <c r="K1699" s="114"/>
      <c r="L1699" s="37">
        <v>3.4534357360299999</v>
      </c>
      <c r="M1699" s="37" t="s">
        <v>142</v>
      </c>
      <c r="N1699" s="37">
        <v>696.6467060487804</v>
      </c>
      <c r="O1699" s="132">
        <f t="shared" si="133"/>
        <v>2405.8246300564451</v>
      </c>
      <c r="P1699" s="134">
        <f t="shared" si="134"/>
        <v>1875.785153964043</v>
      </c>
      <c r="Q1699" s="261">
        <v>1</v>
      </c>
      <c r="R1699" s="94"/>
    </row>
    <row r="1700" spans="1:18" x14ac:dyDescent="0.25">
      <c r="A1700" s="367">
        <v>39919</v>
      </c>
      <c r="B1700" s="367" t="s">
        <v>279</v>
      </c>
      <c r="C1700" s="279" t="s">
        <v>690</v>
      </c>
      <c r="D1700" s="159" t="s">
        <v>1167</v>
      </c>
      <c r="E1700" s="45">
        <f t="shared" si="135"/>
        <v>39919</v>
      </c>
      <c r="F1700" s="148" t="str">
        <f t="shared" si="132"/>
        <v>2008-09</v>
      </c>
      <c r="G1700" s="1"/>
      <c r="H1700" s="163"/>
      <c r="I1700" s="37"/>
      <c r="J1700" s="138">
        <f t="shared" si="136"/>
        <v>0.77968490742404351</v>
      </c>
      <c r="K1700" s="114"/>
      <c r="L1700" s="37">
        <v>160.786276808</v>
      </c>
      <c r="M1700" s="37" t="s">
        <v>142</v>
      </c>
      <c r="N1700" s="37">
        <v>771.6404230243902</v>
      </c>
      <c r="O1700" s="132">
        <f t="shared" si="133"/>
        <v>124069.19065264182</v>
      </c>
      <c r="P1700" s="134">
        <f t="shared" si="134"/>
        <v>96734.87542818104</v>
      </c>
      <c r="Q1700" s="261">
        <v>1</v>
      </c>
      <c r="R1700" s="94"/>
    </row>
    <row r="1701" spans="1:18" x14ac:dyDescent="0.25">
      <c r="A1701" s="367">
        <v>39919</v>
      </c>
      <c r="B1701" s="367" t="s">
        <v>279</v>
      </c>
      <c r="C1701" s="279" t="s">
        <v>690</v>
      </c>
      <c r="D1701" s="159" t="s">
        <v>1167</v>
      </c>
      <c r="E1701" s="45">
        <f t="shared" si="135"/>
        <v>39919</v>
      </c>
      <c r="F1701" s="148" t="str">
        <f t="shared" si="132"/>
        <v>2008-09</v>
      </c>
      <c r="G1701" s="1"/>
      <c r="H1701" s="163"/>
      <c r="I1701" s="37"/>
      <c r="J1701" s="138">
        <f t="shared" si="136"/>
        <v>0.77968490742404351</v>
      </c>
      <c r="K1701" s="114"/>
      <c r="L1701" s="37">
        <v>122.918929139</v>
      </c>
      <c r="M1701" s="37" t="s">
        <v>142</v>
      </c>
      <c r="N1701" s="37">
        <v>771.6404230243902</v>
      </c>
      <c r="O1701" s="132">
        <f t="shared" si="133"/>
        <v>94849.214478523005</v>
      </c>
      <c r="P1701" s="134">
        <f t="shared" si="134"/>
        <v>73952.501009930449</v>
      </c>
      <c r="Q1701" s="261">
        <v>1</v>
      </c>
      <c r="R1701" s="94"/>
    </row>
    <row r="1702" spans="1:18" x14ac:dyDescent="0.25">
      <c r="A1702" s="367">
        <v>39919</v>
      </c>
      <c r="B1702" s="367" t="s">
        <v>279</v>
      </c>
      <c r="C1702" s="279" t="s">
        <v>690</v>
      </c>
      <c r="D1702" s="159" t="s">
        <v>1167</v>
      </c>
      <c r="E1702" s="45">
        <f t="shared" si="135"/>
        <v>39919</v>
      </c>
      <c r="F1702" s="148" t="str">
        <f t="shared" si="132"/>
        <v>2008-09</v>
      </c>
      <c r="G1702" s="1"/>
      <c r="H1702" s="163"/>
      <c r="I1702" s="37"/>
      <c r="J1702" s="138">
        <f t="shared" si="136"/>
        <v>0.77968490742404351</v>
      </c>
      <c r="K1702" s="114"/>
      <c r="L1702" s="37">
        <v>5.8931185315899999</v>
      </c>
      <c r="M1702" s="37" t="s">
        <v>142</v>
      </c>
      <c r="N1702" s="37">
        <v>771.6404230243902</v>
      </c>
      <c r="O1702" s="132">
        <f t="shared" si="133"/>
        <v>4547.3684766489805</v>
      </c>
      <c r="P1702" s="134">
        <f t="shared" si="134"/>
        <v>3545.514569739074</v>
      </c>
      <c r="Q1702" s="261">
        <v>1</v>
      </c>
      <c r="R1702" s="94"/>
    </row>
    <row r="1703" spans="1:18" x14ac:dyDescent="0.25">
      <c r="A1703" s="367">
        <v>40880</v>
      </c>
      <c r="B1703" s="367" t="s">
        <v>279</v>
      </c>
      <c r="C1703" s="279" t="s">
        <v>686</v>
      </c>
      <c r="D1703" s="159" t="s">
        <v>1167</v>
      </c>
      <c r="E1703" s="45">
        <f t="shared" si="135"/>
        <v>40880</v>
      </c>
      <c r="F1703" s="148" t="str">
        <f t="shared" si="132"/>
        <v>2011-12</v>
      </c>
      <c r="G1703" s="1"/>
      <c r="H1703" s="163"/>
      <c r="I1703" s="37"/>
      <c r="J1703" s="138">
        <f t="shared" si="136"/>
        <v>0.77968490742404351</v>
      </c>
      <c r="K1703" s="114"/>
      <c r="L1703" s="37">
        <v>7.0012556316500003</v>
      </c>
      <c r="M1703" s="37" t="s">
        <v>142</v>
      </c>
      <c r="N1703" s="37">
        <v>2042.4636684878049</v>
      </c>
      <c r="O1703" s="132">
        <f t="shared" si="133"/>
        <v>14299.810261440763</v>
      </c>
      <c r="P1703" s="134">
        <f t="shared" si="134"/>
        <v>11149.34623987283</v>
      </c>
      <c r="Q1703" s="261">
        <v>1</v>
      </c>
      <c r="R1703" s="94"/>
    </row>
    <row r="1704" spans="1:18" x14ac:dyDescent="0.25">
      <c r="A1704" s="367">
        <v>40994</v>
      </c>
      <c r="B1704" s="367" t="s">
        <v>279</v>
      </c>
      <c r="C1704" s="279" t="s">
        <v>691</v>
      </c>
      <c r="D1704" s="159" t="s">
        <v>1167</v>
      </c>
      <c r="E1704" s="45">
        <f t="shared" si="135"/>
        <v>40994</v>
      </c>
      <c r="F1704" s="148" t="str">
        <f t="shared" si="132"/>
        <v>2011-12</v>
      </c>
      <c r="G1704" s="1"/>
      <c r="H1704" s="163"/>
      <c r="I1704" s="37"/>
      <c r="J1704" s="138">
        <f t="shared" si="136"/>
        <v>0.77968490742404351</v>
      </c>
      <c r="K1704" s="114"/>
      <c r="L1704" s="37">
        <v>1.4999393321100001</v>
      </c>
      <c r="M1704" s="37" t="s">
        <v>142</v>
      </c>
      <c r="N1704" s="37">
        <v>771.6404230243902</v>
      </c>
      <c r="O1704" s="132">
        <f t="shared" si="133"/>
        <v>1157.4138207402818</v>
      </c>
      <c r="P1704" s="134">
        <f t="shared" si="134"/>
        <v>902.41808767519512</v>
      </c>
      <c r="Q1704" s="261">
        <v>1</v>
      </c>
      <c r="R1704" s="94"/>
    </row>
    <row r="1705" spans="1:18" x14ac:dyDescent="0.25">
      <c r="A1705" s="367">
        <v>40994</v>
      </c>
      <c r="B1705" s="367" t="s">
        <v>279</v>
      </c>
      <c r="C1705" s="279" t="s">
        <v>691</v>
      </c>
      <c r="D1705" s="159" t="s">
        <v>1167</v>
      </c>
      <c r="E1705" s="45">
        <f t="shared" si="135"/>
        <v>40994</v>
      </c>
      <c r="F1705" s="148" t="str">
        <f t="shared" si="132"/>
        <v>2011-12</v>
      </c>
      <c r="G1705" s="1"/>
      <c r="H1705" s="163"/>
      <c r="I1705" s="37"/>
      <c r="J1705" s="138">
        <f t="shared" si="136"/>
        <v>0.77968490742404351</v>
      </c>
      <c r="K1705" s="114"/>
      <c r="L1705" s="37">
        <v>2.1627986499</v>
      </c>
      <c r="M1705" s="37" t="s">
        <v>142</v>
      </c>
      <c r="N1705" s="37">
        <v>2042.4636684878049</v>
      </c>
      <c r="O1705" s="132">
        <f t="shared" si="133"/>
        <v>4417.4376646752253</v>
      </c>
      <c r="P1705" s="134">
        <f t="shared" si="134"/>
        <v>3444.2094766337859</v>
      </c>
      <c r="Q1705" s="261">
        <v>1</v>
      </c>
      <c r="R1705" s="94"/>
    </row>
    <row r="1706" spans="1:18" x14ac:dyDescent="0.25">
      <c r="A1706" s="367">
        <v>40880</v>
      </c>
      <c r="B1706" s="367" t="s">
        <v>279</v>
      </c>
      <c r="C1706" s="279" t="s">
        <v>686</v>
      </c>
      <c r="D1706" s="159" t="s">
        <v>1167</v>
      </c>
      <c r="E1706" s="45">
        <f t="shared" si="135"/>
        <v>40880</v>
      </c>
      <c r="F1706" s="148" t="str">
        <f t="shared" si="132"/>
        <v>2011-12</v>
      </c>
      <c r="G1706" s="1"/>
      <c r="H1706" s="163"/>
      <c r="I1706" s="37"/>
      <c r="J1706" s="138">
        <f t="shared" si="136"/>
        <v>0.77968490742404351</v>
      </c>
      <c r="K1706" s="114"/>
      <c r="L1706" s="37">
        <v>7.3943695985</v>
      </c>
      <c r="M1706" s="37" t="s">
        <v>142</v>
      </c>
      <c r="N1706" s="37">
        <v>2042.4636684878049</v>
      </c>
      <c r="O1706" s="132">
        <f t="shared" si="133"/>
        <v>15102.731256307006</v>
      </c>
      <c r="P1706" s="134">
        <f t="shared" si="134"/>
        <v>11775.371621423936</v>
      </c>
      <c r="Q1706" s="261">
        <v>1</v>
      </c>
      <c r="R1706" s="94"/>
    </row>
    <row r="1707" spans="1:18" x14ac:dyDescent="0.25">
      <c r="A1707" s="367">
        <v>40880</v>
      </c>
      <c r="B1707" s="367" t="s">
        <v>279</v>
      </c>
      <c r="C1707" s="279" t="s">
        <v>686</v>
      </c>
      <c r="D1707" s="159" t="s">
        <v>1167</v>
      </c>
      <c r="E1707" s="45">
        <f t="shared" si="135"/>
        <v>40880</v>
      </c>
      <c r="F1707" s="148" t="str">
        <f t="shared" si="132"/>
        <v>2011-12</v>
      </c>
      <c r="G1707" s="1"/>
      <c r="H1707" s="163"/>
      <c r="I1707" s="37"/>
      <c r="J1707" s="138">
        <f t="shared" si="136"/>
        <v>0.77968490742404351</v>
      </c>
      <c r="K1707" s="114"/>
      <c r="L1707" s="37">
        <v>153.14962073800001</v>
      </c>
      <c r="M1707" s="37" t="s">
        <v>142</v>
      </c>
      <c r="N1707" s="37">
        <v>2683.0915094634142</v>
      </c>
      <c r="O1707" s="132">
        <f t="shared" si="133"/>
        <v>410914.44707966986</v>
      </c>
      <c r="P1707" s="134">
        <f t="shared" si="134"/>
        <v>320383.79263051442</v>
      </c>
      <c r="Q1707" s="261">
        <v>1</v>
      </c>
      <c r="R1707" s="94"/>
    </row>
    <row r="1708" spans="1:18" x14ac:dyDescent="0.25">
      <c r="A1708" s="367">
        <v>40015</v>
      </c>
      <c r="B1708" s="367" t="s">
        <v>279</v>
      </c>
      <c r="C1708" s="279" t="s">
        <v>689</v>
      </c>
      <c r="D1708" s="159" t="s">
        <v>1167</v>
      </c>
      <c r="E1708" s="45">
        <f t="shared" si="135"/>
        <v>40015</v>
      </c>
      <c r="F1708" s="148" t="str">
        <f t="shared" si="132"/>
        <v>2009-10</v>
      </c>
      <c r="G1708" s="1"/>
      <c r="H1708" s="163"/>
      <c r="I1708" s="37"/>
      <c r="J1708" s="138">
        <f t="shared" si="136"/>
        <v>0.77968490742404351</v>
      </c>
      <c r="K1708" s="114"/>
      <c r="L1708" s="37">
        <v>1.7994312990500001</v>
      </c>
      <c r="M1708" s="37" t="s">
        <v>142</v>
      </c>
      <c r="N1708" s="37">
        <v>1003.0093919999996</v>
      </c>
      <c r="O1708" s="132">
        <f t="shared" si="133"/>
        <v>1804.8464932059101</v>
      </c>
      <c r="P1708" s="134">
        <f t="shared" si="134"/>
        <v>1407.2115709698596</v>
      </c>
      <c r="Q1708" s="261">
        <v>1</v>
      </c>
      <c r="R1708" s="94"/>
    </row>
    <row r="1709" spans="1:18" x14ac:dyDescent="0.25">
      <c r="A1709" s="367">
        <v>40858</v>
      </c>
      <c r="B1709" s="367" t="s">
        <v>279</v>
      </c>
      <c r="C1709" s="279" t="s">
        <v>692</v>
      </c>
      <c r="D1709" s="159" t="s">
        <v>1167</v>
      </c>
      <c r="E1709" s="45">
        <f t="shared" si="135"/>
        <v>40858</v>
      </c>
      <c r="F1709" s="148" t="str">
        <f t="shared" si="132"/>
        <v>2011-12</v>
      </c>
      <c r="G1709" s="1"/>
      <c r="H1709" s="163"/>
      <c r="I1709" s="37"/>
      <c r="J1709" s="138">
        <f t="shared" si="136"/>
        <v>0.77968490742404351</v>
      </c>
      <c r="K1709" s="114"/>
      <c r="L1709" s="37">
        <v>7.27574081735</v>
      </c>
      <c r="M1709" s="37" t="s">
        <v>142</v>
      </c>
      <c r="N1709" s="37">
        <v>696.6467060487804</v>
      </c>
      <c r="O1709" s="132">
        <f t="shared" si="133"/>
        <v>5068.6208744715386</v>
      </c>
      <c r="P1709" s="134">
        <f t="shared" si="134"/>
        <v>3951.9271972799161</v>
      </c>
      <c r="Q1709" s="261">
        <v>1</v>
      </c>
      <c r="R1709" s="94"/>
    </row>
    <row r="1710" spans="1:18" x14ac:dyDescent="0.25">
      <c r="A1710" s="367">
        <v>40858</v>
      </c>
      <c r="B1710" s="367" t="s">
        <v>279</v>
      </c>
      <c r="C1710" s="279" t="s">
        <v>692</v>
      </c>
      <c r="D1710" s="159" t="s">
        <v>1167</v>
      </c>
      <c r="E1710" s="45">
        <f t="shared" si="135"/>
        <v>40858</v>
      </c>
      <c r="F1710" s="148" t="str">
        <f t="shared" si="132"/>
        <v>2011-12</v>
      </c>
      <c r="G1710" s="1"/>
      <c r="H1710" s="163"/>
      <c r="I1710" s="37"/>
      <c r="J1710" s="138">
        <f t="shared" si="136"/>
        <v>0.77968490742404351</v>
      </c>
      <c r="K1710" s="114"/>
      <c r="L1710" s="37">
        <v>254.35519857200001</v>
      </c>
      <c r="M1710" s="37" t="s">
        <v>142</v>
      </c>
      <c r="N1710" s="37">
        <v>771.6404230243902</v>
      </c>
      <c r="O1710" s="132">
        <f t="shared" si="133"/>
        <v>196270.75302455085</v>
      </c>
      <c r="P1710" s="134">
        <f t="shared" si="134"/>
        <v>153029.34390199423</v>
      </c>
      <c r="Q1710" s="261">
        <v>1</v>
      </c>
      <c r="R1710" s="94"/>
    </row>
    <row r="1711" spans="1:18" x14ac:dyDescent="0.25">
      <c r="A1711" s="367">
        <v>40880</v>
      </c>
      <c r="B1711" s="367" t="s">
        <v>279</v>
      </c>
      <c r="C1711" s="279" t="s">
        <v>686</v>
      </c>
      <c r="D1711" s="159" t="s">
        <v>1167</v>
      </c>
      <c r="E1711" s="45">
        <f t="shared" si="135"/>
        <v>40880</v>
      </c>
      <c r="F1711" s="148" t="str">
        <f t="shared" si="132"/>
        <v>2011-12</v>
      </c>
      <c r="G1711" s="1"/>
      <c r="H1711" s="163"/>
      <c r="I1711" s="37"/>
      <c r="J1711" s="138">
        <f t="shared" si="136"/>
        <v>0.77968490742404351</v>
      </c>
      <c r="K1711" s="114"/>
      <c r="L1711" s="37">
        <v>282.46180747</v>
      </c>
      <c r="M1711" s="37" t="s">
        <v>142</v>
      </c>
      <c r="N1711" s="37">
        <v>2683.0915094634142</v>
      </c>
      <c r="O1711" s="132">
        <f t="shared" si="133"/>
        <v>757870.87737044657</v>
      </c>
      <c r="P1711" s="134">
        <f t="shared" si="134"/>
        <v>590900.48486195528</v>
      </c>
      <c r="Q1711" s="261">
        <v>1</v>
      </c>
      <c r="R1711" s="94"/>
    </row>
    <row r="1712" spans="1:18" x14ac:dyDescent="0.25">
      <c r="A1712" s="367">
        <v>40880</v>
      </c>
      <c r="B1712" s="367" t="s">
        <v>279</v>
      </c>
      <c r="C1712" s="279" t="s">
        <v>686</v>
      </c>
      <c r="D1712" s="159" t="s">
        <v>1167</v>
      </c>
      <c r="E1712" s="45">
        <f t="shared" si="135"/>
        <v>40880</v>
      </c>
      <c r="F1712" s="148" t="str">
        <f t="shared" si="132"/>
        <v>2011-12</v>
      </c>
      <c r="G1712" s="1"/>
      <c r="H1712" s="163"/>
      <c r="I1712" s="37"/>
      <c r="J1712" s="138">
        <f t="shared" si="136"/>
        <v>0.77968490742404351</v>
      </c>
      <c r="K1712" s="114"/>
      <c r="L1712" s="37">
        <v>2.3834289209900001</v>
      </c>
      <c r="M1712" s="37" t="s">
        <v>142</v>
      </c>
      <c r="N1712" s="37">
        <v>771.6404230243902</v>
      </c>
      <c r="O1712" s="132">
        <f t="shared" si="133"/>
        <v>1839.1501008412897</v>
      </c>
      <c r="P1712" s="134">
        <f t="shared" si="134"/>
        <v>1433.9575761133613</v>
      </c>
      <c r="Q1712" s="261">
        <v>1</v>
      </c>
      <c r="R1712" s="94"/>
    </row>
    <row r="1713" spans="1:18" x14ac:dyDescent="0.25">
      <c r="A1713" s="367">
        <v>40880</v>
      </c>
      <c r="B1713" s="367" t="s">
        <v>279</v>
      </c>
      <c r="C1713" s="279" t="s">
        <v>686</v>
      </c>
      <c r="D1713" s="159" t="s">
        <v>1167</v>
      </c>
      <c r="E1713" s="45">
        <f t="shared" si="135"/>
        <v>40880</v>
      </c>
      <c r="F1713" s="148" t="str">
        <f t="shared" si="132"/>
        <v>2011-12</v>
      </c>
      <c r="G1713" s="1"/>
      <c r="H1713" s="163"/>
      <c r="I1713" s="37"/>
      <c r="J1713" s="138">
        <f t="shared" si="136"/>
        <v>0.77968490742404351</v>
      </c>
      <c r="K1713" s="114"/>
      <c r="L1713" s="37">
        <v>1.3765525780000001</v>
      </c>
      <c r="M1713" s="37" t="s">
        <v>142</v>
      </c>
      <c r="N1713" s="37">
        <v>771.6404230243902</v>
      </c>
      <c r="O1713" s="132">
        <f t="shared" si="133"/>
        <v>1062.203613603235</v>
      </c>
      <c r="P1713" s="134">
        <f t="shared" si="134"/>
        <v>828.18412613772273</v>
      </c>
      <c r="Q1713" s="261">
        <v>1</v>
      </c>
      <c r="R1713" s="94"/>
    </row>
    <row r="1714" spans="1:18" x14ac:dyDescent="0.25">
      <c r="A1714" s="367">
        <v>40880</v>
      </c>
      <c r="B1714" s="367" t="s">
        <v>279</v>
      </c>
      <c r="C1714" s="279" t="s">
        <v>686</v>
      </c>
      <c r="D1714" s="159" t="s">
        <v>1167</v>
      </c>
      <c r="E1714" s="45">
        <f t="shared" si="135"/>
        <v>40880</v>
      </c>
      <c r="F1714" s="148" t="str">
        <f t="shared" si="132"/>
        <v>2011-12</v>
      </c>
      <c r="G1714" s="1"/>
      <c r="H1714" s="163"/>
      <c r="I1714" s="37"/>
      <c r="J1714" s="138">
        <f t="shared" si="136"/>
        <v>0.77968490742404351</v>
      </c>
      <c r="K1714" s="114"/>
      <c r="L1714" s="37">
        <v>1.72135733766</v>
      </c>
      <c r="M1714" s="37" t="s">
        <v>142</v>
      </c>
      <c r="N1714" s="37">
        <v>771.6404230243902</v>
      </c>
      <c r="O1714" s="132">
        <f t="shared" si="133"/>
        <v>1328.2689042081004</v>
      </c>
      <c r="P1714" s="134">
        <f t="shared" si="134"/>
        <v>1035.6312176117285</v>
      </c>
      <c r="Q1714" s="261">
        <v>1</v>
      </c>
      <c r="R1714" s="94"/>
    </row>
    <row r="1715" spans="1:18" x14ac:dyDescent="0.25">
      <c r="A1715" s="367">
        <v>40880</v>
      </c>
      <c r="B1715" s="367" t="s">
        <v>279</v>
      </c>
      <c r="C1715" s="279" t="s">
        <v>686</v>
      </c>
      <c r="D1715" s="159" t="s">
        <v>1167</v>
      </c>
      <c r="E1715" s="45">
        <f t="shared" si="135"/>
        <v>40880</v>
      </c>
      <c r="F1715" s="148" t="str">
        <f t="shared" si="132"/>
        <v>2011-12</v>
      </c>
      <c r="G1715" s="1"/>
      <c r="H1715" s="163"/>
      <c r="I1715" s="37"/>
      <c r="J1715" s="138">
        <f t="shared" si="136"/>
        <v>0.77968490742404351</v>
      </c>
      <c r="K1715" s="114"/>
      <c r="L1715" s="37">
        <v>10.158808349799999</v>
      </c>
      <c r="M1715" s="37" t="s">
        <v>142</v>
      </c>
      <c r="N1715" s="37">
        <v>771.6404230243902</v>
      </c>
      <c r="O1715" s="132">
        <f t="shared" si="133"/>
        <v>7838.9471724633786</v>
      </c>
      <c r="P1715" s="134">
        <f t="shared" si="134"/>
        <v>6111.9088004640771</v>
      </c>
      <c r="Q1715" s="261">
        <v>1</v>
      </c>
      <c r="R1715" s="94"/>
    </row>
    <row r="1716" spans="1:18" x14ac:dyDescent="0.25">
      <c r="A1716" s="367">
        <v>40880</v>
      </c>
      <c r="B1716" s="367" t="s">
        <v>279</v>
      </c>
      <c r="C1716" s="279" t="s">
        <v>686</v>
      </c>
      <c r="D1716" s="159" t="s">
        <v>1167</v>
      </c>
      <c r="E1716" s="45">
        <f t="shared" si="135"/>
        <v>40880</v>
      </c>
      <c r="F1716" s="148" t="str">
        <f t="shared" si="132"/>
        <v>2011-12</v>
      </c>
      <c r="G1716" s="1"/>
      <c r="H1716" s="163"/>
      <c r="I1716" s="37"/>
      <c r="J1716" s="138">
        <f t="shared" si="136"/>
        <v>0.77968490742404351</v>
      </c>
      <c r="K1716" s="114"/>
      <c r="L1716" s="37">
        <v>9.2734233023199995</v>
      </c>
      <c r="M1716" s="37" t="s">
        <v>142</v>
      </c>
      <c r="N1716" s="37">
        <v>2042.4636684878049</v>
      </c>
      <c r="O1716" s="132">
        <f t="shared" si="133"/>
        <v>18940.630177496801</v>
      </c>
      <c r="P1716" s="134">
        <f t="shared" si="134"/>
        <v>14767.723486494639</v>
      </c>
      <c r="Q1716" s="261">
        <v>1</v>
      </c>
      <c r="R1716" s="94"/>
    </row>
    <row r="1717" spans="1:18" x14ac:dyDescent="0.25">
      <c r="A1717" s="367">
        <v>40880</v>
      </c>
      <c r="B1717" s="367" t="s">
        <v>279</v>
      </c>
      <c r="C1717" s="279" t="s">
        <v>693</v>
      </c>
      <c r="D1717" s="159" t="s">
        <v>1167</v>
      </c>
      <c r="E1717" s="45">
        <f t="shared" si="135"/>
        <v>40880</v>
      </c>
      <c r="F1717" s="148" t="str">
        <f t="shared" si="132"/>
        <v>2011-12</v>
      </c>
      <c r="G1717" s="1"/>
      <c r="H1717" s="163"/>
      <c r="I1717" s="37"/>
      <c r="J1717" s="138">
        <f t="shared" si="136"/>
        <v>0.77968490742404351</v>
      </c>
      <c r="K1717" s="114"/>
      <c r="L1717" s="37">
        <v>9.1374417220899993</v>
      </c>
      <c r="M1717" s="37" t="s">
        <v>142</v>
      </c>
      <c r="N1717" s="37">
        <v>2042.4636684878049</v>
      </c>
      <c r="O1717" s="132">
        <f t="shared" si="133"/>
        <v>18662.892740293464</v>
      </c>
      <c r="P1717" s="134">
        <f t="shared" si="134"/>
        <v>14551.175798480563</v>
      </c>
      <c r="Q1717" s="261">
        <v>1</v>
      </c>
      <c r="R1717" s="94"/>
    </row>
    <row r="1718" spans="1:18" x14ac:dyDescent="0.25">
      <c r="A1718" s="367">
        <v>40880</v>
      </c>
      <c r="B1718" s="367" t="s">
        <v>279</v>
      </c>
      <c r="C1718" s="279" t="s">
        <v>686</v>
      </c>
      <c r="D1718" s="159" t="s">
        <v>1167</v>
      </c>
      <c r="E1718" s="45">
        <f t="shared" si="135"/>
        <v>40880</v>
      </c>
      <c r="F1718" s="148" t="str">
        <f t="shared" si="132"/>
        <v>2011-12</v>
      </c>
      <c r="G1718" s="1"/>
      <c r="H1718" s="163"/>
      <c r="I1718" s="37"/>
      <c r="J1718" s="138">
        <f t="shared" si="136"/>
        <v>0.77968490742404351</v>
      </c>
      <c r="K1718" s="114"/>
      <c r="L1718" s="37">
        <v>13.822548363299999</v>
      </c>
      <c r="M1718" s="37" t="s">
        <v>142</v>
      </c>
      <c r="N1718" s="37">
        <v>2092.2858536585363</v>
      </c>
      <c r="O1718" s="132">
        <f t="shared" si="133"/>
        <v>28920.722402043542</v>
      </c>
      <c r="P1718" s="134">
        <f t="shared" si="134"/>
        <v>22549.05076867378</v>
      </c>
      <c r="Q1718" s="261">
        <v>1</v>
      </c>
      <c r="R1718" s="94"/>
    </row>
    <row r="1719" spans="1:18" x14ac:dyDescent="0.25">
      <c r="A1719" s="367">
        <v>40880</v>
      </c>
      <c r="B1719" s="367" t="s">
        <v>279</v>
      </c>
      <c r="C1719" s="279" t="s">
        <v>686</v>
      </c>
      <c r="D1719" s="159" t="s">
        <v>1167</v>
      </c>
      <c r="E1719" s="45">
        <f t="shared" si="135"/>
        <v>40880</v>
      </c>
      <c r="F1719" s="148" t="str">
        <f t="shared" si="132"/>
        <v>2011-12</v>
      </c>
      <c r="G1719" s="1"/>
      <c r="H1719" s="163"/>
      <c r="I1719" s="37"/>
      <c r="J1719" s="138">
        <f t="shared" si="136"/>
        <v>0.77968490742404351</v>
      </c>
      <c r="K1719" s="114"/>
      <c r="L1719" s="37">
        <v>161.20858925900001</v>
      </c>
      <c r="M1719" s="37" t="s">
        <v>142</v>
      </c>
      <c r="N1719" s="37">
        <v>2683.0915094634142</v>
      </c>
      <c r="O1719" s="132">
        <f t="shared" si="133"/>
        <v>432537.39709339786</v>
      </c>
      <c r="P1719" s="134">
        <f t="shared" si="134"/>
        <v>337242.88041020266</v>
      </c>
      <c r="Q1719" s="261">
        <v>1</v>
      </c>
      <c r="R1719" s="94"/>
    </row>
    <row r="1720" spans="1:18" x14ac:dyDescent="0.25">
      <c r="A1720" s="367">
        <v>40876</v>
      </c>
      <c r="B1720" s="367" t="s">
        <v>279</v>
      </c>
      <c r="C1720" s="279" t="s">
        <v>686</v>
      </c>
      <c r="D1720" s="159" t="s">
        <v>1167</v>
      </c>
      <c r="E1720" s="45">
        <f t="shared" si="135"/>
        <v>40876</v>
      </c>
      <c r="F1720" s="148" t="str">
        <f t="shared" si="132"/>
        <v>2011-12</v>
      </c>
      <c r="G1720" s="1"/>
      <c r="H1720" s="163"/>
      <c r="I1720" s="37"/>
      <c r="J1720" s="138">
        <f t="shared" si="136"/>
        <v>0.77968490742404351</v>
      </c>
      <c r="K1720" s="114"/>
      <c r="L1720" s="37">
        <v>152.46040910900001</v>
      </c>
      <c r="M1720" s="37" t="s">
        <v>142</v>
      </c>
      <c r="N1720" s="37">
        <v>1422.8419512195119</v>
      </c>
      <c r="O1720" s="132">
        <f t="shared" si="133"/>
        <v>216927.06598037461</v>
      </c>
      <c r="P1720" s="134">
        <f t="shared" si="134"/>
        <v>169134.75935667777</v>
      </c>
      <c r="Q1720" s="261">
        <v>1</v>
      </c>
      <c r="R1720" s="94"/>
    </row>
    <row r="1721" spans="1:18" x14ac:dyDescent="0.25">
      <c r="A1721" s="367">
        <v>40880</v>
      </c>
      <c r="B1721" s="367" t="s">
        <v>279</v>
      </c>
      <c r="C1721" s="279" t="s">
        <v>686</v>
      </c>
      <c r="D1721" s="159" t="s">
        <v>1167</v>
      </c>
      <c r="E1721" s="45">
        <f t="shared" si="135"/>
        <v>40880</v>
      </c>
      <c r="F1721" s="148" t="str">
        <f t="shared" si="132"/>
        <v>2011-12</v>
      </c>
      <c r="G1721" s="1"/>
      <c r="H1721" s="163"/>
      <c r="I1721" s="37"/>
      <c r="J1721" s="138">
        <f t="shared" si="136"/>
        <v>0.77968490742404351</v>
      </c>
      <c r="K1721" s="114"/>
      <c r="L1721" s="37">
        <v>180.00565458299999</v>
      </c>
      <c r="M1721" s="37" t="s">
        <v>142</v>
      </c>
      <c r="N1721" s="37">
        <v>2683.0915094634142</v>
      </c>
      <c r="O1721" s="132">
        <f t="shared" si="133"/>
        <v>482971.64346705138</v>
      </c>
      <c r="P1721" s="134">
        <f t="shared" si="134"/>
        <v>376565.70112504612</v>
      </c>
      <c r="Q1721" s="261">
        <v>1</v>
      </c>
      <c r="R1721" s="94"/>
    </row>
    <row r="1722" spans="1:18" x14ac:dyDescent="0.25">
      <c r="A1722" s="367">
        <v>40880</v>
      </c>
      <c r="B1722" s="367" t="s">
        <v>279</v>
      </c>
      <c r="C1722" s="279" t="s">
        <v>686</v>
      </c>
      <c r="D1722" s="159" t="s">
        <v>1167</v>
      </c>
      <c r="E1722" s="45">
        <f t="shared" si="135"/>
        <v>40880</v>
      </c>
      <c r="F1722" s="148" t="str">
        <f t="shared" si="132"/>
        <v>2011-12</v>
      </c>
      <c r="G1722" s="1"/>
      <c r="H1722" s="163"/>
      <c r="I1722" s="37"/>
      <c r="J1722" s="138">
        <f t="shared" si="136"/>
        <v>0.77968490742404351</v>
      </c>
      <c r="K1722" s="114"/>
      <c r="L1722" s="37">
        <v>22.596117918800001</v>
      </c>
      <c r="M1722" s="37" t="s">
        <v>142</v>
      </c>
      <c r="N1722" s="37">
        <v>2683.0915094634142</v>
      </c>
      <c r="O1722" s="132">
        <f t="shared" si="133"/>
        <v>60627.452134766398</v>
      </c>
      <c r="P1722" s="134">
        <f t="shared" si="134"/>
        <v>47270.309405050968</v>
      </c>
      <c r="Q1722" s="261">
        <v>1</v>
      </c>
      <c r="R1722" s="94"/>
    </row>
    <row r="1723" spans="1:18" x14ac:dyDescent="0.25">
      <c r="A1723" s="367">
        <v>40880</v>
      </c>
      <c r="B1723" s="367" t="s">
        <v>279</v>
      </c>
      <c r="C1723" s="279" t="s">
        <v>686</v>
      </c>
      <c r="D1723" s="159" t="s">
        <v>1167</v>
      </c>
      <c r="E1723" s="45">
        <f t="shared" si="135"/>
        <v>40880</v>
      </c>
      <c r="F1723" s="148" t="str">
        <f t="shared" si="132"/>
        <v>2011-12</v>
      </c>
      <c r="G1723" s="1"/>
      <c r="H1723" s="163"/>
      <c r="I1723" s="37"/>
      <c r="J1723" s="138">
        <f t="shared" si="136"/>
        <v>0.77968490742404351</v>
      </c>
      <c r="K1723" s="114"/>
      <c r="L1723" s="37">
        <v>5.9996258443099997</v>
      </c>
      <c r="M1723" s="37" t="s">
        <v>142</v>
      </c>
      <c r="N1723" s="37">
        <v>2042.4636684878049</v>
      </c>
      <c r="O1723" s="132">
        <f t="shared" si="133"/>
        <v>12254.017811523645</v>
      </c>
      <c r="P1723" s="134">
        <f t="shared" si="134"/>
        <v>9554.2727429503939</v>
      </c>
      <c r="Q1723" s="261">
        <v>1</v>
      </c>
      <c r="R1723" s="94"/>
    </row>
    <row r="1724" spans="1:18" x14ac:dyDescent="0.25">
      <c r="A1724" s="367">
        <v>40876</v>
      </c>
      <c r="B1724" s="367" t="s">
        <v>279</v>
      </c>
      <c r="C1724" s="279" t="s">
        <v>686</v>
      </c>
      <c r="D1724" s="159" t="s">
        <v>1167</v>
      </c>
      <c r="E1724" s="45">
        <f t="shared" si="135"/>
        <v>40876</v>
      </c>
      <c r="F1724" s="148" t="str">
        <f t="shared" si="132"/>
        <v>2011-12</v>
      </c>
      <c r="G1724" s="1"/>
      <c r="H1724" s="163"/>
      <c r="I1724" s="37"/>
      <c r="J1724" s="138">
        <f t="shared" si="136"/>
        <v>0.77968490742404351</v>
      </c>
      <c r="K1724" s="114"/>
      <c r="L1724" s="37">
        <v>12.404510310099999</v>
      </c>
      <c r="M1724" s="37" t="s">
        <v>142</v>
      </c>
      <c r="N1724" s="37">
        <v>1128.7084557073169</v>
      </c>
      <c r="O1724" s="132">
        <f t="shared" si="133"/>
        <v>14001.075675918461</v>
      </c>
      <c r="P1724" s="134">
        <f t="shared" si="134"/>
        <v>10916.427392215512</v>
      </c>
      <c r="Q1724" s="261">
        <v>1</v>
      </c>
      <c r="R1724" s="94"/>
    </row>
    <row r="1725" spans="1:18" x14ac:dyDescent="0.25">
      <c r="A1725" s="367">
        <v>40876</v>
      </c>
      <c r="B1725" s="367" t="s">
        <v>279</v>
      </c>
      <c r="C1725" s="279" t="s">
        <v>686</v>
      </c>
      <c r="D1725" s="159" t="s">
        <v>1167</v>
      </c>
      <c r="E1725" s="45">
        <f t="shared" si="135"/>
        <v>40876</v>
      </c>
      <c r="F1725" s="148" t="str">
        <f t="shared" si="132"/>
        <v>2011-12</v>
      </c>
      <c r="G1725" s="1"/>
      <c r="H1725" s="163"/>
      <c r="I1725" s="37"/>
      <c r="J1725" s="138">
        <f t="shared" si="136"/>
        <v>0.77968490742404351</v>
      </c>
      <c r="K1725" s="114"/>
      <c r="L1725" s="37">
        <v>13.982004696800001</v>
      </c>
      <c r="M1725" s="37" t="s">
        <v>142</v>
      </c>
      <c r="N1725" s="37">
        <v>2042.4636684878049</v>
      </c>
      <c r="O1725" s="132">
        <f t="shared" si="133"/>
        <v>28557.736605839847</v>
      </c>
      <c r="P1725" s="134">
        <f t="shared" si="134"/>
        <v>22266.036221764462</v>
      </c>
      <c r="Q1725" s="261">
        <v>1</v>
      </c>
      <c r="R1725" s="94"/>
    </row>
    <row r="1726" spans="1:18" x14ac:dyDescent="0.25">
      <c r="A1726" s="367">
        <v>40876</v>
      </c>
      <c r="B1726" s="367" t="s">
        <v>279</v>
      </c>
      <c r="C1726" s="279" t="s">
        <v>686</v>
      </c>
      <c r="D1726" s="159" t="s">
        <v>1167</v>
      </c>
      <c r="E1726" s="45">
        <f t="shared" si="135"/>
        <v>40876</v>
      </c>
      <c r="F1726" s="148" t="str">
        <f t="shared" si="132"/>
        <v>2011-12</v>
      </c>
      <c r="G1726" s="1"/>
      <c r="H1726" s="163"/>
      <c r="I1726" s="37"/>
      <c r="J1726" s="138">
        <f t="shared" si="136"/>
        <v>0.77968490742404351</v>
      </c>
      <c r="K1726" s="114"/>
      <c r="L1726" s="37">
        <v>20.929531494900001</v>
      </c>
      <c r="M1726" s="37" t="s">
        <v>142</v>
      </c>
      <c r="N1726" s="37">
        <v>1128.7084557073169</v>
      </c>
      <c r="O1726" s="132">
        <f t="shared" si="133"/>
        <v>23623.339172286232</v>
      </c>
      <c r="P1726" s="134">
        <f t="shared" si="134"/>
        <v>18418.761015590771</v>
      </c>
      <c r="Q1726" s="261">
        <v>1</v>
      </c>
      <c r="R1726" s="94"/>
    </row>
    <row r="1727" spans="1:18" x14ac:dyDescent="0.25">
      <c r="A1727" s="367">
        <v>40876</v>
      </c>
      <c r="B1727" s="367" t="s">
        <v>279</v>
      </c>
      <c r="C1727" s="279" t="s">
        <v>686</v>
      </c>
      <c r="D1727" s="159" t="s">
        <v>1167</v>
      </c>
      <c r="E1727" s="45">
        <f t="shared" si="135"/>
        <v>40876</v>
      </c>
      <c r="F1727" s="148" t="str">
        <f t="shared" si="132"/>
        <v>2011-12</v>
      </c>
      <c r="G1727" s="1"/>
      <c r="H1727" s="163"/>
      <c r="I1727" s="37"/>
      <c r="J1727" s="138">
        <f t="shared" si="136"/>
        <v>0.77968490742404351</v>
      </c>
      <c r="K1727" s="114"/>
      <c r="L1727" s="37">
        <v>4.3108311263600001</v>
      </c>
      <c r="M1727" s="37" t="s">
        <v>142</v>
      </c>
      <c r="N1727" s="37">
        <v>1128.7084557073169</v>
      </c>
      <c r="O1727" s="132">
        <f t="shared" si="133"/>
        <v>4865.6715434488297</v>
      </c>
      <c r="P1727" s="134">
        <f t="shared" si="134"/>
        <v>3793.6906669097034</v>
      </c>
      <c r="Q1727" s="261">
        <v>1</v>
      </c>
      <c r="R1727" s="94"/>
    </row>
    <row r="1728" spans="1:18" x14ac:dyDescent="0.25">
      <c r="A1728" s="367">
        <v>40876</v>
      </c>
      <c r="B1728" s="367" t="s">
        <v>279</v>
      </c>
      <c r="C1728" s="279" t="s">
        <v>686</v>
      </c>
      <c r="D1728" s="159" t="s">
        <v>1167</v>
      </c>
      <c r="E1728" s="45">
        <f t="shared" si="135"/>
        <v>40876</v>
      </c>
      <c r="F1728" s="148" t="str">
        <f t="shared" si="132"/>
        <v>2011-12</v>
      </c>
      <c r="G1728" s="1"/>
      <c r="H1728" s="163"/>
      <c r="I1728" s="37"/>
      <c r="J1728" s="138">
        <f t="shared" si="136"/>
        <v>0.77968490742404351</v>
      </c>
      <c r="K1728" s="114"/>
      <c r="L1728" s="37">
        <v>9.9861647993199991</v>
      </c>
      <c r="M1728" s="37" t="s">
        <v>142</v>
      </c>
      <c r="N1728" s="37">
        <v>1422.8419512195119</v>
      </c>
      <c r="O1728" s="132">
        <f t="shared" si="133"/>
        <v>14208.734208264073</v>
      </c>
      <c r="P1728" s="134">
        <f t="shared" si="134"/>
        <v>11078.335615783215</v>
      </c>
      <c r="Q1728" s="261">
        <v>1</v>
      </c>
      <c r="R1728" s="94"/>
    </row>
    <row r="1729" spans="1:18" x14ac:dyDescent="0.25">
      <c r="A1729" s="367">
        <v>40876</v>
      </c>
      <c r="B1729" s="367" t="s">
        <v>279</v>
      </c>
      <c r="C1729" s="279" t="s">
        <v>686</v>
      </c>
      <c r="D1729" s="159" t="s">
        <v>1167</v>
      </c>
      <c r="E1729" s="45">
        <f t="shared" si="135"/>
        <v>40876</v>
      </c>
      <c r="F1729" s="148" t="str">
        <f t="shared" si="132"/>
        <v>2011-12</v>
      </c>
      <c r="G1729" s="1"/>
      <c r="H1729" s="163"/>
      <c r="I1729" s="37"/>
      <c r="J1729" s="138">
        <f t="shared" si="136"/>
        <v>0.77968490742404351</v>
      </c>
      <c r="K1729" s="114"/>
      <c r="L1729" s="37">
        <v>5.3945327898500004</v>
      </c>
      <c r="M1729" s="37" t="s">
        <v>142</v>
      </c>
      <c r="N1729" s="37">
        <v>1422.8419512195119</v>
      </c>
      <c r="O1729" s="132">
        <f t="shared" si="133"/>
        <v>7675.5675606278119</v>
      </c>
      <c r="P1729" s="134">
        <f t="shared" si="134"/>
        <v>5984.5241829350871</v>
      </c>
      <c r="Q1729" s="261">
        <v>1</v>
      </c>
      <c r="R1729" s="94"/>
    </row>
    <row r="1730" spans="1:18" x14ac:dyDescent="0.25">
      <c r="A1730" s="367">
        <v>40994</v>
      </c>
      <c r="B1730" s="367" t="s">
        <v>279</v>
      </c>
      <c r="C1730" s="279" t="s">
        <v>691</v>
      </c>
      <c r="D1730" s="159" t="s">
        <v>1167</v>
      </c>
      <c r="E1730" s="45">
        <f t="shared" si="135"/>
        <v>40994</v>
      </c>
      <c r="F1730" s="148" t="str">
        <f t="shared" si="132"/>
        <v>2011-12</v>
      </c>
      <c r="G1730" s="1"/>
      <c r="H1730" s="163"/>
      <c r="I1730" s="37"/>
      <c r="J1730" s="138">
        <f t="shared" si="136"/>
        <v>0.77968490742404351</v>
      </c>
      <c r="K1730" s="114"/>
      <c r="L1730" s="37">
        <v>6.2043612814199998</v>
      </c>
      <c r="M1730" s="37" t="s">
        <v>142</v>
      </c>
      <c r="N1730" s="37">
        <v>1422.8419512195119</v>
      </c>
      <c r="O1730" s="132">
        <f t="shared" si="133"/>
        <v>8827.8255117264234</v>
      </c>
      <c r="P1730" s="134">
        <f t="shared" si="134"/>
        <v>6882.9223168660255</v>
      </c>
      <c r="Q1730" s="261">
        <v>1</v>
      </c>
      <c r="R1730" s="94"/>
    </row>
    <row r="1731" spans="1:18" x14ac:dyDescent="0.25">
      <c r="A1731" s="367">
        <v>39806</v>
      </c>
      <c r="B1731" s="367" t="s">
        <v>279</v>
      </c>
      <c r="C1731" s="279" t="s">
        <v>694</v>
      </c>
      <c r="D1731" s="159" t="s">
        <v>1167</v>
      </c>
      <c r="E1731" s="45">
        <f t="shared" si="135"/>
        <v>39806</v>
      </c>
      <c r="F1731" s="148" t="str">
        <f t="shared" si="132"/>
        <v>2008-09</v>
      </c>
      <c r="G1731" s="1"/>
      <c r="H1731" s="163"/>
      <c r="I1731" s="37"/>
      <c r="J1731" s="138">
        <f t="shared" si="136"/>
        <v>0.77968490742404351</v>
      </c>
      <c r="K1731" s="114"/>
      <c r="L1731" s="37">
        <v>2.5080127591400001</v>
      </c>
      <c r="M1731" s="37" t="s">
        <v>142</v>
      </c>
      <c r="N1731" s="37">
        <v>1003.0093919999996</v>
      </c>
      <c r="O1731" s="132">
        <f t="shared" si="133"/>
        <v>2515.560352673253</v>
      </c>
      <c r="P1731" s="134">
        <f t="shared" si="134"/>
        <v>1961.3444406936394</v>
      </c>
      <c r="Q1731" s="261">
        <v>1</v>
      </c>
      <c r="R1731" s="94"/>
    </row>
    <row r="1732" spans="1:18" x14ac:dyDescent="0.25">
      <c r="A1732" s="367">
        <v>40876</v>
      </c>
      <c r="B1732" s="367" t="s">
        <v>279</v>
      </c>
      <c r="C1732" s="279" t="s">
        <v>686</v>
      </c>
      <c r="D1732" s="159" t="s">
        <v>1167</v>
      </c>
      <c r="E1732" s="45">
        <f t="shared" si="135"/>
        <v>40876</v>
      </c>
      <c r="F1732" s="148" t="str">
        <f t="shared" si="132"/>
        <v>2011-12</v>
      </c>
      <c r="G1732" s="1"/>
      <c r="H1732" s="163"/>
      <c r="I1732" s="37"/>
      <c r="J1732" s="138">
        <f t="shared" si="136"/>
        <v>0.77968490742404351</v>
      </c>
      <c r="K1732" s="114"/>
      <c r="L1732" s="37">
        <v>31.738271818099999</v>
      </c>
      <c r="M1732" s="37" t="s">
        <v>142</v>
      </c>
      <c r="N1732" s="37">
        <v>1422.8419512195119</v>
      </c>
      <c r="O1732" s="132">
        <f t="shared" si="133"/>
        <v>45158.544602000649</v>
      </c>
      <c r="P1732" s="134">
        <f t="shared" si="134"/>
        <v>35209.435667415419</v>
      </c>
      <c r="Q1732" s="261">
        <v>1</v>
      </c>
      <c r="R1732" s="94"/>
    </row>
    <row r="1733" spans="1:18" x14ac:dyDescent="0.25">
      <c r="A1733" s="367">
        <v>40876</v>
      </c>
      <c r="B1733" s="367" t="s">
        <v>279</v>
      </c>
      <c r="C1733" s="279" t="s">
        <v>686</v>
      </c>
      <c r="D1733" s="159" t="s">
        <v>1167</v>
      </c>
      <c r="E1733" s="45">
        <f t="shared" si="135"/>
        <v>40876</v>
      </c>
      <c r="F1733" s="148" t="str">
        <f t="shared" si="132"/>
        <v>2011-12</v>
      </c>
      <c r="G1733" s="1"/>
      <c r="H1733" s="163"/>
      <c r="I1733" s="37"/>
      <c r="J1733" s="138">
        <f t="shared" si="136"/>
        <v>0.77968490742404351</v>
      </c>
      <c r="K1733" s="114"/>
      <c r="L1733" s="37">
        <v>11.0803113675</v>
      </c>
      <c r="M1733" s="37" t="s">
        <v>142</v>
      </c>
      <c r="N1733" s="37">
        <v>1422.8419512195119</v>
      </c>
      <c r="O1733" s="132">
        <f t="shared" si="133"/>
        <v>15765.531846253438</v>
      </c>
      <c r="P1733" s="134">
        <f t="shared" si="134"/>
        <v>12292.147238036921</v>
      </c>
      <c r="Q1733" s="261">
        <v>1</v>
      </c>
      <c r="R1733" s="94"/>
    </row>
    <row r="1734" spans="1:18" x14ac:dyDescent="0.25">
      <c r="A1734" s="367">
        <v>40876</v>
      </c>
      <c r="B1734" s="367" t="s">
        <v>279</v>
      </c>
      <c r="C1734" s="279" t="s">
        <v>686</v>
      </c>
      <c r="D1734" s="159" t="s">
        <v>1167</v>
      </c>
      <c r="E1734" s="45">
        <f t="shared" si="135"/>
        <v>40876</v>
      </c>
      <c r="F1734" s="148" t="str">
        <f t="shared" si="132"/>
        <v>2011-12</v>
      </c>
      <c r="G1734" s="1"/>
      <c r="H1734" s="163"/>
      <c r="I1734" s="37"/>
      <c r="J1734" s="138">
        <f t="shared" si="136"/>
        <v>0.77968490742404351</v>
      </c>
      <c r="K1734" s="114"/>
      <c r="L1734" s="37">
        <v>45.718434378300003</v>
      </c>
      <c r="M1734" s="37" t="s">
        <v>142</v>
      </c>
      <c r="N1734" s="37">
        <v>1422.8419512195119</v>
      </c>
      <c r="O1734" s="132">
        <f t="shared" si="133"/>
        <v>65050.106377521588</v>
      </c>
      <c r="P1734" s="134">
        <f t="shared" si="134"/>
        <v>50718.586168882102</v>
      </c>
      <c r="Q1734" s="261">
        <v>1</v>
      </c>
      <c r="R1734" s="94"/>
    </row>
    <row r="1735" spans="1:18" x14ac:dyDescent="0.25">
      <c r="A1735" s="367">
        <v>40876</v>
      </c>
      <c r="B1735" s="367" t="s">
        <v>279</v>
      </c>
      <c r="C1735" s="279" t="s">
        <v>686</v>
      </c>
      <c r="D1735" s="159" t="s">
        <v>1167</v>
      </c>
      <c r="E1735" s="45">
        <f t="shared" si="135"/>
        <v>40876</v>
      </c>
      <c r="F1735" s="148" t="str">
        <f t="shared" si="132"/>
        <v>2011-12</v>
      </c>
      <c r="G1735" s="1"/>
      <c r="H1735" s="163"/>
      <c r="I1735" s="37"/>
      <c r="J1735" s="138">
        <f t="shared" si="136"/>
        <v>0.77968490742404351</v>
      </c>
      <c r="K1735" s="114"/>
      <c r="L1735" s="37">
        <v>6.2595163551199997</v>
      </c>
      <c r="M1735" s="37" t="s">
        <v>142</v>
      </c>
      <c r="N1735" s="37">
        <v>1422.8419512195119</v>
      </c>
      <c r="O1735" s="132">
        <f t="shared" si="133"/>
        <v>8906.3024644093875</v>
      </c>
      <c r="P1735" s="134">
        <f t="shared" si="134"/>
        <v>6944.1096124535643</v>
      </c>
      <c r="Q1735" s="261">
        <v>1</v>
      </c>
      <c r="R1735" s="94"/>
    </row>
    <row r="1736" spans="1:18" x14ac:dyDescent="0.25">
      <c r="A1736" s="367">
        <v>40876</v>
      </c>
      <c r="B1736" s="367" t="s">
        <v>279</v>
      </c>
      <c r="C1736" s="279" t="s">
        <v>686</v>
      </c>
      <c r="D1736" s="159" t="s">
        <v>1167</v>
      </c>
      <c r="E1736" s="45">
        <f t="shared" si="135"/>
        <v>40876</v>
      </c>
      <c r="F1736" s="148" t="str">
        <f t="shared" si="132"/>
        <v>2011-12</v>
      </c>
      <c r="G1736" s="1"/>
      <c r="H1736" s="163"/>
      <c r="I1736" s="37"/>
      <c r="J1736" s="138">
        <f t="shared" si="136"/>
        <v>0.77968490742404351</v>
      </c>
      <c r="K1736" s="114"/>
      <c r="L1736" s="37">
        <v>11.9639571635</v>
      </c>
      <c r="M1736" s="37" t="s">
        <v>142</v>
      </c>
      <c r="N1736" s="37">
        <v>1422.8419512195119</v>
      </c>
      <c r="O1736" s="132">
        <f t="shared" si="133"/>
        <v>17022.820154820998</v>
      </c>
      <c r="P1736" s="134">
        <f t="shared" si="134"/>
        <v>13272.435956507752</v>
      </c>
      <c r="Q1736" s="261">
        <v>1</v>
      </c>
      <c r="R1736" s="94"/>
    </row>
    <row r="1737" spans="1:18" x14ac:dyDescent="0.25">
      <c r="A1737" s="367">
        <v>40876</v>
      </c>
      <c r="B1737" s="367" t="s">
        <v>279</v>
      </c>
      <c r="C1737" s="279" t="s">
        <v>686</v>
      </c>
      <c r="D1737" s="159" t="s">
        <v>1167</v>
      </c>
      <c r="E1737" s="45">
        <f t="shared" si="135"/>
        <v>40876</v>
      </c>
      <c r="F1737" s="148" t="str">
        <f t="shared" si="132"/>
        <v>2011-12</v>
      </c>
      <c r="G1737" s="1"/>
      <c r="H1737" s="163"/>
      <c r="I1737" s="37"/>
      <c r="J1737" s="138">
        <f t="shared" si="136"/>
        <v>0.77968490742404351</v>
      </c>
      <c r="K1737" s="114"/>
      <c r="L1737" s="37">
        <v>23.811906475499999</v>
      </c>
      <c r="M1737" s="37" t="s">
        <v>142</v>
      </c>
      <c r="N1737" s="37">
        <v>1422.8419512195119</v>
      </c>
      <c r="O1737" s="132">
        <f t="shared" si="133"/>
        <v>33880.579471856952</v>
      </c>
      <c r="P1737" s="134">
        <f t="shared" si="134"/>
        <v>26416.176468987738</v>
      </c>
      <c r="Q1737" s="261">
        <v>1</v>
      </c>
      <c r="R1737" s="94"/>
    </row>
    <row r="1738" spans="1:18" x14ac:dyDescent="0.25">
      <c r="A1738" s="367">
        <v>40876</v>
      </c>
      <c r="B1738" s="367" t="s">
        <v>279</v>
      </c>
      <c r="C1738" s="279" t="s">
        <v>686</v>
      </c>
      <c r="D1738" s="159" t="s">
        <v>1167</v>
      </c>
      <c r="E1738" s="45">
        <f t="shared" si="135"/>
        <v>40876</v>
      </c>
      <c r="F1738" s="148" t="str">
        <f t="shared" si="132"/>
        <v>2011-12</v>
      </c>
      <c r="G1738" s="1"/>
      <c r="H1738" s="163"/>
      <c r="I1738" s="37"/>
      <c r="J1738" s="138">
        <f t="shared" si="136"/>
        <v>0.77968490742404351</v>
      </c>
      <c r="K1738" s="114"/>
      <c r="L1738" s="37">
        <v>8.5613509447999991</v>
      </c>
      <c r="M1738" s="37" t="s">
        <v>142</v>
      </c>
      <c r="N1738" s="37">
        <v>1422.8419512195119</v>
      </c>
      <c r="O1738" s="132">
        <f t="shared" si="133"/>
        <v>12181.449283374242</v>
      </c>
      <c r="P1738" s="134">
        <f t="shared" si="134"/>
        <v>9497.6921567983281</v>
      </c>
      <c r="Q1738" s="261">
        <v>1</v>
      </c>
      <c r="R1738" s="94"/>
    </row>
    <row r="1739" spans="1:18" x14ac:dyDescent="0.25">
      <c r="A1739" s="367">
        <v>39806</v>
      </c>
      <c r="B1739" s="367" t="s">
        <v>279</v>
      </c>
      <c r="C1739" s="279" t="s">
        <v>694</v>
      </c>
      <c r="D1739" s="159" t="s">
        <v>1167</v>
      </c>
      <c r="E1739" s="45">
        <f t="shared" si="135"/>
        <v>39806</v>
      </c>
      <c r="F1739" s="148" t="str">
        <f t="shared" si="132"/>
        <v>2008-09</v>
      </c>
      <c r="G1739" s="1"/>
      <c r="H1739" s="163"/>
      <c r="I1739" s="37"/>
      <c r="J1739" s="138">
        <f t="shared" si="136"/>
        <v>0.77968490742404351</v>
      </c>
      <c r="K1739" s="114"/>
      <c r="L1739" s="37">
        <v>368.145641001</v>
      </c>
      <c r="M1739" s="37" t="s">
        <v>142</v>
      </c>
      <c r="N1739" s="37">
        <v>1003.0093919999996</v>
      </c>
      <c r="O1739" s="132">
        <f t="shared" si="133"/>
        <v>369253.53554786311</v>
      </c>
      <c r="P1739" s="134">
        <f t="shared" si="134"/>
        <v>287901.40867963643</v>
      </c>
      <c r="Q1739" s="261">
        <v>1</v>
      </c>
      <c r="R1739" s="94"/>
    </row>
    <row r="1740" spans="1:18" x14ac:dyDescent="0.25">
      <c r="A1740" s="367">
        <v>40876</v>
      </c>
      <c r="B1740" s="367" t="s">
        <v>279</v>
      </c>
      <c r="C1740" s="279" t="s">
        <v>686</v>
      </c>
      <c r="D1740" s="159" t="s">
        <v>1167</v>
      </c>
      <c r="E1740" s="45">
        <f t="shared" si="135"/>
        <v>40876</v>
      </c>
      <c r="F1740" s="148" t="str">
        <f t="shared" si="132"/>
        <v>2011-12</v>
      </c>
      <c r="G1740" s="1"/>
      <c r="H1740" s="163"/>
      <c r="I1740" s="37"/>
      <c r="J1740" s="138">
        <f t="shared" si="136"/>
        <v>0.77968490742404351</v>
      </c>
      <c r="K1740" s="114"/>
      <c r="L1740" s="37">
        <v>128.17577777700001</v>
      </c>
      <c r="M1740" s="37" t="s">
        <v>142</v>
      </c>
      <c r="N1740" s="37">
        <v>1422.8419512195119</v>
      </c>
      <c r="O1740" s="132">
        <f t="shared" si="133"/>
        <v>182373.87375130525</v>
      </c>
      <c r="P1740" s="134">
        <f t="shared" si="134"/>
        <v>142194.15687235064</v>
      </c>
      <c r="Q1740" s="261">
        <v>1</v>
      </c>
      <c r="R1740" s="94"/>
    </row>
    <row r="1741" spans="1:18" x14ac:dyDescent="0.25">
      <c r="A1741" s="367">
        <v>40876</v>
      </c>
      <c r="B1741" s="367" t="s">
        <v>279</v>
      </c>
      <c r="C1741" s="279" t="s">
        <v>686</v>
      </c>
      <c r="D1741" s="159" t="s">
        <v>1168</v>
      </c>
      <c r="E1741" s="45">
        <f t="shared" si="135"/>
        <v>40876</v>
      </c>
      <c r="F1741" s="148" t="str">
        <f t="shared" si="132"/>
        <v>2011-12</v>
      </c>
      <c r="G1741" s="1"/>
      <c r="H1741" s="163"/>
      <c r="I1741" s="37"/>
      <c r="J1741" s="138">
        <f t="shared" si="136"/>
        <v>0.77968490742404351</v>
      </c>
      <c r="K1741" s="114"/>
      <c r="L1741" s="37">
        <v>205.65251191499999</v>
      </c>
      <c r="M1741" s="37" t="s">
        <v>142</v>
      </c>
      <c r="N1741" s="37">
        <v>1422.8419512195119</v>
      </c>
      <c r="O1741" s="132">
        <f t="shared" si="133"/>
        <v>292611.02132633253</v>
      </c>
      <c r="P1741" s="134">
        <f t="shared" si="134"/>
        <v>228144.39707407641</v>
      </c>
      <c r="Q1741" s="261">
        <v>1</v>
      </c>
      <c r="R1741" s="94"/>
    </row>
    <row r="1742" spans="1:18" x14ac:dyDescent="0.25">
      <c r="A1742" s="367">
        <v>40876</v>
      </c>
      <c r="B1742" s="367" t="s">
        <v>279</v>
      </c>
      <c r="C1742" s="279" t="s">
        <v>686</v>
      </c>
      <c r="D1742" s="159" t="s">
        <v>1168</v>
      </c>
      <c r="E1742" s="45">
        <f t="shared" si="135"/>
        <v>40876</v>
      </c>
      <c r="F1742" s="148" t="str">
        <f t="shared" si="132"/>
        <v>2011-12</v>
      </c>
      <c r="G1742" s="1"/>
      <c r="H1742" s="163"/>
      <c r="I1742" s="37"/>
      <c r="J1742" s="138">
        <f t="shared" si="136"/>
        <v>0.77968490742404351</v>
      </c>
      <c r="K1742" s="114"/>
      <c r="L1742" s="37">
        <v>22.150358623399999</v>
      </c>
      <c r="M1742" s="37" t="s">
        <v>142</v>
      </c>
      <c r="N1742" s="37">
        <v>2042.4636684878049</v>
      </c>
      <c r="O1742" s="132">
        <f t="shared" si="133"/>
        <v>45241.302732270044</v>
      </c>
      <c r="P1742" s="134">
        <f t="shared" si="134"/>
        <v>35273.960932553098</v>
      </c>
      <c r="Q1742" s="261">
        <v>1</v>
      </c>
      <c r="R1742" s="94"/>
    </row>
    <row r="1743" spans="1:18" x14ac:dyDescent="0.25">
      <c r="A1743" s="367">
        <v>40876</v>
      </c>
      <c r="B1743" s="367" t="s">
        <v>279</v>
      </c>
      <c r="C1743" s="279" t="s">
        <v>686</v>
      </c>
      <c r="D1743" s="159" t="s">
        <v>1168</v>
      </c>
      <c r="E1743" s="45">
        <f t="shared" si="135"/>
        <v>40876</v>
      </c>
      <c r="F1743" s="148" t="str">
        <f t="shared" si="132"/>
        <v>2011-12</v>
      </c>
      <c r="G1743" s="1"/>
      <c r="H1743" s="163"/>
      <c r="I1743" s="37"/>
      <c r="J1743" s="138">
        <f t="shared" si="136"/>
        <v>0.77968490742404351</v>
      </c>
      <c r="K1743" s="114"/>
      <c r="L1743" s="37">
        <v>6.9684418369400003</v>
      </c>
      <c r="M1743" s="37" t="s">
        <v>142</v>
      </c>
      <c r="N1743" s="37">
        <v>2042.4636684878049</v>
      </c>
      <c r="O1743" s="132">
        <f t="shared" si="133"/>
        <v>14232.78927792037</v>
      </c>
      <c r="P1743" s="134">
        <f t="shared" si="134"/>
        <v>11097.090990541263</v>
      </c>
      <c r="Q1743" s="261">
        <v>1</v>
      </c>
      <c r="R1743" s="94"/>
    </row>
    <row r="1744" spans="1:18" x14ac:dyDescent="0.25">
      <c r="A1744" s="367">
        <v>40128</v>
      </c>
      <c r="B1744" s="367" t="s">
        <v>279</v>
      </c>
      <c r="C1744" s="279" t="s">
        <v>290</v>
      </c>
      <c r="D1744" s="159" t="s">
        <v>1170</v>
      </c>
      <c r="E1744" s="45">
        <f t="shared" si="135"/>
        <v>40128</v>
      </c>
      <c r="F1744" s="148" t="str">
        <f t="shared" si="132"/>
        <v>2009-10</v>
      </c>
      <c r="G1744" s="1"/>
      <c r="H1744" s="163"/>
      <c r="I1744" s="37"/>
      <c r="J1744" s="138">
        <f t="shared" si="136"/>
        <v>0.77968490742404351</v>
      </c>
      <c r="K1744" s="114"/>
      <c r="L1744" s="37">
        <v>4.1772967335300004</v>
      </c>
      <c r="M1744" s="37" t="s">
        <v>142</v>
      </c>
      <c r="N1744" s="37">
        <v>2042.4636684878049</v>
      </c>
      <c r="O1744" s="132">
        <f t="shared" si="133"/>
        <v>8531.9768107278087</v>
      </c>
      <c r="P1744" s="134">
        <f t="shared" si="134"/>
        <v>6652.253549816397</v>
      </c>
      <c r="Q1744" s="261">
        <v>1</v>
      </c>
      <c r="R1744" s="94"/>
    </row>
    <row r="1745" spans="1:18" x14ac:dyDescent="0.25">
      <c r="A1745" s="367">
        <v>39821</v>
      </c>
      <c r="B1745" s="367" t="s">
        <v>279</v>
      </c>
      <c r="C1745" s="279" t="s">
        <v>299</v>
      </c>
      <c r="D1745" s="159" t="s">
        <v>1170</v>
      </c>
      <c r="E1745" s="45">
        <f t="shared" si="135"/>
        <v>39821</v>
      </c>
      <c r="F1745" s="148" t="str">
        <f t="shared" si="132"/>
        <v>2008-09</v>
      </c>
      <c r="G1745" s="1"/>
      <c r="H1745" s="163"/>
      <c r="I1745" s="37"/>
      <c r="J1745" s="138">
        <f t="shared" si="136"/>
        <v>0.77968490742404351</v>
      </c>
      <c r="K1745" s="114"/>
      <c r="L1745" s="37">
        <v>3.8238349620299998</v>
      </c>
      <c r="M1745" s="37" t="s">
        <v>142</v>
      </c>
      <c r="N1745" s="37">
        <v>2042.4636684878049</v>
      </c>
      <c r="O1745" s="132">
        <f t="shared" si="133"/>
        <v>7810.0439842397191</v>
      </c>
      <c r="P1745" s="134">
        <f t="shared" si="134"/>
        <v>6089.3734208296537</v>
      </c>
      <c r="Q1745" s="261">
        <v>1</v>
      </c>
      <c r="R1745" s="94"/>
    </row>
    <row r="1746" spans="1:18" x14ac:dyDescent="0.25">
      <c r="A1746" s="367">
        <v>40876</v>
      </c>
      <c r="B1746" s="367" t="s">
        <v>279</v>
      </c>
      <c r="C1746" s="279" t="s">
        <v>686</v>
      </c>
      <c r="D1746" s="159" t="s">
        <v>1168</v>
      </c>
      <c r="E1746" s="45">
        <f t="shared" si="135"/>
        <v>40876</v>
      </c>
      <c r="F1746" s="148" t="str">
        <f t="shared" ref="F1746:F1809" si="137">IF(E1746="","-",IF(OR(E1746&lt;$E$15,E1746&gt;$E$16),"ERROR - date outside of range",IF(MONTH(E1746)&gt;=7,YEAR(E1746)&amp;"-"&amp;IF(YEAR(E1746)=1999,"00",IF(AND(YEAR(E1746)&gt;=2000,YEAR(E1746)&lt;2009),"0","")&amp;RIGHT(YEAR(E1746),2)+1),RIGHT(YEAR(E1746),4)-1&amp;"-"&amp;RIGHT(YEAR(E1746),2))))</f>
        <v>2011-12</v>
      </c>
      <c r="G1746" s="1"/>
      <c r="H1746" s="163"/>
      <c r="I1746" s="37"/>
      <c r="J1746" s="138">
        <f t="shared" si="136"/>
        <v>0.77968490742404351</v>
      </c>
      <c r="K1746" s="114"/>
      <c r="L1746" s="37">
        <v>10.1695355003</v>
      </c>
      <c r="M1746" s="37" t="s">
        <v>142</v>
      </c>
      <c r="N1746" s="37">
        <v>2042.4636684878049</v>
      </c>
      <c r="O1746" s="132">
        <f t="shared" ref="O1746:O1809" si="138">IF(N1746="","-",L1746*N1746)</f>
        <v>20770.906784759703</v>
      </c>
      <c r="P1746" s="134">
        <f t="shared" ref="P1746:P1809" si="139">IF(O1746="-","-",IF(OR(E1746&lt;$E$15,E1746&gt;$E$16),0,O1746*J1746))*Q1746</f>
        <v>16194.762533588806</v>
      </c>
      <c r="Q1746" s="261">
        <v>1</v>
      </c>
      <c r="R1746" s="94"/>
    </row>
    <row r="1747" spans="1:18" x14ac:dyDescent="0.25">
      <c r="A1747" s="367">
        <v>40876</v>
      </c>
      <c r="B1747" s="367" t="s">
        <v>279</v>
      </c>
      <c r="C1747" s="279" t="s">
        <v>686</v>
      </c>
      <c r="D1747" s="159" t="s">
        <v>1167</v>
      </c>
      <c r="E1747" s="45">
        <f t="shared" si="135"/>
        <v>40876</v>
      </c>
      <c r="F1747" s="148" t="str">
        <f t="shared" si="137"/>
        <v>2011-12</v>
      </c>
      <c r="G1747" s="1"/>
      <c r="H1747" s="163"/>
      <c r="I1747" s="37"/>
      <c r="J1747" s="138">
        <f t="shared" si="136"/>
        <v>0.77968490742404351</v>
      </c>
      <c r="K1747" s="114"/>
      <c r="L1747" s="37">
        <v>137.32879567399999</v>
      </c>
      <c r="M1747" s="37" t="s">
        <v>142</v>
      </c>
      <c r="N1747" s="37">
        <v>2042.4636684878049</v>
      </c>
      <c r="O1747" s="132">
        <f t="shared" si="138"/>
        <v>280489.07580133021</v>
      </c>
      <c r="P1747" s="134">
        <f t="shared" si="139"/>
        <v>218693.09909961568</v>
      </c>
      <c r="Q1747" s="261">
        <v>1</v>
      </c>
      <c r="R1747" s="94"/>
    </row>
    <row r="1748" spans="1:18" x14ac:dyDescent="0.25">
      <c r="A1748" s="367">
        <v>40876</v>
      </c>
      <c r="B1748" s="367" t="s">
        <v>279</v>
      </c>
      <c r="C1748" s="279" t="s">
        <v>686</v>
      </c>
      <c r="D1748" s="159" t="s">
        <v>1167</v>
      </c>
      <c r="E1748" s="45">
        <f t="shared" si="135"/>
        <v>40876</v>
      </c>
      <c r="F1748" s="148" t="str">
        <f t="shared" si="137"/>
        <v>2011-12</v>
      </c>
      <c r="G1748" s="1"/>
      <c r="H1748" s="163"/>
      <c r="I1748" s="37"/>
      <c r="J1748" s="138">
        <f t="shared" si="136"/>
        <v>0.77968490742404351</v>
      </c>
      <c r="K1748" s="114"/>
      <c r="L1748" s="37">
        <v>7.0023305163899998</v>
      </c>
      <c r="M1748" s="37" t="s">
        <v>142</v>
      </c>
      <c r="N1748" s="37">
        <v>2042.4636684878049</v>
      </c>
      <c r="O1748" s="132">
        <f t="shared" si="138"/>
        <v>14302.005674470023</v>
      </c>
      <c r="P1748" s="134">
        <f t="shared" si="139"/>
        <v>11151.057970277305</v>
      </c>
      <c r="Q1748" s="261">
        <v>1</v>
      </c>
      <c r="R1748" s="94"/>
    </row>
    <row r="1749" spans="1:18" x14ac:dyDescent="0.25">
      <c r="A1749" s="367">
        <v>41166</v>
      </c>
      <c r="B1749" s="367" t="s">
        <v>279</v>
      </c>
      <c r="C1749" s="279" t="s">
        <v>695</v>
      </c>
      <c r="D1749" s="159" t="s">
        <v>1168</v>
      </c>
      <c r="E1749" s="45">
        <f t="shared" si="135"/>
        <v>41166</v>
      </c>
      <c r="F1749" s="148" t="str">
        <f t="shared" si="137"/>
        <v>2012-13</v>
      </c>
      <c r="G1749" s="1"/>
      <c r="H1749" s="163"/>
      <c r="I1749" s="37"/>
      <c r="J1749" s="138">
        <f t="shared" si="136"/>
        <v>0.77968490742404351</v>
      </c>
      <c r="K1749" s="114"/>
      <c r="L1749" s="37">
        <v>146.251683982</v>
      </c>
      <c r="M1749" s="37" t="s">
        <v>142</v>
      </c>
      <c r="N1749" s="37">
        <v>1003.0093919999996</v>
      </c>
      <c r="O1749" s="132">
        <f t="shared" si="138"/>
        <v>146691.8126297619</v>
      </c>
      <c r="P1749" s="134">
        <f t="shared" si="139"/>
        <v>114373.39235010104</v>
      </c>
      <c r="Q1749" s="261">
        <v>1</v>
      </c>
      <c r="R1749" s="94"/>
    </row>
    <row r="1750" spans="1:18" x14ac:dyDescent="0.25">
      <c r="A1750" s="367">
        <v>41166</v>
      </c>
      <c r="B1750" s="367" t="s">
        <v>279</v>
      </c>
      <c r="C1750" s="279" t="s">
        <v>695</v>
      </c>
      <c r="D1750" s="159" t="s">
        <v>1168</v>
      </c>
      <c r="E1750" s="45">
        <f t="shared" si="135"/>
        <v>41166</v>
      </c>
      <c r="F1750" s="148" t="str">
        <f t="shared" si="137"/>
        <v>2012-13</v>
      </c>
      <c r="G1750" s="1"/>
      <c r="H1750" s="163"/>
      <c r="I1750" s="37"/>
      <c r="J1750" s="138">
        <f t="shared" si="136"/>
        <v>0.77968490742404351</v>
      </c>
      <c r="K1750" s="114"/>
      <c r="L1750" s="37">
        <v>127.160578579</v>
      </c>
      <c r="M1750" s="37" t="s">
        <v>142</v>
      </c>
      <c r="N1750" s="37">
        <v>771.6404230243902</v>
      </c>
      <c r="O1750" s="132">
        <f t="shared" si="138"/>
        <v>98122.242646725776</v>
      </c>
      <c r="P1750" s="134">
        <f t="shared" si="139"/>
        <v>76504.431674251915</v>
      </c>
      <c r="Q1750" s="261">
        <v>1</v>
      </c>
      <c r="R1750" s="94"/>
    </row>
    <row r="1751" spans="1:18" x14ac:dyDescent="0.25">
      <c r="A1751" s="367">
        <v>41166</v>
      </c>
      <c r="B1751" s="367" t="s">
        <v>279</v>
      </c>
      <c r="C1751" s="279" t="s">
        <v>695</v>
      </c>
      <c r="D1751" s="159" t="s">
        <v>1168</v>
      </c>
      <c r="E1751" s="45">
        <f t="shared" ref="E1751:E1814" si="140">IF(A1751&lt;2022,DATEVALUE("30 Jun "&amp;A1751),A1751)</f>
        <v>41166</v>
      </c>
      <c r="F1751" s="148" t="str">
        <f t="shared" si="137"/>
        <v>2012-13</v>
      </c>
      <c r="G1751" s="1"/>
      <c r="H1751" s="163"/>
      <c r="I1751" s="37"/>
      <c r="J1751" s="138">
        <f t="shared" si="136"/>
        <v>0.77968490742404351</v>
      </c>
      <c r="K1751" s="114"/>
      <c r="L1751" s="37">
        <v>1.5846643177699999</v>
      </c>
      <c r="M1751" s="37" t="s">
        <v>142</v>
      </c>
      <c r="N1751" s="37">
        <v>771.6404230243902</v>
      </c>
      <c r="O1751" s="132">
        <f t="shared" si="138"/>
        <v>1222.7910445156995</v>
      </c>
      <c r="P1751" s="134">
        <f t="shared" si="139"/>
        <v>953.39172234217256</v>
      </c>
      <c r="Q1751" s="261">
        <v>1</v>
      </c>
      <c r="R1751" s="94"/>
    </row>
    <row r="1752" spans="1:18" x14ac:dyDescent="0.25">
      <c r="A1752" s="367">
        <v>41166</v>
      </c>
      <c r="B1752" s="367" t="s">
        <v>279</v>
      </c>
      <c r="C1752" s="279" t="s">
        <v>695</v>
      </c>
      <c r="D1752" s="159" t="s">
        <v>1168</v>
      </c>
      <c r="E1752" s="45">
        <f t="shared" si="140"/>
        <v>41166</v>
      </c>
      <c r="F1752" s="148" t="str">
        <f t="shared" si="137"/>
        <v>2012-13</v>
      </c>
      <c r="G1752" s="1"/>
      <c r="H1752" s="163"/>
      <c r="I1752" s="37"/>
      <c r="J1752" s="138">
        <f t="shared" ref="J1752:J1815" si="141">J1751</f>
        <v>0.77968490742404351</v>
      </c>
      <c r="K1752" s="114"/>
      <c r="L1752" s="37">
        <v>1.5003286306700001</v>
      </c>
      <c r="M1752" s="37" t="s">
        <v>142</v>
      </c>
      <c r="N1752" s="37">
        <v>1003.0093919999996</v>
      </c>
      <c r="O1752" s="132">
        <f t="shared" si="138"/>
        <v>1504.8437076485088</v>
      </c>
      <c r="P1752" s="134">
        <f t="shared" si="139"/>
        <v>1173.3039268855821</v>
      </c>
      <c r="Q1752" s="261">
        <v>1</v>
      </c>
      <c r="R1752" s="94"/>
    </row>
    <row r="1753" spans="1:18" x14ac:dyDescent="0.25">
      <c r="A1753" s="367">
        <v>41166</v>
      </c>
      <c r="B1753" s="367" t="s">
        <v>279</v>
      </c>
      <c r="C1753" s="279" t="s">
        <v>695</v>
      </c>
      <c r="D1753" s="159" t="s">
        <v>1168</v>
      </c>
      <c r="E1753" s="45">
        <f t="shared" si="140"/>
        <v>41166</v>
      </c>
      <c r="F1753" s="148" t="str">
        <f t="shared" si="137"/>
        <v>2012-13</v>
      </c>
      <c r="G1753" s="1"/>
      <c r="H1753" s="163"/>
      <c r="I1753" s="37"/>
      <c r="J1753" s="138">
        <f t="shared" si="141"/>
        <v>0.77968490742404351</v>
      </c>
      <c r="K1753" s="114"/>
      <c r="L1753" s="37">
        <v>19.980869805499999</v>
      </c>
      <c r="M1753" s="37" t="s">
        <v>142</v>
      </c>
      <c r="N1753" s="37">
        <v>1003.0093919999996</v>
      </c>
      <c r="O1753" s="132">
        <f t="shared" si="138"/>
        <v>20041.000075245705</v>
      </c>
      <c r="P1753" s="134">
        <f t="shared" si="139"/>
        <v>15625.665288353197</v>
      </c>
      <c r="Q1753" s="261">
        <v>1</v>
      </c>
      <c r="R1753" s="94"/>
    </row>
    <row r="1754" spans="1:18" x14ac:dyDescent="0.25">
      <c r="A1754" s="367">
        <v>41166</v>
      </c>
      <c r="B1754" s="367" t="s">
        <v>279</v>
      </c>
      <c r="C1754" s="279" t="s">
        <v>695</v>
      </c>
      <c r="D1754" s="159" t="s">
        <v>1168</v>
      </c>
      <c r="E1754" s="45">
        <f t="shared" si="140"/>
        <v>41166</v>
      </c>
      <c r="F1754" s="148" t="str">
        <f t="shared" si="137"/>
        <v>2012-13</v>
      </c>
      <c r="G1754" s="1"/>
      <c r="H1754" s="163"/>
      <c r="I1754" s="37"/>
      <c r="J1754" s="138">
        <f t="shared" si="141"/>
        <v>0.77968490742404351</v>
      </c>
      <c r="K1754" s="114"/>
      <c r="L1754" s="37">
        <v>93.637556817800004</v>
      </c>
      <c r="M1754" s="37" t="s">
        <v>142</v>
      </c>
      <c r="N1754" s="37">
        <v>696.6467060487804</v>
      </c>
      <c r="O1754" s="132">
        <f t="shared" si="138"/>
        <v>65232.295519575891</v>
      </c>
      <c r="P1754" s="134">
        <f t="shared" si="139"/>
        <v>50860.636293238378</v>
      </c>
      <c r="Q1754" s="261">
        <v>1</v>
      </c>
      <c r="R1754" s="94"/>
    </row>
    <row r="1755" spans="1:18" x14ac:dyDescent="0.25">
      <c r="A1755" s="367">
        <v>41166</v>
      </c>
      <c r="B1755" s="367" t="s">
        <v>279</v>
      </c>
      <c r="C1755" s="279" t="s">
        <v>695</v>
      </c>
      <c r="D1755" s="159" t="s">
        <v>1168</v>
      </c>
      <c r="E1755" s="45">
        <f t="shared" si="140"/>
        <v>41166</v>
      </c>
      <c r="F1755" s="148" t="str">
        <f t="shared" si="137"/>
        <v>2012-13</v>
      </c>
      <c r="G1755" s="1"/>
      <c r="H1755" s="163"/>
      <c r="I1755" s="37"/>
      <c r="J1755" s="138">
        <f t="shared" si="141"/>
        <v>0.77968490742404351</v>
      </c>
      <c r="K1755" s="114"/>
      <c r="L1755" s="37">
        <v>6.4988586000300002</v>
      </c>
      <c r="M1755" s="37" t="s">
        <v>142</v>
      </c>
      <c r="N1755" s="37">
        <v>696.6467060487804</v>
      </c>
      <c r="O1755" s="132">
        <f t="shared" si="138"/>
        <v>4527.4084367876876</v>
      </c>
      <c r="P1755" s="134">
        <f t="shared" si="139"/>
        <v>3529.9520279076419</v>
      </c>
      <c r="Q1755" s="261">
        <v>1</v>
      </c>
      <c r="R1755" s="94"/>
    </row>
    <row r="1756" spans="1:18" x14ac:dyDescent="0.25">
      <c r="A1756" s="367">
        <v>41166</v>
      </c>
      <c r="B1756" s="367" t="s">
        <v>279</v>
      </c>
      <c r="C1756" s="279" t="s">
        <v>695</v>
      </c>
      <c r="D1756" s="159" t="s">
        <v>1168</v>
      </c>
      <c r="E1756" s="45">
        <f t="shared" si="140"/>
        <v>41166</v>
      </c>
      <c r="F1756" s="148" t="str">
        <f t="shared" si="137"/>
        <v>2012-13</v>
      </c>
      <c r="G1756" s="1"/>
      <c r="H1756" s="163"/>
      <c r="I1756" s="37"/>
      <c r="J1756" s="138">
        <f t="shared" si="141"/>
        <v>0.77968490742404351</v>
      </c>
      <c r="K1756" s="114"/>
      <c r="L1756" s="37">
        <v>50.761528935800001</v>
      </c>
      <c r="M1756" s="37" t="s">
        <v>142</v>
      </c>
      <c r="N1756" s="37">
        <v>1003.0093919999996</v>
      </c>
      <c r="O1756" s="132">
        <f t="shared" si="138"/>
        <v>50914.290274887142</v>
      </c>
      <c r="P1756" s="134">
        <f t="shared" si="139"/>
        <v>39697.103699536259</v>
      </c>
      <c r="Q1756" s="261">
        <v>1</v>
      </c>
      <c r="R1756" s="94"/>
    </row>
    <row r="1757" spans="1:18" x14ac:dyDescent="0.25">
      <c r="A1757" s="367">
        <v>41166</v>
      </c>
      <c r="B1757" s="367" t="s">
        <v>279</v>
      </c>
      <c r="C1757" s="279" t="s">
        <v>695</v>
      </c>
      <c r="D1757" s="159" t="s">
        <v>1168</v>
      </c>
      <c r="E1757" s="45">
        <f t="shared" si="140"/>
        <v>41166</v>
      </c>
      <c r="F1757" s="148" t="str">
        <f t="shared" si="137"/>
        <v>2012-13</v>
      </c>
      <c r="G1757" s="1"/>
      <c r="H1757" s="163"/>
      <c r="I1757" s="37"/>
      <c r="J1757" s="138">
        <f t="shared" si="141"/>
        <v>0.77968490742404351</v>
      </c>
      <c r="K1757" s="114"/>
      <c r="L1757" s="37">
        <v>67.480177851600004</v>
      </c>
      <c r="M1757" s="37" t="s">
        <v>142</v>
      </c>
      <c r="N1757" s="37">
        <v>1003.0093919999996</v>
      </c>
      <c r="O1757" s="132">
        <f t="shared" si="138"/>
        <v>67683.252158985153</v>
      </c>
      <c r="P1757" s="134">
        <f t="shared" si="139"/>
        <v>52771.610193736531</v>
      </c>
      <c r="Q1757" s="261">
        <v>1</v>
      </c>
      <c r="R1757" s="94"/>
    </row>
    <row r="1758" spans="1:18" x14ac:dyDescent="0.25">
      <c r="A1758" s="367">
        <v>42643</v>
      </c>
      <c r="B1758" s="367" t="s">
        <v>279</v>
      </c>
      <c r="C1758" s="279" t="s">
        <v>696</v>
      </c>
      <c r="D1758" s="159" t="s">
        <v>1171</v>
      </c>
      <c r="E1758" s="45">
        <f t="shared" si="140"/>
        <v>42643</v>
      </c>
      <c r="F1758" s="148" t="str">
        <f t="shared" si="137"/>
        <v>2016-17</v>
      </c>
      <c r="G1758" s="1"/>
      <c r="H1758" s="163"/>
      <c r="I1758" s="37"/>
      <c r="J1758" s="138">
        <f t="shared" si="141"/>
        <v>0.77968490742404351</v>
      </c>
      <c r="K1758" s="114"/>
      <c r="L1758" s="37">
        <v>6.3829793200399996</v>
      </c>
      <c r="M1758" s="37" t="s">
        <v>142</v>
      </c>
      <c r="N1758" s="37">
        <v>771.64195121951207</v>
      </c>
      <c r="O1758" s="132">
        <f t="shared" si="138"/>
        <v>4925.3746171094599</v>
      </c>
      <c r="P1758" s="134">
        <f t="shared" si="139"/>
        <v>3840.2402523697228</v>
      </c>
      <c r="Q1758" s="261">
        <v>1</v>
      </c>
      <c r="R1758" s="94"/>
    </row>
    <row r="1759" spans="1:18" x14ac:dyDescent="0.25">
      <c r="A1759" s="367">
        <v>42643</v>
      </c>
      <c r="B1759" s="367" t="s">
        <v>279</v>
      </c>
      <c r="C1759" s="279" t="s">
        <v>696</v>
      </c>
      <c r="D1759" s="159" t="s">
        <v>1171</v>
      </c>
      <c r="E1759" s="45">
        <f t="shared" si="140"/>
        <v>42643</v>
      </c>
      <c r="F1759" s="148" t="str">
        <f t="shared" si="137"/>
        <v>2016-17</v>
      </c>
      <c r="G1759" s="1"/>
      <c r="H1759" s="163"/>
      <c r="I1759" s="37"/>
      <c r="J1759" s="138">
        <f t="shared" si="141"/>
        <v>0.77968490742404351</v>
      </c>
      <c r="K1759" s="114"/>
      <c r="L1759" s="37">
        <v>2.0958014037899999</v>
      </c>
      <c r="M1759" s="37" t="s">
        <v>142</v>
      </c>
      <c r="N1759" s="37">
        <v>696.6467060487804</v>
      </c>
      <c r="O1759" s="132">
        <f t="shared" si="138"/>
        <v>1460.0331444827134</v>
      </c>
      <c r="P1759" s="134">
        <f t="shared" si="139"/>
        <v>1138.3658070920396</v>
      </c>
      <c r="Q1759" s="261">
        <v>1</v>
      </c>
      <c r="R1759" s="94"/>
    </row>
    <row r="1760" spans="1:18" x14ac:dyDescent="0.25">
      <c r="A1760" s="367">
        <v>39782</v>
      </c>
      <c r="B1760" s="367" t="s">
        <v>279</v>
      </c>
      <c r="C1760" s="279" t="s">
        <v>697</v>
      </c>
      <c r="D1760" s="159" t="s">
        <v>1169</v>
      </c>
      <c r="E1760" s="45">
        <f t="shared" si="140"/>
        <v>39782</v>
      </c>
      <c r="F1760" s="148" t="str">
        <f t="shared" si="137"/>
        <v>2008-09</v>
      </c>
      <c r="G1760" s="1"/>
      <c r="H1760" s="163"/>
      <c r="I1760" s="37"/>
      <c r="J1760" s="138">
        <f t="shared" si="141"/>
        <v>0.77968490742404351</v>
      </c>
      <c r="K1760" s="114"/>
      <c r="L1760" s="37">
        <v>2.99508016966</v>
      </c>
      <c r="M1760" s="37" t="s">
        <v>142</v>
      </c>
      <c r="N1760" s="37">
        <v>696.6467060487804</v>
      </c>
      <c r="O1760" s="132">
        <f t="shared" si="138"/>
        <v>2086.5127345456613</v>
      </c>
      <c r="P1760" s="134">
        <f t="shared" si="139"/>
        <v>1626.8224882733218</v>
      </c>
      <c r="Q1760" s="261">
        <v>1</v>
      </c>
      <c r="R1760" s="94"/>
    </row>
    <row r="1761" spans="1:18" x14ac:dyDescent="0.25">
      <c r="A1761" s="367">
        <v>41187</v>
      </c>
      <c r="B1761" s="367" t="s">
        <v>279</v>
      </c>
      <c r="C1761" s="279"/>
      <c r="D1761" s="159" t="s">
        <v>1172</v>
      </c>
      <c r="E1761" s="45">
        <f t="shared" si="140"/>
        <v>41187</v>
      </c>
      <c r="F1761" s="148" t="str">
        <f t="shared" si="137"/>
        <v>2012-13</v>
      </c>
      <c r="G1761" s="1"/>
      <c r="H1761" s="163"/>
      <c r="I1761" s="37"/>
      <c r="J1761" s="138">
        <f t="shared" si="141"/>
        <v>0.77968490742404351</v>
      </c>
      <c r="K1761" s="114"/>
      <c r="L1761" s="37">
        <v>9.0111686256599999</v>
      </c>
      <c r="M1761" s="37" t="s">
        <v>142</v>
      </c>
      <c r="N1761" s="37">
        <v>696.6467060487804</v>
      </c>
      <c r="O1761" s="132">
        <f t="shared" si="138"/>
        <v>6277.6009407161546</v>
      </c>
      <c r="P1761" s="134">
        <f t="shared" si="139"/>
        <v>4894.5507083073635</v>
      </c>
      <c r="Q1761" s="261">
        <v>1</v>
      </c>
      <c r="R1761" s="94"/>
    </row>
    <row r="1762" spans="1:18" x14ac:dyDescent="0.25">
      <c r="A1762" s="367">
        <v>41781</v>
      </c>
      <c r="B1762" s="367" t="s">
        <v>279</v>
      </c>
      <c r="C1762" s="279" t="s">
        <v>682</v>
      </c>
      <c r="D1762" s="159" t="s">
        <v>1173</v>
      </c>
      <c r="E1762" s="45">
        <f t="shared" si="140"/>
        <v>41781</v>
      </c>
      <c r="F1762" s="148" t="str">
        <f t="shared" si="137"/>
        <v>2013-14</v>
      </c>
      <c r="G1762" s="1"/>
      <c r="H1762" s="163"/>
      <c r="I1762" s="37"/>
      <c r="J1762" s="138">
        <f t="shared" si="141"/>
        <v>0.77968490742404351</v>
      </c>
      <c r="K1762" s="114"/>
      <c r="L1762" s="37">
        <v>45.128318435399997</v>
      </c>
      <c r="M1762" s="37" t="s">
        <v>142</v>
      </c>
      <c r="N1762" s="37">
        <v>1422.8419512195119</v>
      </c>
      <c r="O1762" s="132">
        <f t="shared" si="138"/>
        <v>64210.464657880002</v>
      </c>
      <c r="P1762" s="134">
        <f t="shared" si="139"/>
        <v>50063.930192433989</v>
      </c>
      <c r="Q1762" s="261">
        <v>1</v>
      </c>
      <c r="R1762" s="94"/>
    </row>
    <row r="1763" spans="1:18" x14ac:dyDescent="0.25">
      <c r="A1763" s="367">
        <v>41781</v>
      </c>
      <c r="B1763" s="367" t="s">
        <v>279</v>
      </c>
      <c r="C1763" s="279" t="s">
        <v>682</v>
      </c>
      <c r="D1763" s="159" t="s">
        <v>1089</v>
      </c>
      <c r="E1763" s="45">
        <f t="shared" si="140"/>
        <v>41781</v>
      </c>
      <c r="F1763" s="148" t="str">
        <f t="shared" si="137"/>
        <v>2013-14</v>
      </c>
      <c r="G1763" s="1"/>
      <c r="H1763" s="163"/>
      <c r="I1763" s="37"/>
      <c r="J1763" s="138">
        <f t="shared" si="141"/>
        <v>0.77968490742404351</v>
      </c>
      <c r="K1763" s="114"/>
      <c r="L1763" s="37">
        <v>32.254683534599998</v>
      </c>
      <c r="M1763" s="37" t="s">
        <v>142</v>
      </c>
      <c r="N1763" s="37">
        <v>1512.3336585365851</v>
      </c>
      <c r="O1763" s="132">
        <f t="shared" si="138"/>
        <v>48779.843554821367</v>
      </c>
      <c r="P1763" s="134">
        <f t="shared" si="139"/>
        <v>38032.907806200223</v>
      </c>
      <c r="Q1763" s="261">
        <v>1</v>
      </c>
      <c r="R1763" s="94"/>
    </row>
    <row r="1764" spans="1:18" x14ac:dyDescent="0.25">
      <c r="A1764" s="367">
        <v>41781</v>
      </c>
      <c r="B1764" s="367" t="s">
        <v>279</v>
      </c>
      <c r="C1764" s="279" t="s">
        <v>682</v>
      </c>
      <c r="D1764" s="159" t="s">
        <v>1173</v>
      </c>
      <c r="E1764" s="45">
        <f t="shared" si="140"/>
        <v>41781</v>
      </c>
      <c r="F1764" s="148" t="str">
        <f t="shared" si="137"/>
        <v>2013-14</v>
      </c>
      <c r="G1764" s="1"/>
      <c r="H1764" s="163"/>
      <c r="I1764" s="37"/>
      <c r="J1764" s="138">
        <f t="shared" si="141"/>
        <v>0.77968490742404351</v>
      </c>
      <c r="K1764" s="114"/>
      <c r="L1764" s="37">
        <v>6.9859972086999997</v>
      </c>
      <c r="M1764" s="37" t="s">
        <v>142</v>
      </c>
      <c r="N1764" s="37">
        <v>1422.8419512195119</v>
      </c>
      <c r="O1764" s="132">
        <f t="shared" si="138"/>
        <v>9939.9698996407715</v>
      </c>
      <c r="P1764" s="134">
        <f t="shared" si="139"/>
        <v>7750.0445109991942</v>
      </c>
      <c r="Q1764" s="261">
        <v>1</v>
      </c>
      <c r="R1764" s="94"/>
    </row>
    <row r="1765" spans="1:18" x14ac:dyDescent="0.25">
      <c r="A1765" s="367">
        <v>41781</v>
      </c>
      <c r="B1765" s="367" t="s">
        <v>279</v>
      </c>
      <c r="C1765" s="279" t="s">
        <v>682</v>
      </c>
      <c r="D1765" s="159" t="s">
        <v>1173</v>
      </c>
      <c r="E1765" s="45">
        <f t="shared" si="140"/>
        <v>41781</v>
      </c>
      <c r="F1765" s="148" t="str">
        <f t="shared" si="137"/>
        <v>2013-14</v>
      </c>
      <c r="G1765" s="1"/>
      <c r="H1765" s="163"/>
      <c r="I1765" s="37"/>
      <c r="J1765" s="138">
        <f t="shared" si="141"/>
        <v>0.77968490742404351</v>
      </c>
      <c r="K1765" s="114"/>
      <c r="L1765" s="37">
        <v>66.015895569999998</v>
      </c>
      <c r="M1765" s="37" t="s">
        <v>142</v>
      </c>
      <c r="N1765" s="37">
        <v>1003.0093919999996</v>
      </c>
      <c r="O1765" s="132">
        <f t="shared" si="138"/>
        <v>66214.563278001166</v>
      </c>
      <c r="P1765" s="134">
        <f t="shared" si="139"/>
        <v>51626.495639531808</v>
      </c>
      <c r="Q1765" s="261">
        <v>1</v>
      </c>
      <c r="R1765" s="94"/>
    </row>
    <row r="1766" spans="1:18" x14ac:dyDescent="0.25">
      <c r="A1766" s="367">
        <v>41781</v>
      </c>
      <c r="B1766" s="367" t="s">
        <v>279</v>
      </c>
      <c r="C1766" s="279" t="s">
        <v>682</v>
      </c>
      <c r="D1766" s="159" t="s">
        <v>1173</v>
      </c>
      <c r="E1766" s="45">
        <f t="shared" si="140"/>
        <v>41781</v>
      </c>
      <c r="F1766" s="148" t="str">
        <f t="shared" si="137"/>
        <v>2013-14</v>
      </c>
      <c r="G1766" s="1"/>
      <c r="H1766" s="163"/>
      <c r="I1766" s="37"/>
      <c r="J1766" s="138">
        <f t="shared" si="141"/>
        <v>0.77968490742404351</v>
      </c>
      <c r="K1766" s="114"/>
      <c r="L1766" s="37">
        <v>82.612289626099994</v>
      </c>
      <c r="M1766" s="37" t="s">
        <v>142</v>
      </c>
      <c r="N1766" s="37">
        <v>1512.3336585365851</v>
      </c>
      <c r="O1766" s="132">
        <f t="shared" si="138"/>
        <v>124937.34621032378</v>
      </c>
      <c r="P1766" s="134">
        <f t="shared" si="139"/>
        <v>97411.763213801969</v>
      </c>
      <c r="Q1766" s="261">
        <v>1</v>
      </c>
      <c r="R1766" s="94"/>
    </row>
    <row r="1767" spans="1:18" x14ac:dyDescent="0.25">
      <c r="A1767" s="367">
        <v>41781</v>
      </c>
      <c r="B1767" s="367" t="s">
        <v>279</v>
      </c>
      <c r="C1767" s="279" t="s">
        <v>682</v>
      </c>
      <c r="D1767" s="159" t="s">
        <v>1173</v>
      </c>
      <c r="E1767" s="45">
        <f t="shared" si="140"/>
        <v>41781</v>
      </c>
      <c r="F1767" s="148" t="str">
        <f t="shared" si="137"/>
        <v>2013-14</v>
      </c>
      <c r="G1767" s="1"/>
      <c r="H1767" s="163"/>
      <c r="I1767" s="37"/>
      <c r="J1767" s="138">
        <f t="shared" si="141"/>
        <v>0.77968490742404351</v>
      </c>
      <c r="K1767" s="114"/>
      <c r="L1767" s="37">
        <v>47.469455653099999</v>
      </c>
      <c r="M1767" s="37" t="s">
        <v>142</v>
      </c>
      <c r="N1767" s="37">
        <v>1512.3336585365851</v>
      </c>
      <c r="O1767" s="132">
        <f t="shared" si="138"/>
        <v>71789.655536592894</v>
      </c>
      <c r="P1767" s="134">
        <f t="shared" si="139"/>
        <v>55973.310931052401</v>
      </c>
      <c r="Q1767" s="261">
        <v>1</v>
      </c>
      <c r="R1767" s="94"/>
    </row>
    <row r="1768" spans="1:18" x14ac:dyDescent="0.25">
      <c r="A1768" s="367">
        <v>41781</v>
      </c>
      <c r="B1768" s="367" t="s">
        <v>279</v>
      </c>
      <c r="C1768" s="279" t="s">
        <v>682</v>
      </c>
      <c r="D1768" s="159" t="s">
        <v>1173</v>
      </c>
      <c r="E1768" s="45">
        <f t="shared" si="140"/>
        <v>41781</v>
      </c>
      <c r="F1768" s="148" t="str">
        <f t="shared" si="137"/>
        <v>2013-14</v>
      </c>
      <c r="G1768" s="1"/>
      <c r="H1768" s="163"/>
      <c r="I1768" s="37"/>
      <c r="J1768" s="138">
        <f t="shared" si="141"/>
        <v>0.77968490742404351</v>
      </c>
      <c r="K1768" s="114"/>
      <c r="L1768" s="37">
        <v>32.5363579853</v>
      </c>
      <c r="M1768" s="37" t="s">
        <v>142</v>
      </c>
      <c r="N1768" s="37">
        <v>2679.5507189268287</v>
      </c>
      <c r="O1768" s="132">
        <f t="shared" si="138"/>
        <v>87182.821430771277</v>
      </c>
      <c r="P1768" s="134">
        <f t="shared" si="139"/>
        <v>67975.130056217822</v>
      </c>
      <c r="Q1768" s="261">
        <v>1</v>
      </c>
      <c r="R1768" s="94"/>
    </row>
    <row r="1769" spans="1:18" x14ac:dyDescent="0.25">
      <c r="A1769" s="367">
        <v>41781</v>
      </c>
      <c r="B1769" s="367" t="s">
        <v>279</v>
      </c>
      <c r="C1769" s="279" t="s">
        <v>682</v>
      </c>
      <c r="D1769" s="159" t="s">
        <v>1173</v>
      </c>
      <c r="E1769" s="45">
        <f t="shared" si="140"/>
        <v>41781</v>
      </c>
      <c r="F1769" s="148" t="str">
        <f t="shared" si="137"/>
        <v>2013-14</v>
      </c>
      <c r="G1769" s="1"/>
      <c r="H1769" s="163"/>
      <c r="I1769" s="37"/>
      <c r="J1769" s="138">
        <f t="shared" si="141"/>
        <v>0.77968490742404351</v>
      </c>
      <c r="K1769" s="114"/>
      <c r="L1769" s="37">
        <v>28.966347822500001</v>
      </c>
      <c r="M1769" s="37" t="s">
        <v>142</v>
      </c>
      <c r="N1769" s="37">
        <v>1422.8466506341463</v>
      </c>
      <c r="O1769" s="132">
        <f t="shared" si="138"/>
        <v>41214.670980347822</v>
      </c>
      <c r="P1769" s="134">
        <f t="shared" si="139"/>
        <v>32134.456927824904</v>
      </c>
      <c r="Q1769" s="261">
        <v>1</v>
      </c>
      <c r="R1769" s="94"/>
    </row>
    <row r="1770" spans="1:18" x14ac:dyDescent="0.25">
      <c r="A1770" s="367">
        <v>41781</v>
      </c>
      <c r="B1770" s="367" t="s">
        <v>279</v>
      </c>
      <c r="C1770" s="279" t="s">
        <v>682</v>
      </c>
      <c r="D1770" s="159" t="s">
        <v>1173</v>
      </c>
      <c r="E1770" s="45">
        <f t="shared" si="140"/>
        <v>41781</v>
      </c>
      <c r="F1770" s="148" t="str">
        <f t="shared" si="137"/>
        <v>2013-14</v>
      </c>
      <c r="G1770" s="1"/>
      <c r="H1770" s="163"/>
      <c r="I1770" s="37"/>
      <c r="J1770" s="138">
        <f t="shared" si="141"/>
        <v>0.77968490742404351</v>
      </c>
      <c r="K1770" s="114"/>
      <c r="L1770" s="37">
        <v>5.9377124383000002</v>
      </c>
      <c r="M1770" s="37" t="s">
        <v>142</v>
      </c>
      <c r="N1770" s="37">
        <v>2683.0915094634142</v>
      </c>
      <c r="O1770" s="132">
        <f t="shared" si="138"/>
        <v>15931.425828838037</v>
      </c>
      <c r="P1770" s="134">
        <f t="shared" si="139"/>
        <v>12421.492272490601</v>
      </c>
      <c r="Q1770" s="261">
        <v>1</v>
      </c>
      <c r="R1770" s="94"/>
    </row>
    <row r="1771" spans="1:18" x14ac:dyDescent="0.25">
      <c r="A1771" s="367">
        <v>41781</v>
      </c>
      <c r="B1771" s="367" t="s">
        <v>279</v>
      </c>
      <c r="C1771" s="279" t="s">
        <v>682</v>
      </c>
      <c r="D1771" s="159" t="s">
        <v>1173</v>
      </c>
      <c r="E1771" s="45">
        <f t="shared" si="140"/>
        <v>41781</v>
      </c>
      <c r="F1771" s="148" t="str">
        <f t="shared" si="137"/>
        <v>2013-14</v>
      </c>
      <c r="G1771" s="1"/>
      <c r="H1771" s="163"/>
      <c r="I1771" s="37"/>
      <c r="J1771" s="138">
        <f t="shared" si="141"/>
        <v>0.77968490742404351</v>
      </c>
      <c r="K1771" s="114"/>
      <c r="L1771" s="37">
        <v>13.3336127653</v>
      </c>
      <c r="M1771" s="37" t="s">
        <v>142</v>
      </c>
      <c r="N1771" s="37">
        <v>1422.8419512195119</v>
      </c>
      <c r="O1771" s="132">
        <f t="shared" si="138"/>
        <v>18971.623603784843</v>
      </c>
      <c r="P1771" s="134">
        <f t="shared" si="139"/>
        <v>14791.888593200783</v>
      </c>
      <c r="Q1771" s="261">
        <v>1</v>
      </c>
      <c r="R1771" s="94"/>
    </row>
    <row r="1772" spans="1:18" x14ac:dyDescent="0.25">
      <c r="A1772" s="367">
        <v>41781</v>
      </c>
      <c r="B1772" s="367" t="s">
        <v>279</v>
      </c>
      <c r="C1772" s="279" t="s">
        <v>682</v>
      </c>
      <c r="D1772" s="159" t="s">
        <v>1173</v>
      </c>
      <c r="E1772" s="45">
        <f t="shared" si="140"/>
        <v>41781</v>
      </c>
      <c r="F1772" s="148" t="str">
        <f t="shared" si="137"/>
        <v>2013-14</v>
      </c>
      <c r="G1772" s="1"/>
      <c r="H1772" s="163"/>
      <c r="I1772" s="37"/>
      <c r="J1772" s="138">
        <f t="shared" si="141"/>
        <v>0.77968490742404351</v>
      </c>
      <c r="K1772" s="114"/>
      <c r="L1772" s="37">
        <v>1.7715782868200001</v>
      </c>
      <c r="M1772" s="37" t="s">
        <v>142</v>
      </c>
      <c r="N1772" s="37">
        <v>1422.8419512195119</v>
      </c>
      <c r="O1772" s="132">
        <f t="shared" si="138"/>
        <v>2520.6759063570889</v>
      </c>
      <c r="P1772" s="134">
        <f t="shared" si="139"/>
        <v>1965.3329606940438</v>
      </c>
      <c r="Q1772" s="261">
        <v>1</v>
      </c>
      <c r="R1772" s="94"/>
    </row>
    <row r="1773" spans="1:18" x14ac:dyDescent="0.25">
      <c r="A1773" s="367">
        <v>41781</v>
      </c>
      <c r="B1773" s="367" t="s">
        <v>279</v>
      </c>
      <c r="C1773" s="279" t="s">
        <v>682</v>
      </c>
      <c r="D1773" s="159" t="s">
        <v>1173</v>
      </c>
      <c r="E1773" s="45">
        <f t="shared" si="140"/>
        <v>41781</v>
      </c>
      <c r="F1773" s="148" t="str">
        <f t="shared" si="137"/>
        <v>2013-14</v>
      </c>
      <c r="G1773" s="1"/>
      <c r="H1773" s="163"/>
      <c r="I1773" s="37"/>
      <c r="J1773" s="138">
        <f t="shared" si="141"/>
        <v>0.77968490742404351</v>
      </c>
      <c r="K1773" s="114"/>
      <c r="L1773" s="37">
        <v>5.06278708364</v>
      </c>
      <c r="M1773" s="37" t="s">
        <v>142</v>
      </c>
      <c r="N1773" s="37">
        <v>2679.5507189268287</v>
      </c>
      <c r="O1773" s="132">
        <f t="shared" si="138"/>
        <v>13565.994769741024</v>
      </c>
      <c r="P1773" s="134">
        <f t="shared" si="139"/>
        <v>10577.201376160589</v>
      </c>
      <c r="Q1773" s="261">
        <v>1</v>
      </c>
      <c r="R1773" s="94"/>
    </row>
    <row r="1774" spans="1:18" x14ac:dyDescent="0.25">
      <c r="A1774" s="367">
        <v>41781</v>
      </c>
      <c r="B1774" s="367" t="s">
        <v>279</v>
      </c>
      <c r="C1774" s="279" t="s">
        <v>682</v>
      </c>
      <c r="D1774" s="159" t="s">
        <v>1173</v>
      </c>
      <c r="E1774" s="45">
        <f t="shared" si="140"/>
        <v>41781</v>
      </c>
      <c r="F1774" s="148" t="str">
        <f t="shared" si="137"/>
        <v>2013-14</v>
      </c>
      <c r="G1774" s="1"/>
      <c r="H1774" s="163"/>
      <c r="I1774" s="37"/>
      <c r="J1774" s="138">
        <f t="shared" si="141"/>
        <v>0.77968490742404351</v>
      </c>
      <c r="K1774" s="114"/>
      <c r="L1774" s="37">
        <v>2.0350295414700001</v>
      </c>
      <c r="M1774" s="37" t="s">
        <v>142</v>
      </c>
      <c r="N1774" s="37">
        <v>1422.8466506341463</v>
      </c>
      <c r="O1774" s="132">
        <f t="shared" si="138"/>
        <v>2895.5349670221322</v>
      </c>
      <c r="P1774" s="134">
        <f t="shared" si="139"/>
        <v>2257.6049127057317</v>
      </c>
      <c r="Q1774" s="261">
        <v>1</v>
      </c>
      <c r="R1774" s="94"/>
    </row>
    <row r="1775" spans="1:18" x14ac:dyDescent="0.25">
      <c r="A1775" s="367">
        <v>41781</v>
      </c>
      <c r="B1775" s="367" t="s">
        <v>279</v>
      </c>
      <c r="C1775" s="279" t="s">
        <v>682</v>
      </c>
      <c r="D1775" s="159" t="s">
        <v>1173</v>
      </c>
      <c r="E1775" s="45">
        <f t="shared" si="140"/>
        <v>41781</v>
      </c>
      <c r="F1775" s="148" t="str">
        <f t="shared" si="137"/>
        <v>2013-14</v>
      </c>
      <c r="G1775" s="1"/>
      <c r="H1775" s="163"/>
      <c r="I1775" s="37"/>
      <c r="J1775" s="138">
        <f t="shared" si="141"/>
        <v>0.77968490742404351</v>
      </c>
      <c r="K1775" s="114"/>
      <c r="L1775" s="37">
        <v>1.49994833244</v>
      </c>
      <c r="M1775" s="37" t="s">
        <v>142</v>
      </c>
      <c r="N1775" s="37">
        <v>1422.8419512195119</v>
      </c>
      <c r="O1775" s="132">
        <f t="shared" si="138"/>
        <v>2134.1894120573829</v>
      </c>
      <c r="P1775" s="134">
        <f t="shared" si="139"/>
        <v>1663.9952741653344</v>
      </c>
      <c r="Q1775" s="261">
        <v>1</v>
      </c>
      <c r="R1775" s="94"/>
    </row>
    <row r="1776" spans="1:18" x14ac:dyDescent="0.25">
      <c r="A1776" s="367">
        <v>41781</v>
      </c>
      <c r="B1776" s="367" t="s">
        <v>279</v>
      </c>
      <c r="C1776" s="279" t="s">
        <v>682</v>
      </c>
      <c r="D1776" s="159" t="s">
        <v>1173</v>
      </c>
      <c r="E1776" s="45">
        <f t="shared" si="140"/>
        <v>41781</v>
      </c>
      <c r="F1776" s="148" t="str">
        <f t="shared" si="137"/>
        <v>2013-14</v>
      </c>
      <c r="G1776" s="1"/>
      <c r="H1776" s="163"/>
      <c r="I1776" s="37"/>
      <c r="J1776" s="138">
        <f t="shared" si="141"/>
        <v>0.77968490742404351</v>
      </c>
      <c r="K1776" s="114"/>
      <c r="L1776" s="37">
        <v>1.7732642731799999</v>
      </c>
      <c r="M1776" s="37" t="s">
        <v>142</v>
      </c>
      <c r="N1776" s="37">
        <v>1512.3336585365851</v>
      </c>
      <c r="O1776" s="132">
        <f t="shared" si="138"/>
        <v>2681.7672458105276</v>
      </c>
      <c r="P1776" s="134">
        <f t="shared" si="139"/>
        <v>2090.9334467826134</v>
      </c>
      <c r="Q1776" s="261">
        <v>1</v>
      </c>
      <c r="R1776" s="94"/>
    </row>
    <row r="1777" spans="1:18" x14ac:dyDescent="0.25">
      <c r="A1777" s="367">
        <v>41781</v>
      </c>
      <c r="B1777" s="367" t="s">
        <v>279</v>
      </c>
      <c r="C1777" s="279" t="s">
        <v>682</v>
      </c>
      <c r="D1777" s="159" t="s">
        <v>1173</v>
      </c>
      <c r="E1777" s="45">
        <f t="shared" si="140"/>
        <v>41781</v>
      </c>
      <c r="F1777" s="148" t="str">
        <f t="shared" si="137"/>
        <v>2013-14</v>
      </c>
      <c r="G1777" s="1"/>
      <c r="H1777" s="163"/>
      <c r="I1777" s="37"/>
      <c r="J1777" s="138">
        <f t="shared" si="141"/>
        <v>0.77968490742404351</v>
      </c>
      <c r="K1777" s="114"/>
      <c r="L1777" s="37">
        <v>1.1798416677800001</v>
      </c>
      <c r="M1777" s="37" t="s">
        <v>142</v>
      </c>
      <c r="N1777" s="37">
        <v>1422.8419512195119</v>
      </c>
      <c r="O1777" s="132">
        <f t="shared" si="138"/>
        <v>1678.7282207141784</v>
      </c>
      <c r="P1777" s="134">
        <f t="shared" si="139"/>
        <v>1308.8790573576634</v>
      </c>
      <c r="Q1777" s="261">
        <v>1</v>
      </c>
      <c r="R1777" s="94"/>
    </row>
    <row r="1778" spans="1:18" x14ac:dyDescent="0.25">
      <c r="A1778" s="367">
        <v>41781</v>
      </c>
      <c r="B1778" s="367" t="s">
        <v>279</v>
      </c>
      <c r="C1778" s="279" t="s">
        <v>682</v>
      </c>
      <c r="D1778" s="159" t="s">
        <v>1173</v>
      </c>
      <c r="E1778" s="45">
        <f t="shared" si="140"/>
        <v>41781</v>
      </c>
      <c r="F1778" s="148" t="str">
        <f t="shared" si="137"/>
        <v>2013-14</v>
      </c>
      <c r="G1778" s="1"/>
      <c r="H1778" s="163"/>
      <c r="I1778" s="37"/>
      <c r="J1778" s="138">
        <f t="shared" si="141"/>
        <v>0.77968490742404351</v>
      </c>
      <c r="K1778" s="114"/>
      <c r="L1778" s="37">
        <v>1.68450037451</v>
      </c>
      <c r="M1778" s="37" t="s">
        <v>142</v>
      </c>
      <c r="N1778" s="37">
        <v>1422.8466506341463</v>
      </c>
      <c r="O1778" s="132">
        <f t="shared" si="138"/>
        <v>2396.7857158635184</v>
      </c>
      <c r="P1778" s="134">
        <f t="shared" si="139"/>
        <v>1868.7376489883172</v>
      </c>
      <c r="Q1778" s="261">
        <v>1</v>
      </c>
      <c r="R1778" s="94"/>
    </row>
    <row r="1779" spans="1:18" x14ac:dyDescent="0.25">
      <c r="A1779" s="367">
        <v>41781</v>
      </c>
      <c r="B1779" s="367" t="s">
        <v>279</v>
      </c>
      <c r="C1779" s="279" t="s">
        <v>682</v>
      </c>
      <c r="D1779" s="159" t="s">
        <v>1173</v>
      </c>
      <c r="E1779" s="45">
        <f t="shared" si="140"/>
        <v>41781</v>
      </c>
      <c r="F1779" s="148" t="str">
        <f t="shared" si="137"/>
        <v>2013-14</v>
      </c>
      <c r="G1779" s="1"/>
      <c r="H1779" s="163"/>
      <c r="I1779" s="37"/>
      <c r="J1779" s="138">
        <f t="shared" si="141"/>
        <v>0.77968490742404351</v>
      </c>
      <c r="K1779" s="114"/>
      <c r="L1779" s="37">
        <v>1.50010199653</v>
      </c>
      <c r="M1779" s="37" t="s">
        <v>142</v>
      </c>
      <c r="N1779" s="37">
        <v>2679.5507189268287</v>
      </c>
      <c r="O1779" s="132">
        <f t="shared" si="138"/>
        <v>4019.5993832655327</v>
      </c>
      <c r="P1779" s="134">
        <f t="shared" si="139"/>
        <v>3134.020973023129</v>
      </c>
      <c r="Q1779" s="261">
        <v>1</v>
      </c>
      <c r="R1779" s="94"/>
    </row>
    <row r="1780" spans="1:18" x14ac:dyDescent="0.25">
      <c r="A1780" s="367">
        <v>41781</v>
      </c>
      <c r="B1780" s="367" t="s">
        <v>279</v>
      </c>
      <c r="C1780" s="279" t="s">
        <v>682</v>
      </c>
      <c r="D1780" s="159" t="s">
        <v>1173</v>
      </c>
      <c r="E1780" s="45">
        <f t="shared" si="140"/>
        <v>41781</v>
      </c>
      <c r="F1780" s="148" t="str">
        <f t="shared" si="137"/>
        <v>2013-14</v>
      </c>
      <c r="G1780" s="1"/>
      <c r="H1780" s="163"/>
      <c r="I1780" s="37"/>
      <c r="J1780" s="138">
        <f t="shared" si="141"/>
        <v>0.77968490742404351</v>
      </c>
      <c r="K1780" s="114"/>
      <c r="L1780" s="37">
        <v>1.94277218911</v>
      </c>
      <c r="M1780" s="37" t="s">
        <v>142</v>
      </c>
      <c r="N1780" s="37">
        <v>1003.0093919999996</v>
      </c>
      <c r="O1780" s="132">
        <f t="shared" si="138"/>
        <v>1948.6187521937293</v>
      </c>
      <c r="P1780" s="134">
        <f t="shared" si="139"/>
        <v>1519.308631408923</v>
      </c>
      <c r="Q1780" s="261">
        <v>1</v>
      </c>
      <c r="R1780" s="94"/>
    </row>
    <row r="1781" spans="1:18" x14ac:dyDescent="0.25">
      <c r="A1781" s="367">
        <v>41781</v>
      </c>
      <c r="B1781" s="367" t="s">
        <v>279</v>
      </c>
      <c r="C1781" s="279" t="s">
        <v>682</v>
      </c>
      <c r="D1781" s="159" t="s">
        <v>1173</v>
      </c>
      <c r="E1781" s="45">
        <f t="shared" si="140"/>
        <v>41781</v>
      </c>
      <c r="F1781" s="148" t="str">
        <f t="shared" si="137"/>
        <v>2013-14</v>
      </c>
      <c r="G1781" s="1"/>
      <c r="H1781" s="163"/>
      <c r="I1781" s="37"/>
      <c r="J1781" s="138">
        <f t="shared" si="141"/>
        <v>0.77968490742404351</v>
      </c>
      <c r="K1781" s="114"/>
      <c r="L1781" s="37">
        <v>1.1390333621099999</v>
      </c>
      <c r="M1781" s="37" t="s">
        <v>142</v>
      </c>
      <c r="N1781" s="37">
        <v>1003.0093919999996</v>
      </c>
      <c r="O1781" s="132">
        <f t="shared" si="138"/>
        <v>1142.4611599976665</v>
      </c>
      <c r="P1781" s="134">
        <f t="shared" si="139"/>
        <v>890.75972376834602</v>
      </c>
      <c r="Q1781" s="261">
        <v>1</v>
      </c>
      <c r="R1781" s="94"/>
    </row>
    <row r="1782" spans="1:18" x14ac:dyDescent="0.25">
      <c r="A1782" s="367">
        <v>41781</v>
      </c>
      <c r="B1782" s="367" t="s">
        <v>279</v>
      </c>
      <c r="C1782" s="279" t="s">
        <v>682</v>
      </c>
      <c r="D1782" s="159" t="s">
        <v>1173</v>
      </c>
      <c r="E1782" s="45">
        <f t="shared" si="140"/>
        <v>41781</v>
      </c>
      <c r="F1782" s="148" t="str">
        <f t="shared" si="137"/>
        <v>2013-14</v>
      </c>
      <c r="G1782" s="1"/>
      <c r="H1782" s="163"/>
      <c r="I1782" s="37"/>
      <c r="J1782" s="138">
        <f t="shared" si="141"/>
        <v>0.77968490742404351</v>
      </c>
      <c r="K1782" s="114"/>
      <c r="L1782" s="37">
        <v>1.4386080077600001</v>
      </c>
      <c r="M1782" s="37" t="s">
        <v>142</v>
      </c>
      <c r="N1782" s="37">
        <v>1003.0093919999996</v>
      </c>
      <c r="O1782" s="132">
        <f t="shared" si="138"/>
        <v>1442.9373431896884</v>
      </c>
      <c r="P1782" s="134">
        <f t="shared" si="139"/>
        <v>1125.0364688435475</v>
      </c>
      <c r="Q1782" s="261">
        <v>1</v>
      </c>
      <c r="R1782" s="94"/>
    </row>
    <row r="1783" spans="1:18" x14ac:dyDescent="0.25">
      <c r="A1783" s="367">
        <v>41781</v>
      </c>
      <c r="B1783" s="367" t="s">
        <v>279</v>
      </c>
      <c r="C1783" s="279" t="s">
        <v>682</v>
      </c>
      <c r="D1783" s="159" t="s">
        <v>1173</v>
      </c>
      <c r="E1783" s="45">
        <f t="shared" si="140"/>
        <v>41781</v>
      </c>
      <c r="F1783" s="148" t="str">
        <f t="shared" si="137"/>
        <v>2013-14</v>
      </c>
      <c r="G1783" s="1"/>
      <c r="H1783" s="163"/>
      <c r="I1783" s="37"/>
      <c r="J1783" s="138">
        <f t="shared" si="141"/>
        <v>0.77968490742404351</v>
      </c>
      <c r="K1783" s="114"/>
      <c r="L1783" s="37">
        <v>1.71105113892</v>
      </c>
      <c r="M1783" s="37" t="s">
        <v>142</v>
      </c>
      <c r="N1783" s="37">
        <v>1003.0093919999996</v>
      </c>
      <c r="O1783" s="132">
        <f t="shared" si="138"/>
        <v>1716.2003625290561</v>
      </c>
      <c r="P1783" s="134">
        <f t="shared" si="139"/>
        <v>1338.0955207795769</v>
      </c>
      <c r="Q1783" s="261">
        <v>1</v>
      </c>
      <c r="R1783" s="94"/>
    </row>
    <row r="1784" spans="1:18" x14ac:dyDescent="0.25">
      <c r="A1784" s="367">
        <v>41781</v>
      </c>
      <c r="B1784" s="367" t="s">
        <v>279</v>
      </c>
      <c r="C1784" s="279" t="s">
        <v>682</v>
      </c>
      <c r="D1784" s="159" t="s">
        <v>1173</v>
      </c>
      <c r="E1784" s="45">
        <f t="shared" si="140"/>
        <v>41781</v>
      </c>
      <c r="F1784" s="148" t="str">
        <f t="shared" si="137"/>
        <v>2013-14</v>
      </c>
      <c r="G1784" s="1"/>
      <c r="H1784" s="163"/>
      <c r="I1784" s="37"/>
      <c r="J1784" s="138">
        <f t="shared" si="141"/>
        <v>0.77968490742404351</v>
      </c>
      <c r="K1784" s="114"/>
      <c r="L1784" s="37">
        <v>3.1038049229900002</v>
      </c>
      <c r="M1784" s="37" t="s">
        <v>142</v>
      </c>
      <c r="N1784" s="37">
        <v>1003.0093919999996</v>
      </c>
      <c r="O1784" s="132">
        <f t="shared" si="138"/>
        <v>3113.1454886948059</v>
      </c>
      <c r="P1784" s="134">
        <f t="shared" si="139"/>
        <v>2427.2725521505886</v>
      </c>
      <c r="Q1784" s="261">
        <v>1</v>
      </c>
      <c r="R1784" s="94"/>
    </row>
    <row r="1785" spans="1:18" x14ac:dyDescent="0.25">
      <c r="A1785" s="367">
        <v>41781</v>
      </c>
      <c r="B1785" s="367" t="s">
        <v>279</v>
      </c>
      <c r="C1785" s="279" t="s">
        <v>682</v>
      </c>
      <c r="D1785" s="159" t="s">
        <v>1173</v>
      </c>
      <c r="E1785" s="45">
        <f t="shared" si="140"/>
        <v>41781</v>
      </c>
      <c r="F1785" s="148" t="str">
        <f t="shared" si="137"/>
        <v>2013-14</v>
      </c>
      <c r="G1785" s="1"/>
      <c r="H1785" s="163"/>
      <c r="I1785" s="37"/>
      <c r="J1785" s="138">
        <f t="shared" si="141"/>
        <v>0.77968490742404351</v>
      </c>
      <c r="K1785" s="114"/>
      <c r="L1785" s="37">
        <v>3.7668828302700001</v>
      </c>
      <c r="M1785" s="37" t="s">
        <v>142</v>
      </c>
      <c r="N1785" s="37">
        <v>696.6467060487804</v>
      </c>
      <c r="O1785" s="132">
        <f t="shared" si="138"/>
        <v>2624.1865157793027</v>
      </c>
      <c r="P1785" s="134">
        <f t="shared" si="139"/>
        <v>2046.0386206188089</v>
      </c>
      <c r="Q1785" s="261">
        <v>1</v>
      </c>
      <c r="R1785" s="94"/>
    </row>
    <row r="1786" spans="1:18" x14ac:dyDescent="0.25">
      <c r="A1786" s="367">
        <v>41781</v>
      </c>
      <c r="B1786" s="367" t="s">
        <v>279</v>
      </c>
      <c r="C1786" s="279" t="s">
        <v>682</v>
      </c>
      <c r="D1786" s="159" t="s">
        <v>1173</v>
      </c>
      <c r="E1786" s="45">
        <f t="shared" si="140"/>
        <v>41781</v>
      </c>
      <c r="F1786" s="148" t="str">
        <f t="shared" si="137"/>
        <v>2013-14</v>
      </c>
      <c r="G1786" s="1"/>
      <c r="H1786" s="163"/>
      <c r="I1786" s="37"/>
      <c r="J1786" s="138">
        <f t="shared" si="141"/>
        <v>0.77968490742404351</v>
      </c>
      <c r="K1786" s="114"/>
      <c r="L1786" s="37">
        <v>1.6472281895600001</v>
      </c>
      <c r="M1786" s="37" t="s">
        <v>142</v>
      </c>
      <c r="N1786" s="37">
        <v>1003.0093919999996</v>
      </c>
      <c r="O1786" s="132">
        <f t="shared" si="138"/>
        <v>1652.1853448958357</v>
      </c>
      <c r="P1786" s="134">
        <f t="shared" si="139"/>
        <v>1288.1839776824711</v>
      </c>
      <c r="Q1786" s="261">
        <v>1</v>
      </c>
      <c r="R1786" s="94"/>
    </row>
    <row r="1787" spans="1:18" x14ac:dyDescent="0.25">
      <c r="A1787" s="367">
        <v>41781</v>
      </c>
      <c r="B1787" s="367" t="s">
        <v>279</v>
      </c>
      <c r="C1787" s="279" t="s">
        <v>682</v>
      </c>
      <c r="D1787" s="159" t="s">
        <v>1173</v>
      </c>
      <c r="E1787" s="45">
        <f t="shared" si="140"/>
        <v>41781</v>
      </c>
      <c r="F1787" s="148" t="str">
        <f t="shared" si="137"/>
        <v>2013-14</v>
      </c>
      <c r="G1787" s="1"/>
      <c r="H1787" s="163"/>
      <c r="I1787" s="37"/>
      <c r="J1787" s="138">
        <f t="shared" si="141"/>
        <v>0.77968490742404351</v>
      </c>
      <c r="K1787" s="114"/>
      <c r="L1787" s="37">
        <v>70.826425331999999</v>
      </c>
      <c r="M1787" s="37" t="s">
        <v>142</v>
      </c>
      <c r="N1787" s="37">
        <v>2679.5507189268287</v>
      </c>
      <c r="O1787" s="132">
        <f t="shared" si="138"/>
        <v>189782.99891737796</v>
      </c>
      <c r="P1787" s="134">
        <f t="shared" si="139"/>
        <v>147970.9399415532</v>
      </c>
      <c r="Q1787" s="261">
        <v>1</v>
      </c>
      <c r="R1787" s="94"/>
    </row>
    <row r="1788" spans="1:18" x14ac:dyDescent="0.25">
      <c r="A1788" s="367">
        <v>42384</v>
      </c>
      <c r="B1788" s="367" t="s">
        <v>279</v>
      </c>
      <c r="C1788" s="279" t="s">
        <v>583</v>
      </c>
      <c r="D1788" s="159" t="s">
        <v>1173</v>
      </c>
      <c r="E1788" s="45">
        <f t="shared" si="140"/>
        <v>42384</v>
      </c>
      <c r="F1788" s="148" t="str">
        <f t="shared" si="137"/>
        <v>2015-16</v>
      </c>
      <c r="G1788" s="1"/>
      <c r="H1788" s="163"/>
      <c r="I1788" s="37"/>
      <c r="J1788" s="138">
        <f t="shared" si="141"/>
        <v>0.77968490742404351</v>
      </c>
      <c r="K1788" s="114"/>
      <c r="L1788" s="37">
        <v>156.429202715</v>
      </c>
      <c r="M1788" s="37" t="s">
        <v>142</v>
      </c>
      <c r="N1788" s="37">
        <v>1422.8466506341463</v>
      </c>
      <c r="O1788" s="132">
        <f t="shared" si="138"/>
        <v>222574.76714440764</v>
      </c>
      <c r="P1788" s="134">
        <f t="shared" si="139"/>
        <v>173538.18671591551</v>
      </c>
      <c r="Q1788" s="261">
        <v>1</v>
      </c>
      <c r="R1788" s="94"/>
    </row>
    <row r="1789" spans="1:18" x14ac:dyDescent="0.25">
      <c r="A1789" s="367">
        <v>41781</v>
      </c>
      <c r="B1789" s="367" t="s">
        <v>279</v>
      </c>
      <c r="C1789" s="279" t="s">
        <v>682</v>
      </c>
      <c r="D1789" s="159" t="s">
        <v>1173</v>
      </c>
      <c r="E1789" s="45">
        <f t="shared" si="140"/>
        <v>41781</v>
      </c>
      <c r="F1789" s="148" t="str">
        <f t="shared" si="137"/>
        <v>2013-14</v>
      </c>
      <c r="G1789" s="1"/>
      <c r="H1789" s="163"/>
      <c r="I1789" s="37"/>
      <c r="J1789" s="138">
        <f t="shared" si="141"/>
        <v>0.77968490742404351</v>
      </c>
      <c r="K1789" s="114"/>
      <c r="L1789" s="37">
        <v>22.2748248479</v>
      </c>
      <c r="M1789" s="37" t="s">
        <v>142</v>
      </c>
      <c r="N1789" s="37">
        <v>1422.8419512195119</v>
      </c>
      <c r="O1789" s="132">
        <f t="shared" si="138"/>
        <v>31693.555249658904</v>
      </c>
      <c r="P1789" s="134">
        <f t="shared" si="139"/>
        <v>24710.98669076911</v>
      </c>
      <c r="Q1789" s="261">
        <v>1</v>
      </c>
      <c r="R1789" s="94"/>
    </row>
    <row r="1790" spans="1:18" x14ac:dyDescent="0.25">
      <c r="A1790" s="367">
        <v>41146</v>
      </c>
      <c r="B1790" s="367" t="s">
        <v>279</v>
      </c>
      <c r="C1790" s="279" t="s">
        <v>698</v>
      </c>
      <c r="D1790" s="159" t="s">
        <v>1173</v>
      </c>
      <c r="E1790" s="45">
        <f t="shared" si="140"/>
        <v>41146</v>
      </c>
      <c r="F1790" s="148" t="str">
        <f t="shared" si="137"/>
        <v>2012-13</v>
      </c>
      <c r="G1790" s="1"/>
      <c r="H1790" s="163"/>
      <c r="I1790" s="37"/>
      <c r="J1790" s="138">
        <f t="shared" si="141"/>
        <v>0.77968490742404351</v>
      </c>
      <c r="K1790" s="114"/>
      <c r="L1790" s="37">
        <v>23.414824748400001</v>
      </c>
      <c r="M1790" s="37" t="s">
        <v>142</v>
      </c>
      <c r="N1790" s="37">
        <v>1003.0093919999996</v>
      </c>
      <c r="O1790" s="132">
        <f t="shared" si="138"/>
        <v>23485.289134679228</v>
      </c>
      <c r="P1790" s="134">
        <f t="shared" si="139"/>
        <v>18311.125484799268</v>
      </c>
      <c r="Q1790" s="261">
        <v>1</v>
      </c>
      <c r="R1790" s="94"/>
    </row>
    <row r="1791" spans="1:18" x14ac:dyDescent="0.25">
      <c r="A1791" s="367">
        <v>42384</v>
      </c>
      <c r="B1791" s="367" t="s">
        <v>279</v>
      </c>
      <c r="C1791" s="279" t="s">
        <v>583</v>
      </c>
      <c r="D1791" s="159" t="s">
        <v>1173</v>
      </c>
      <c r="E1791" s="45">
        <f t="shared" si="140"/>
        <v>42384</v>
      </c>
      <c r="F1791" s="148" t="str">
        <f t="shared" si="137"/>
        <v>2015-16</v>
      </c>
      <c r="G1791" s="1"/>
      <c r="H1791" s="163"/>
      <c r="I1791" s="37"/>
      <c r="J1791" s="138">
        <f t="shared" si="141"/>
        <v>0.77968490742404351</v>
      </c>
      <c r="K1791" s="114"/>
      <c r="L1791" s="37">
        <v>12.0200764174</v>
      </c>
      <c r="M1791" s="37" t="s">
        <v>142</v>
      </c>
      <c r="N1791" s="37">
        <v>1181.2618378536583</v>
      </c>
      <c r="O1791" s="132">
        <f t="shared" si="138"/>
        <v>14198.857559959342</v>
      </c>
      <c r="P1791" s="134">
        <f t="shared" si="139"/>
        <v>11070.634942164081</v>
      </c>
      <c r="Q1791" s="261">
        <v>1</v>
      </c>
      <c r="R1791" s="94"/>
    </row>
    <row r="1792" spans="1:18" x14ac:dyDescent="0.25">
      <c r="A1792" s="367">
        <v>41146</v>
      </c>
      <c r="B1792" s="367" t="s">
        <v>279</v>
      </c>
      <c r="C1792" s="279" t="s">
        <v>698</v>
      </c>
      <c r="D1792" s="159" t="s">
        <v>1173</v>
      </c>
      <c r="E1792" s="45">
        <f t="shared" si="140"/>
        <v>41146</v>
      </c>
      <c r="F1792" s="148" t="str">
        <f t="shared" si="137"/>
        <v>2012-13</v>
      </c>
      <c r="G1792" s="1"/>
      <c r="H1792" s="163"/>
      <c r="I1792" s="37"/>
      <c r="J1792" s="138">
        <f t="shared" si="141"/>
        <v>0.77968490742404351</v>
      </c>
      <c r="K1792" s="114"/>
      <c r="L1792" s="37">
        <v>2.6271035381200001</v>
      </c>
      <c r="M1792" s="37" t="s">
        <v>142</v>
      </c>
      <c r="N1792" s="37">
        <v>1003.0093919999996</v>
      </c>
      <c r="O1792" s="132">
        <f t="shared" si="138"/>
        <v>2635.0095224907891</v>
      </c>
      <c r="P1792" s="134">
        <f t="shared" si="139"/>
        <v>2054.477155604704</v>
      </c>
      <c r="Q1792" s="261">
        <v>1</v>
      </c>
      <c r="R1792" s="94"/>
    </row>
    <row r="1793" spans="1:18" x14ac:dyDescent="0.25">
      <c r="A1793" s="367">
        <v>41781</v>
      </c>
      <c r="B1793" s="367" t="s">
        <v>279</v>
      </c>
      <c r="C1793" s="279" t="s">
        <v>682</v>
      </c>
      <c r="D1793" s="159" t="s">
        <v>1173</v>
      </c>
      <c r="E1793" s="45">
        <f t="shared" si="140"/>
        <v>41781</v>
      </c>
      <c r="F1793" s="148" t="str">
        <f t="shared" si="137"/>
        <v>2013-14</v>
      </c>
      <c r="G1793" s="1"/>
      <c r="H1793" s="163"/>
      <c r="I1793" s="37"/>
      <c r="J1793" s="138">
        <f t="shared" si="141"/>
        <v>0.77968490742404351</v>
      </c>
      <c r="K1793" s="114"/>
      <c r="L1793" s="37">
        <v>4.5688197550999998</v>
      </c>
      <c r="M1793" s="37" t="s">
        <v>142</v>
      </c>
      <c r="N1793" s="37">
        <v>1422.8419512195119</v>
      </c>
      <c r="O1793" s="132">
        <f t="shared" si="138"/>
        <v>6500.7084151167364</v>
      </c>
      <c r="P1793" s="134">
        <f t="shared" si="139"/>
        <v>5068.504238830993</v>
      </c>
      <c r="Q1793" s="261">
        <v>1</v>
      </c>
      <c r="R1793" s="94"/>
    </row>
    <row r="1794" spans="1:18" x14ac:dyDescent="0.25">
      <c r="A1794" s="367">
        <v>41781</v>
      </c>
      <c r="B1794" s="367" t="s">
        <v>279</v>
      </c>
      <c r="C1794" s="279" t="s">
        <v>682</v>
      </c>
      <c r="D1794" s="159" t="s">
        <v>1173</v>
      </c>
      <c r="E1794" s="45">
        <f t="shared" si="140"/>
        <v>41781</v>
      </c>
      <c r="F1794" s="148" t="str">
        <f t="shared" si="137"/>
        <v>2013-14</v>
      </c>
      <c r="G1794" s="1"/>
      <c r="H1794" s="163"/>
      <c r="I1794" s="37"/>
      <c r="J1794" s="138">
        <f t="shared" si="141"/>
        <v>0.77968490742404351</v>
      </c>
      <c r="K1794" s="114"/>
      <c r="L1794" s="37">
        <v>3.5608623957200001</v>
      </c>
      <c r="M1794" s="37" t="s">
        <v>142</v>
      </c>
      <c r="N1794" s="37">
        <v>1422.8419512195119</v>
      </c>
      <c r="O1794" s="132">
        <f t="shared" si="138"/>
        <v>5066.5443991504308</v>
      </c>
      <c r="P1794" s="134">
        <f t="shared" si="139"/>
        <v>3950.3082008114097</v>
      </c>
      <c r="Q1794" s="261">
        <v>1</v>
      </c>
      <c r="R1794" s="94"/>
    </row>
    <row r="1795" spans="1:18" x14ac:dyDescent="0.25">
      <c r="A1795" s="367">
        <v>41781</v>
      </c>
      <c r="B1795" s="367" t="s">
        <v>279</v>
      </c>
      <c r="C1795" s="279" t="s">
        <v>682</v>
      </c>
      <c r="D1795" s="159" t="s">
        <v>1173</v>
      </c>
      <c r="E1795" s="45">
        <f t="shared" si="140"/>
        <v>41781</v>
      </c>
      <c r="F1795" s="148" t="str">
        <f t="shared" si="137"/>
        <v>2013-14</v>
      </c>
      <c r="G1795" s="1"/>
      <c r="H1795" s="163"/>
      <c r="I1795" s="37"/>
      <c r="J1795" s="138">
        <f t="shared" si="141"/>
        <v>0.77968490742404351</v>
      </c>
      <c r="K1795" s="114"/>
      <c r="L1795" s="37">
        <v>1.6904273402300001</v>
      </c>
      <c r="M1795" s="37" t="s">
        <v>142</v>
      </c>
      <c r="N1795" s="37">
        <v>1422.8466506341463</v>
      </c>
      <c r="O1795" s="132">
        <f t="shared" si="138"/>
        <v>2405.2188791866442</v>
      </c>
      <c r="P1795" s="134">
        <f t="shared" si="139"/>
        <v>1875.3128591532004</v>
      </c>
      <c r="Q1795" s="261">
        <v>1</v>
      </c>
      <c r="R1795" s="94"/>
    </row>
    <row r="1796" spans="1:18" x14ac:dyDescent="0.25">
      <c r="A1796" s="367">
        <v>41082</v>
      </c>
      <c r="B1796" s="367" t="s">
        <v>279</v>
      </c>
      <c r="C1796" s="279" t="s">
        <v>699</v>
      </c>
      <c r="D1796" s="159" t="s">
        <v>1173</v>
      </c>
      <c r="E1796" s="45">
        <f t="shared" si="140"/>
        <v>41082</v>
      </c>
      <c r="F1796" s="148" t="str">
        <f t="shared" si="137"/>
        <v>2011-12</v>
      </c>
      <c r="G1796" s="1"/>
      <c r="H1796" s="163"/>
      <c r="I1796" s="37"/>
      <c r="J1796" s="138">
        <f t="shared" si="141"/>
        <v>0.77968490742404351</v>
      </c>
      <c r="K1796" s="114"/>
      <c r="L1796" s="37">
        <v>26.388675970000001</v>
      </c>
      <c r="M1796" s="37" t="s">
        <v>142</v>
      </c>
      <c r="N1796" s="37">
        <v>771.6404230243902</v>
      </c>
      <c r="O1796" s="132">
        <f t="shared" si="138"/>
        <v>20362.569088544362</v>
      </c>
      <c r="P1796" s="134">
        <f t="shared" si="139"/>
        <v>15876.387794717401</v>
      </c>
      <c r="Q1796" s="261">
        <v>1</v>
      </c>
      <c r="R1796" s="94"/>
    </row>
    <row r="1797" spans="1:18" x14ac:dyDescent="0.25">
      <c r="A1797" s="367">
        <v>41082</v>
      </c>
      <c r="B1797" s="367" t="s">
        <v>279</v>
      </c>
      <c r="C1797" s="279" t="s">
        <v>699</v>
      </c>
      <c r="D1797" s="159" t="s">
        <v>1173</v>
      </c>
      <c r="E1797" s="45">
        <f t="shared" si="140"/>
        <v>41082</v>
      </c>
      <c r="F1797" s="148" t="str">
        <f t="shared" si="137"/>
        <v>2011-12</v>
      </c>
      <c r="G1797" s="1"/>
      <c r="H1797" s="163"/>
      <c r="I1797" s="37"/>
      <c r="J1797" s="138">
        <f t="shared" si="141"/>
        <v>0.77968490742404351</v>
      </c>
      <c r="K1797" s="114"/>
      <c r="L1797" s="37">
        <v>3.44021022025</v>
      </c>
      <c r="M1797" s="37" t="s">
        <v>142</v>
      </c>
      <c r="N1797" s="37">
        <v>1181.2618378536583</v>
      </c>
      <c r="O1797" s="132">
        <f t="shared" si="138"/>
        <v>4063.7890473754537</v>
      </c>
      <c r="P1797" s="134">
        <f t="shared" si="139"/>
        <v>3168.4749871937724</v>
      </c>
      <c r="Q1797" s="261">
        <v>1</v>
      </c>
      <c r="R1797" s="94"/>
    </row>
    <row r="1798" spans="1:18" x14ac:dyDescent="0.25">
      <c r="A1798" s="367">
        <v>41082</v>
      </c>
      <c r="B1798" s="367" t="s">
        <v>279</v>
      </c>
      <c r="C1798" s="279" t="s">
        <v>699</v>
      </c>
      <c r="D1798" s="159" t="s">
        <v>1173</v>
      </c>
      <c r="E1798" s="45">
        <f t="shared" si="140"/>
        <v>41082</v>
      </c>
      <c r="F1798" s="148" t="str">
        <f t="shared" si="137"/>
        <v>2011-12</v>
      </c>
      <c r="G1798" s="1"/>
      <c r="H1798" s="163"/>
      <c r="I1798" s="37"/>
      <c r="J1798" s="138">
        <f t="shared" si="141"/>
        <v>0.77968490742404351</v>
      </c>
      <c r="K1798" s="114"/>
      <c r="L1798" s="37">
        <v>0.84905889077300001</v>
      </c>
      <c r="M1798" s="37" t="s">
        <v>142</v>
      </c>
      <c r="N1798" s="37">
        <v>771.6404230243902</v>
      </c>
      <c r="O1798" s="132">
        <f t="shared" si="138"/>
        <v>655.16816164869726</v>
      </c>
      <c r="P1798" s="134">
        <f t="shared" si="139"/>
        <v>510.82472746224528</v>
      </c>
      <c r="Q1798" s="261">
        <v>1</v>
      </c>
      <c r="R1798" s="94"/>
    </row>
    <row r="1799" spans="1:18" x14ac:dyDescent="0.25">
      <c r="A1799" s="367">
        <v>41082</v>
      </c>
      <c r="B1799" s="367" t="s">
        <v>279</v>
      </c>
      <c r="C1799" s="279" t="s">
        <v>699</v>
      </c>
      <c r="D1799" s="159" t="s">
        <v>1173</v>
      </c>
      <c r="E1799" s="45">
        <f t="shared" si="140"/>
        <v>41082</v>
      </c>
      <c r="F1799" s="148" t="str">
        <f t="shared" si="137"/>
        <v>2011-12</v>
      </c>
      <c r="G1799" s="1"/>
      <c r="H1799" s="163"/>
      <c r="I1799" s="37"/>
      <c r="J1799" s="138">
        <f t="shared" si="141"/>
        <v>0.77968490742404351</v>
      </c>
      <c r="K1799" s="114"/>
      <c r="L1799" s="37">
        <v>2.4994353362299999</v>
      </c>
      <c r="M1799" s="37" t="s">
        <v>142</v>
      </c>
      <c r="N1799" s="37">
        <v>1272.2340968780488</v>
      </c>
      <c r="O1799" s="132">
        <f t="shared" si="138"/>
        <v>3179.8668576936561</v>
      </c>
      <c r="P1799" s="134">
        <f t="shared" si="139"/>
        <v>2479.2941965616624</v>
      </c>
      <c r="Q1799" s="261">
        <v>1</v>
      </c>
      <c r="R1799" s="94"/>
    </row>
    <row r="1800" spans="1:18" x14ac:dyDescent="0.25">
      <c r="A1800" s="367">
        <v>41082</v>
      </c>
      <c r="B1800" s="367" t="s">
        <v>279</v>
      </c>
      <c r="C1800" s="279" t="s">
        <v>699</v>
      </c>
      <c r="D1800" s="159" t="s">
        <v>1173</v>
      </c>
      <c r="E1800" s="45">
        <f t="shared" si="140"/>
        <v>41082</v>
      </c>
      <c r="F1800" s="148" t="str">
        <f t="shared" si="137"/>
        <v>2011-12</v>
      </c>
      <c r="G1800" s="1"/>
      <c r="H1800" s="163"/>
      <c r="I1800" s="37"/>
      <c r="J1800" s="138">
        <f t="shared" si="141"/>
        <v>0.77968490742404351</v>
      </c>
      <c r="K1800" s="114"/>
      <c r="L1800" s="37">
        <v>252.012753847</v>
      </c>
      <c r="M1800" s="37" t="s">
        <v>142</v>
      </c>
      <c r="N1800" s="37">
        <v>1272.2340968780488</v>
      </c>
      <c r="O1800" s="132">
        <f t="shared" si="138"/>
        <v>320619.21829228807</v>
      </c>
      <c r="P1800" s="134">
        <f t="shared" si="139"/>
        <v>249981.96553259183</v>
      </c>
      <c r="Q1800" s="261">
        <v>1</v>
      </c>
      <c r="R1800" s="94"/>
    </row>
    <row r="1801" spans="1:18" x14ac:dyDescent="0.25">
      <c r="A1801" s="367">
        <v>39517</v>
      </c>
      <c r="B1801" s="367" t="s">
        <v>279</v>
      </c>
      <c r="C1801" s="279" t="s">
        <v>700</v>
      </c>
      <c r="D1801" s="159" t="s">
        <v>1169</v>
      </c>
      <c r="E1801" s="45">
        <f t="shared" si="140"/>
        <v>39517</v>
      </c>
      <c r="F1801" s="148" t="str">
        <f t="shared" si="137"/>
        <v>2007-08</v>
      </c>
      <c r="G1801" s="1"/>
      <c r="H1801" s="163"/>
      <c r="I1801" s="37"/>
      <c r="J1801" s="138">
        <f t="shared" si="141"/>
        <v>0.77968490742404351</v>
      </c>
      <c r="K1801" s="114"/>
      <c r="L1801" s="37">
        <v>86.914244479499999</v>
      </c>
      <c r="M1801" s="37" t="s">
        <v>142</v>
      </c>
      <c r="N1801" s="37">
        <v>696.6467060487804</v>
      </c>
      <c r="O1801" s="132">
        <f t="shared" si="138"/>
        <v>60548.522125362069</v>
      </c>
      <c r="P1801" s="134">
        <f t="shared" si="139"/>
        <v>47208.768867975574</v>
      </c>
      <c r="Q1801" s="261">
        <v>1</v>
      </c>
      <c r="R1801" s="94"/>
    </row>
    <row r="1802" spans="1:18" x14ac:dyDescent="0.25">
      <c r="A1802" s="367">
        <v>39517</v>
      </c>
      <c r="B1802" s="367" t="s">
        <v>279</v>
      </c>
      <c r="C1802" s="279" t="s">
        <v>700</v>
      </c>
      <c r="D1802" s="159" t="s">
        <v>1169</v>
      </c>
      <c r="E1802" s="45">
        <f t="shared" si="140"/>
        <v>39517</v>
      </c>
      <c r="F1802" s="148" t="str">
        <f t="shared" si="137"/>
        <v>2007-08</v>
      </c>
      <c r="G1802" s="1"/>
      <c r="H1802" s="163"/>
      <c r="I1802" s="37"/>
      <c r="J1802" s="138">
        <f t="shared" si="141"/>
        <v>0.77968490742404351</v>
      </c>
      <c r="K1802" s="114"/>
      <c r="L1802" s="37">
        <v>243.76598870699999</v>
      </c>
      <c r="M1802" s="37" t="s">
        <v>142</v>
      </c>
      <c r="N1802" s="37">
        <v>696.6467060487804</v>
      </c>
      <c r="O1802" s="132">
        <f t="shared" si="138"/>
        <v>169818.77307945574</v>
      </c>
      <c r="P1802" s="134">
        <f t="shared" si="139"/>
        <v>132405.1343673201</v>
      </c>
      <c r="Q1802" s="261">
        <v>1</v>
      </c>
      <c r="R1802" s="94"/>
    </row>
    <row r="1803" spans="1:18" x14ac:dyDescent="0.25">
      <c r="A1803" s="367">
        <v>39517</v>
      </c>
      <c r="B1803" s="367" t="s">
        <v>279</v>
      </c>
      <c r="C1803" s="279" t="s">
        <v>700</v>
      </c>
      <c r="D1803" s="159" t="s">
        <v>1169</v>
      </c>
      <c r="E1803" s="45">
        <f t="shared" si="140"/>
        <v>39517</v>
      </c>
      <c r="F1803" s="148" t="str">
        <f t="shared" si="137"/>
        <v>2007-08</v>
      </c>
      <c r="G1803" s="1"/>
      <c r="H1803" s="163"/>
      <c r="I1803" s="37"/>
      <c r="J1803" s="138">
        <f t="shared" si="141"/>
        <v>0.77968490742404351</v>
      </c>
      <c r="K1803" s="114"/>
      <c r="L1803" s="37">
        <v>52.713088264900001</v>
      </c>
      <c r="M1803" s="37" t="s">
        <v>142</v>
      </c>
      <c r="N1803" s="37">
        <v>696.6467060487804</v>
      </c>
      <c r="O1803" s="132">
        <f t="shared" si="138"/>
        <v>36722.39930540121</v>
      </c>
      <c r="P1803" s="134">
        <f t="shared" si="139"/>
        <v>28631.900502820503</v>
      </c>
      <c r="Q1803" s="261">
        <v>1</v>
      </c>
      <c r="R1803" s="94"/>
    </row>
    <row r="1804" spans="1:18" x14ac:dyDescent="0.25">
      <c r="A1804" s="367">
        <v>41082</v>
      </c>
      <c r="B1804" s="367" t="s">
        <v>279</v>
      </c>
      <c r="C1804" s="279" t="s">
        <v>699</v>
      </c>
      <c r="D1804" s="159" t="s">
        <v>1173</v>
      </c>
      <c r="E1804" s="45">
        <f t="shared" si="140"/>
        <v>41082</v>
      </c>
      <c r="F1804" s="148" t="str">
        <f t="shared" si="137"/>
        <v>2011-12</v>
      </c>
      <c r="G1804" s="1"/>
      <c r="H1804" s="163"/>
      <c r="I1804" s="37"/>
      <c r="J1804" s="138">
        <f t="shared" si="141"/>
        <v>0.77968490742404351</v>
      </c>
      <c r="K1804" s="114"/>
      <c r="L1804" s="37">
        <v>184.934870031</v>
      </c>
      <c r="M1804" s="37" t="s">
        <v>142</v>
      </c>
      <c r="N1804" s="37">
        <v>1272.2340968780488</v>
      </c>
      <c r="O1804" s="132">
        <f t="shared" si="138"/>
        <v>235280.44735514862</v>
      </c>
      <c r="P1804" s="134">
        <f t="shared" si="139"/>
        <v>183444.6138147866</v>
      </c>
      <c r="Q1804" s="261">
        <v>1</v>
      </c>
      <c r="R1804" s="94"/>
    </row>
    <row r="1805" spans="1:18" x14ac:dyDescent="0.25">
      <c r="A1805" s="367">
        <v>41082</v>
      </c>
      <c r="B1805" s="367" t="s">
        <v>279</v>
      </c>
      <c r="C1805" s="279" t="s">
        <v>699</v>
      </c>
      <c r="D1805" s="159" t="s">
        <v>1173</v>
      </c>
      <c r="E1805" s="45">
        <f t="shared" si="140"/>
        <v>41082</v>
      </c>
      <c r="F1805" s="148" t="str">
        <f t="shared" si="137"/>
        <v>2011-12</v>
      </c>
      <c r="G1805" s="1"/>
      <c r="H1805" s="163"/>
      <c r="I1805" s="37"/>
      <c r="J1805" s="138">
        <f t="shared" si="141"/>
        <v>0.77968490742404351</v>
      </c>
      <c r="K1805" s="114"/>
      <c r="L1805" s="37">
        <v>23.671756881099999</v>
      </c>
      <c r="M1805" s="37" t="s">
        <v>142</v>
      </c>
      <c r="N1805" s="37">
        <v>771.6404230243902</v>
      </c>
      <c r="O1805" s="132">
        <f t="shared" si="138"/>
        <v>18266.084493462524</v>
      </c>
      <c r="P1805" s="134">
        <f t="shared" si="139"/>
        <v>14241.790397285084</v>
      </c>
      <c r="Q1805" s="261">
        <v>1</v>
      </c>
      <c r="R1805" s="94"/>
    </row>
    <row r="1806" spans="1:18" x14ac:dyDescent="0.25">
      <c r="A1806" s="367">
        <v>42643</v>
      </c>
      <c r="B1806" s="367" t="s">
        <v>279</v>
      </c>
      <c r="C1806" s="279" t="s">
        <v>696</v>
      </c>
      <c r="D1806" s="159" t="s">
        <v>1171</v>
      </c>
      <c r="E1806" s="45">
        <f t="shared" si="140"/>
        <v>42643</v>
      </c>
      <c r="F1806" s="148" t="str">
        <f t="shared" si="137"/>
        <v>2016-17</v>
      </c>
      <c r="G1806" s="1"/>
      <c r="H1806" s="163"/>
      <c r="I1806" s="37"/>
      <c r="J1806" s="138">
        <f t="shared" si="141"/>
        <v>0.77968490742404351</v>
      </c>
      <c r="K1806" s="114"/>
      <c r="L1806" s="37">
        <v>204.18567646299999</v>
      </c>
      <c r="M1806" s="37" t="s">
        <v>142</v>
      </c>
      <c r="N1806" s="37">
        <v>696.6467060487804</v>
      </c>
      <c r="O1806" s="132">
        <f t="shared" si="138"/>
        <v>142245.27893029092</v>
      </c>
      <c r="P1806" s="134">
        <f t="shared" si="139"/>
        <v>110906.49713427112</v>
      </c>
      <c r="Q1806" s="261">
        <v>1</v>
      </c>
      <c r="R1806" s="94"/>
    </row>
    <row r="1807" spans="1:18" x14ac:dyDescent="0.25">
      <c r="A1807" s="367">
        <v>42643</v>
      </c>
      <c r="B1807" s="367" t="s">
        <v>279</v>
      </c>
      <c r="C1807" s="279" t="s">
        <v>696</v>
      </c>
      <c r="D1807" s="159" t="s">
        <v>1171</v>
      </c>
      <c r="E1807" s="45">
        <f t="shared" si="140"/>
        <v>42643</v>
      </c>
      <c r="F1807" s="148" t="str">
        <f t="shared" si="137"/>
        <v>2016-17</v>
      </c>
      <c r="G1807" s="1"/>
      <c r="H1807" s="163"/>
      <c r="I1807" s="37"/>
      <c r="J1807" s="138">
        <f t="shared" si="141"/>
        <v>0.77968490742404351</v>
      </c>
      <c r="K1807" s="114"/>
      <c r="L1807" s="37">
        <v>6.0457384991399996</v>
      </c>
      <c r="M1807" s="37" t="s">
        <v>142</v>
      </c>
      <c r="N1807" s="37">
        <v>771.64195121951207</v>
      </c>
      <c r="O1807" s="132">
        <f t="shared" si="138"/>
        <v>4665.1454520393136</v>
      </c>
      <c r="P1807" s="134">
        <f t="shared" si="139"/>
        <v>3637.3434998929697</v>
      </c>
      <c r="Q1807" s="261">
        <v>1</v>
      </c>
      <c r="R1807" s="94"/>
    </row>
    <row r="1808" spans="1:18" x14ac:dyDescent="0.25">
      <c r="A1808" s="367">
        <v>42643</v>
      </c>
      <c r="B1808" s="367" t="s">
        <v>279</v>
      </c>
      <c r="C1808" s="279" t="s">
        <v>696</v>
      </c>
      <c r="D1808" s="159" t="s">
        <v>1171</v>
      </c>
      <c r="E1808" s="45">
        <f t="shared" si="140"/>
        <v>42643</v>
      </c>
      <c r="F1808" s="148" t="str">
        <f t="shared" si="137"/>
        <v>2016-17</v>
      </c>
      <c r="G1808" s="1"/>
      <c r="H1808" s="163"/>
      <c r="I1808" s="37"/>
      <c r="J1808" s="138">
        <f t="shared" si="141"/>
        <v>0.77968490742404351</v>
      </c>
      <c r="K1808" s="114"/>
      <c r="L1808" s="37">
        <v>3.4710353809500001</v>
      </c>
      <c r="M1808" s="37" t="s">
        <v>142</v>
      </c>
      <c r="N1808" s="37">
        <v>696.6467060487804</v>
      </c>
      <c r="O1808" s="132">
        <f t="shared" si="138"/>
        <v>2418.0853647175913</v>
      </c>
      <c r="P1808" s="134">
        <f t="shared" si="139"/>
        <v>1885.3446637332697</v>
      </c>
      <c r="Q1808" s="261">
        <v>1</v>
      </c>
      <c r="R1808" s="94"/>
    </row>
    <row r="1809" spans="1:18" x14ac:dyDescent="0.25">
      <c r="A1809" s="367">
        <v>40474</v>
      </c>
      <c r="B1809" s="367" t="s">
        <v>279</v>
      </c>
      <c r="C1809" s="279" t="s">
        <v>701</v>
      </c>
      <c r="D1809" s="159" t="s">
        <v>1174</v>
      </c>
      <c r="E1809" s="45">
        <f t="shared" si="140"/>
        <v>40474</v>
      </c>
      <c r="F1809" s="148" t="str">
        <f t="shared" si="137"/>
        <v>2010-11</v>
      </c>
      <c r="G1809" s="1"/>
      <c r="H1809" s="163"/>
      <c r="I1809" s="37"/>
      <c r="J1809" s="138">
        <f t="shared" si="141"/>
        <v>0.77968490742404351</v>
      </c>
      <c r="K1809" s="114"/>
      <c r="L1809" s="37">
        <v>316.73129828100002</v>
      </c>
      <c r="M1809" s="37" t="s">
        <v>142</v>
      </c>
      <c r="N1809" s="37">
        <v>771.6404230243902</v>
      </c>
      <c r="O1809" s="132">
        <f t="shared" si="138"/>
        <v>244402.67299061516</v>
      </c>
      <c r="P1809" s="134">
        <f t="shared" si="139"/>
        <v>190557.07546487657</v>
      </c>
      <c r="Q1809" s="261">
        <v>1</v>
      </c>
      <c r="R1809" s="94"/>
    </row>
    <row r="1810" spans="1:18" x14ac:dyDescent="0.25">
      <c r="A1810" s="367">
        <v>40474</v>
      </c>
      <c r="B1810" s="367" t="s">
        <v>279</v>
      </c>
      <c r="C1810" s="279" t="s">
        <v>701</v>
      </c>
      <c r="D1810" s="159" t="s">
        <v>1174</v>
      </c>
      <c r="E1810" s="45">
        <f t="shared" si="140"/>
        <v>40474</v>
      </c>
      <c r="F1810" s="148" t="str">
        <f t="shared" ref="F1810:F1873" si="142">IF(E1810="","-",IF(OR(E1810&lt;$E$15,E1810&gt;$E$16),"ERROR - date outside of range",IF(MONTH(E1810)&gt;=7,YEAR(E1810)&amp;"-"&amp;IF(YEAR(E1810)=1999,"00",IF(AND(YEAR(E1810)&gt;=2000,YEAR(E1810)&lt;2009),"0","")&amp;RIGHT(YEAR(E1810),2)+1),RIGHT(YEAR(E1810),4)-1&amp;"-"&amp;RIGHT(YEAR(E1810),2))))</f>
        <v>2010-11</v>
      </c>
      <c r="G1810" s="1"/>
      <c r="H1810" s="163"/>
      <c r="I1810" s="37"/>
      <c r="J1810" s="138">
        <f t="shared" si="141"/>
        <v>0.77968490742404351</v>
      </c>
      <c r="K1810" s="114"/>
      <c r="L1810" s="37">
        <v>5.2807312570400002</v>
      </c>
      <c r="M1810" s="37" t="s">
        <v>142</v>
      </c>
      <c r="N1810" s="37">
        <v>771.6404230243902</v>
      </c>
      <c r="O1810" s="132">
        <f t="shared" ref="O1810:O1873" si="143">IF(N1810="","-",L1810*N1810)</f>
        <v>4074.8257010604657</v>
      </c>
      <c r="P1810" s="134">
        <f t="shared" ref="P1810:P1873" si="144">IF(O1810="-","-",IF(OR(E1810&lt;$E$15,E1810&gt;$E$16),0,O1810*J1810))*Q1810</f>
        <v>3177.0800995004424</v>
      </c>
      <c r="Q1810" s="261">
        <v>1</v>
      </c>
      <c r="R1810" s="94"/>
    </row>
    <row r="1811" spans="1:18" x14ac:dyDescent="0.25">
      <c r="A1811" s="367">
        <v>40474</v>
      </c>
      <c r="B1811" s="367" t="s">
        <v>279</v>
      </c>
      <c r="C1811" s="279" t="s">
        <v>701</v>
      </c>
      <c r="D1811" s="159" t="s">
        <v>1174</v>
      </c>
      <c r="E1811" s="45">
        <f t="shared" si="140"/>
        <v>40474</v>
      </c>
      <c r="F1811" s="148" t="str">
        <f t="shared" si="142"/>
        <v>2010-11</v>
      </c>
      <c r="G1811" s="1"/>
      <c r="H1811" s="163"/>
      <c r="I1811" s="37"/>
      <c r="J1811" s="138">
        <f t="shared" si="141"/>
        <v>0.77968490742404351</v>
      </c>
      <c r="K1811" s="114"/>
      <c r="L1811" s="37">
        <v>9.3983090235199995</v>
      </c>
      <c r="M1811" s="37" t="s">
        <v>142</v>
      </c>
      <c r="N1811" s="37">
        <v>771.6404230243902</v>
      </c>
      <c r="O1811" s="132">
        <f t="shared" si="143"/>
        <v>7252.1151506229162</v>
      </c>
      <c r="P1811" s="134">
        <f t="shared" si="144"/>
        <v>5654.3647298419319</v>
      </c>
      <c r="Q1811" s="261">
        <v>1</v>
      </c>
      <c r="R1811" s="94"/>
    </row>
    <row r="1812" spans="1:18" x14ac:dyDescent="0.25">
      <c r="A1812" s="367">
        <v>40005</v>
      </c>
      <c r="B1812" s="367" t="s">
        <v>279</v>
      </c>
      <c r="C1812" s="279" t="s">
        <v>297</v>
      </c>
      <c r="D1812" s="159" t="s">
        <v>1175</v>
      </c>
      <c r="E1812" s="45">
        <f t="shared" si="140"/>
        <v>40005</v>
      </c>
      <c r="F1812" s="148" t="str">
        <f t="shared" si="142"/>
        <v>2009-10</v>
      </c>
      <c r="G1812" s="1"/>
      <c r="H1812" s="163"/>
      <c r="I1812" s="37"/>
      <c r="J1812" s="138">
        <f t="shared" si="141"/>
        <v>0.77968490742404351</v>
      </c>
      <c r="K1812" s="114"/>
      <c r="L1812" s="37">
        <v>1.9996289655799999</v>
      </c>
      <c r="M1812" s="37" t="s">
        <v>142</v>
      </c>
      <c r="N1812" s="37">
        <v>1422.8466506341463</v>
      </c>
      <c r="O1812" s="132">
        <f t="shared" si="143"/>
        <v>2845.1653761865255</v>
      </c>
      <c r="P1812" s="134">
        <f t="shared" si="144"/>
        <v>2218.3325029380849</v>
      </c>
      <c r="Q1812" s="261">
        <v>1</v>
      </c>
      <c r="R1812" s="94"/>
    </row>
    <row r="1813" spans="1:18" x14ac:dyDescent="0.25">
      <c r="A1813" s="367">
        <v>40005</v>
      </c>
      <c r="B1813" s="367" t="s">
        <v>279</v>
      </c>
      <c r="C1813" s="279" t="s">
        <v>297</v>
      </c>
      <c r="D1813" s="159" t="s">
        <v>1175</v>
      </c>
      <c r="E1813" s="45">
        <f t="shared" si="140"/>
        <v>40005</v>
      </c>
      <c r="F1813" s="148" t="str">
        <f t="shared" si="142"/>
        <v>2009-10</v>
      </c>
      <c r="G1813" s="1"/>
      <c r="H1813" s="163"/>
      <c r="I1813" s="37"/>
      <c r="J1813" s="138">
        <f t="shared" si="141"/>
        <v>0.77968490742404351</v>
      </c>
      <c r="K1813" s="114"/>
      <c r="L1813" s="37">
        <v>1.9996289655799999</v>
      </c>
      <c r="M1813" s="37" t="s">
        <v>142</v>
      </c>
      <c r="N1813" s="37">
        <v>1422.8466506341463</v>
      </c>
      <c r="O1813" s="132">
        <f t="shared" si="143"/>
        <v>2845.1653761865255</v>
      </c>
      <c r="P1813" s="134">
        <f t="shared" si="144"/>
        <v>2218.3325029380849</v>
      </c>
      <c r="Q1813" s="261">
        <v>1</v>
      </c>
      <c r="R1813" s="94"/>
    </row>
    <row r="1814" spans="1:18" x14ac:dyDescent="0.25">
      <c r="A1814" s="367">
        <v>40005</v>
      </c>
      <c r="B1814" s="367" t="s">
        <v>279</v>
      </c>
      <c r="C1814" s="279" t="s">
        <v>297</v>
      </c>
      <c r="D1814" s="159" t="s">
        <v>1175</v>
      </c>
      <c r="E1814" s="45">
        <f t="shared" si="140"/>
        <v>40005</v>
      </c>
      <c r="F1814" s="148" t="str">
        <f t="shared" si="142"/>
        <v>2009-10</v>
      </c>
      <c r="G1814" s="1"/>
      <c r="H1814" s="163"/>
      <c r="I1814" s="37"/>
      <c r="J1814" s="138">
        <f t="shared" si="141"/>
        <v>0.77968490742404351</v>
      </c>
      <c r="K1814" s="114"/>
      <c r="L1814" s="37">
        <v>0.99981448279200003</v>
      </c>
      <c r="M1814" s="37" t="s">
        <v>142</v>
      </c>
      <c r="N1814" s="37">
        <v>936.5640883902438</v>
      </c>
      <c r="O1814" s="132">
        <f t="shared" si="143"/>
        <v>936.39033963545262</v>
      </c>
      <c r="P1814" s="134">
        <f t="shared" si="144"/>
        <v>730.08941527143656</v>
      </c>
      <c r="Q1814" s="261">
        <v>1</v>
      </c>
      <c r="R1814" s="94"/>
    </row>
    <row r="1815" spans="1:18" x14ac:dyDescent="0.25">
      <c r="A1815" s="367">
        <v>40005</v>
      </c>
      <c r="B1815" s="367" t="s">
        <v>279</v>
      </c>
      <c r="C1815" s="279" t="s">
        <v>297</v>
      </c>
      <c r="D1815" s="159" t="s">
        <v>1175</v>
      </c>
      <c r="E1815" s="45">
        <f t="shared" ref="E1815:E1878" si="145">IF(A1815&lt;2022,DATEVALUE("30 Jun "&amp;A1815),A1815)</f>
        <v>40005</v>
      </c>
      <c r="F1815" s="148" t="str">
        <f t="shared" si="142"/>
        <v>2009-10</v>
      </c>
      <c r="G1815" s="1"/>
      <c r="H1815" s="163"/>
      <c r="I1815" s="37"/>
      <c r="J1815" s="138">
        <f t="shared" si="141"/>
        <v>0.77968490742404351</v>
      </c>
      <c r="K1815" s="114"/>
      <c r="L1815" s="37">
        <v>0.99981448279200003</v>
      </c>
      <c r="M1815" s="37" t="s">
        <v>142</v>
      </c>
      <c r="N1815" s="37">
        <v>936.5640883902438</v>
      </c>
      <c r="O1815" s="132">
        <f t="shared" si="143"/>
        <v>936.39033963545262</v>
      </c>
      <c r="P1815" s="134">
        <f t="shared" si="144"/>
        <v>730.08941527143656</v>
      </c>
      <c r="Q1815" s="261">
        <v>1</v>
      </c>
      <c r="R1815" s="94"/>
    </row>
    <row r="1816" spans="1:18" x14ac:dyDescent="0.25">
      <c r="A1816" s="367">
        <v>40299</v>
      </c>
      <c r="B1816" s="367" t="s">
        <v>279</v>
      </c>
      <c r="C1816" s="279" t="s">
        <v>297</v>
      </c>
      <c r="D1816" s="159" t="s">
        <v>1175</v>
      </c>
      <c r="E1816" s="45">
        <f t="shared" si="145"/>
        <v>40299</v>
      </c>
      <c r="F1816" s="148" t="str">
        <f t="shared" si="142"/>
        <v>2009-10</v>
      </c>
      <c r="G1816" s="1"/>
      <c r="H1816" s="163"/>
      <c r="I1816" s="37"/>
      <c r="J1816" s="138">
        <f t="shared" ref="J1816:J1879" si="146">J1815</f>
        <v>0.77968490742404351</v>
      </c>
      <c r="K1816" s="114"/>
      <c r="L1816" s="37">
        <v>2.5856289998199999</v>
      </c>
      <c r="M1816" s="37" t="s">
        <v>142</v>
      </c>
      <c r="N1816" s="37">
        <v>1385.4167692682922</v>
      </c>
      <c r="O1816" s="132">
        <f t="shared" si="143"/>
        <v>3582.1737754570299</v>
      </c>
      <c r="P1816" s="134">
        <f t="shared" si="144"/>
        <v>2792.9668284940508</v>
      </c>
      <c r="Q1816" s="261">
        <v>1</v>
      </c>
      <c r="R1816" s="94"/>
    </row>
    <row r="1817" spans="1:18" x14ac:dyDescent="0.25">
      <c r="A1817" s="367">
        <v>40299</v>
      </c>
      <c r="B1817" s="367" t="s">
        <v>279</v>
      </c>
      <c r="C1817" s="279" t="s">
        <v>297</v>
      </c>
      <c r="D1817" s="159" t="s">
        <v>1175</v>
      </c>
      <c r="E1817" s="45">
        <f t="shared" si="145"/>
        <v>40299</v>
      </c>
      <c r="F1817" s="148" t="str">
        <f t="shared" si="142"/>
        <v>2009-10</v>
      </c>
      <c r="G1817" s="1"/>
      <c r="H1817" s="163"/>
      <c r="I1817" s="37"/>
      <c r="J1817" s="138">
        <f t="shared" si="146"/>
        <v>0.77968490742404351</v>
      </c>
      <c r="K1817" s="114"/>
      <c r="L1817" s="37">
        <v>4.0152892797400002</v>
      </c>
      <c r="M1817" s="37" t="s">
        <v>142</v>
      </c>
      <c r="N1817" s="37">
        <v>1128.7084557073169</v>
      </c>
      <c r="O1817" s="132">
        <f t="shared" si="143"/>
        <v>4532.0909621534802</v>
      </c>
      <c r="P1817" s="134">
        <f t="shared" si="144"/>
        <v>3533.6029222639804</v>
      </c>
      <c r="Q1817" s="261">
        <v>1</v>
      </c>
      <c r="R1817" s="94"/>
    </row>
    <row r="1818" spans="1:18" x14ac:dyDescent="0.25">
      <c r="A1818" s="367">
        <v>40299</v>
      </c>
      <c r="B1818" s="367" t="s">
        <v>279</v>
      </c>
      <c r="C1818" s="279" t="s">
        <v>297</v>
      </c>
      <c r="D1818" s="159" t="s">
        <v>1175</v>
      </c>
      <c r="E1818" s="45">
        <f t="shared" si="145"/>
        <v>40299</v>
      </c>
      <c r="F1818" s="148" t="str">
        <f t="shared" si="142"/>
        <v>2009-10</v>
      </c>
      <c r="G1818" s="1"/>
      <c r="H1818" s="163"/>
      <c r="I1818" s="37"/>
      <c r="J1818" s="138">
        <f t="shared" si="146"/>
        <v>0.77968490742404351</v>
      </c>
      <c r="K1818" s="114"/>
      <c r="L1818" s="37">
        <v>5.8000221526700004</v>
      </c>
      <c r="M1818" s="37" t="s">
        <v>142</v>
      </c>
      <c r="N1818" s="37">
        <v>1385.4167692682922</v>
      </c>
      <c r="O1818" s="132">
        <f t="shared" si="143"/>
        <v>8035.4479524365979</v>
      </c>
      <c r="P1818" s="134">
        <f t="shared" si="144"/>
        <v>6265.117492906249</v>
      </c>
      <c r="Q1818" s="261">
        <v>1</v>
      </c>
      <c r="R1818" s="94"/>
    </row>
    <row r="1819" spans="1:18" x14ac:dyDescent="0.25">
      <c r="A1819" s="367">
        <v>40299</v>
      </c>
      <c r="B1819" s="367" t="s">
        <v>279</v>
      </c>
      <c r="C1819" s="279" t="s">
        <v>297</v>
      </c>
      <c r="D1819" s="159" t="s">
        <v>1175</v>
      </c>
      <c r="E1819" s="45">
        <f t="shared" si="145"/>
        <v>40299</v>
      </c>
      <c r="F1819" s="148" t="str">
        <f t="shared" si="142"/>
        <v>2009-10</v>
      </c>
      <c r="G1819" s="1"/>
      <c r="H1819" s="163"/>
      <c r="I1819" s="37"/>
      <c r="J1819" s="138">
        <f t="shared" si="146"/>
        <v>0.77968490742404351</v>
      </c>
      <c r="K1819" s="114"/>
      <c r="L1819" s="37">
        <v>0.99981448279200003</v>
      </c>
      <c r="M1819" s="37" t="s">
        <v>142</v>
      </c>
      <c r="N1819" s="37">
        <v>1512.3320841951218</v>
      </c>
      <c r="O1819" s="132">
        <f t="shared" si="143"/>
        <v>1512.0515205692932</v>
      </c>
      <c r="P1819" s="134">
        <f t="shared" si="144"/>
        <v>1178.9237498354535</v>
      </c>
      <c r="Q1819" s="261">
        <v>1</v>
      </c>
      <c r="R1819" s="94"/>
    </row>
    <row r="1820" spans="1:18" x14ac:dyDescent="0.25">
      <c r="A1820" s="367">
        <v>40299</v>
      </c>
      <c r="B1820" s="367" t="s">
        <v>279</v>
      </c>
      <c r="C1820" s="279" t="s">
        <v>297</v>
      </c>
      <c r="D1820" s="159" t="s">
        <v>1176</v>
      </c>
      <c r="E1820" s="45">
        <f t="shared" si="145"/>
        <v>40299</v>
      </c>
      <c r="F1820" s="148" t="str">
        <f t="shared" si="142"/>
        <v>2009-10</v>
      </c>
      <c r="G1820" s="1"/>
      <c r="H1820" s="163"/>
      <c r="I1820" s="37"/>
      <c r="J1820" s="138">
        <f t="shared" si="146"/>
        <v>0.77968490742404351</v>
      </c>
      <c r="K1820" s="114"/>
      <c r="L1820" s="37">
        <v>16.495625653499999</v>
      </c>
      <c r="M1820" s="37" t="s">
        <v>142</v>
      </c>
      <c r="N1820" s="37">
        <v>1128.7084557073169</v>
      </c>
      <c r="O1820" s="132">
        <f t="shared" si="143"/>
        <v>18618.752157287985</v>
      </c>
      <c r="P1820" s="134">
        <f t="shared" si="144"/>
        <v>14516.760052106292</v>
      </c>
      <c r="Q1820" s="261">
        <v>1</v>
      </c>
      <c r="R1820" s="94"/>
    </row>
    <row r="1821" spans="1:18" x14ac:dyDescent="0.25">
      <c r="A1821" s="367">
        <v>40299</v>
      </c>
      <c r="B1821" s="367" t="s">
        <v>279</v>
      </c>
      <c r="C1821" s="279" t="s">
        <v>297</v>
      </c>
      <c r="D1821" s="159" t="s">
        <v>1176</v>
      </c>
      <c r="E1821" s="45">
        <f t="shared" si="145"/>
        <v>40299</v>
      </c>
      <c r="F1821" s="148" t="str">
        <f t="shared" si="142"/>
        <v>2009-10</v>
      </c>
      <c r="G1821" s="1"/>
      <c r="H1821" s="163"/>
      <c r="I1821" s="37"/>
      <c r="J1821" s="138">
        <f t="shared" si="146"/>
        <v>0.77968490742404351</v>
      </c>
      <c r="K1821" s="114"/>
      <c r="L1821" s="37">
        <v>12.5801951933</v>
      </c>
      <c r="M1821" s="37" t="s">
        <v>142</v>
      </c>
      <c r="N1821" s="37">
        <v>1385.4167692682922</v>
      </c>
      <c r="O1821" s="132">
        <f t="shared" si="143"/>
        <v>17428.813381466185</v>
      </c>
      <c r="P1821" s="134">
        <f t="shared" si="144"/>
        <v>13588.982747839393</v>
      </c>
      <c r="Q1821" s="261">
        <v>1</v>
      </c>
      <c r="R1821" s="94"/>
    </row>
    <row r="1822" spans="1:18" x14ac:dyDescent="0.25">
      <c r="A1822" s="367">
        <v>40299</v>
      </c>
      <c r="B1822" s="367" t="s">
        <v>279</v>
      </c>
      <c r="C1822" s="279" t="s">
        <v>297</v>
      </c>
      <c r="D1822" s="159" t="s">
        <v>1176</v>
      </c>
      <c r="E1822" s="45">
        <f t="shared" si="145"/>
        <v>40299</v>
      </c>
      <c r="F1822" s="148" t="str">
        <f t="shared" si="142"/>
        <v>2009-10</v>
      </c>
      <c r="G1822" s="1"/>
      <c r="H1822" s="163"/>
      <c r="I1822" s="37"/>
      <c r="J1822" s="138">
        <f t="shared" si="146"/>
        <v>0.77968490742404351</v>
      </c>
      <c r="K1822" s="114"/>
      <c r="L1822" s="37">
        <v>7.6319743866999996</v>
      </c>
      <c r="M1822" s="37" t="s">
        <v>142</v>
      </c>
      <c r="N1822" s="37">
        <v>1512.3320841951218</v>
      </c>
      <c r="O1822" s="132">
        <f t="shared" si="143"/>
        <v>11542.079730761796</v>
      </c>
      <c r="P1822" s="134">
        <f t="shared" si="144"/>
        <v>8999.1853663599395</v>
      </c>
      <c r="Q1822" s="261">
        <v>1</v>
      </c>
      <c r="R1822" s="94"/>
    </row>
    <row r="1823" spans="1:18" x14ac:dyDescent="0.25">
      <c r="A1823" s="367">
        <v>40299</v>
      </c>
      <c r="B1823" s="367" t="s">
        <v>279</v>
      </c>
      <c r="C1823" s="279" t="s">
        <v>297</v>
      </c>
      <c r="D1823" s="159" t="s">
        <v>1176</v>
      </c>
      <c r="E1823" s="45">
        <f t="shared" si="145"/>
        <v>40299</v>
      </c>
      <c r="F1823" s="148" t="str">
        <f t="shared" si="142"/>
        <v>2009-10</v>
      </c>
      <c r="G1823" s="1"/>
      <c r="H1823" s="163"/>
      <c r="I1823" s="37"/>
      <c r="J1823" s="138">
        <f t="shared" si="146"/>
        <v>0.77968490742404351</v>
      </c>
      <c r="K1823" s="114"/>
      <c r="L1823" s="37">
        <v>7.49213310854</v>
      </c>
      <c r="M1823" s="37" t="s">
        <v>142</v>
      </c>
      <c r="N1823" s="37">
        <v>1385.4167692682922</v>
      </c>
      <c r="O1823" s="132">
        <f t="shared" si="143"/>
        <v>10379.726846161495</v>
      </c>
      <c r="P1823" s="134">
        <f t="shared" si="144"/>
        <v>8092.9163651362842</v>
      </c>
      <c r="Q1823" s="261">
        <v>1</v>
      </c>
      <c r="R1823" s="94"/>
    </row>
    <row r="1824" spans="1:18" x14ac:dyDescent="0.25">
      <c r="A1824" s="367">
        <v>40299</v>
      </c>
      <c r="B1824" s="367" t="s">
        <v>279</v>
      </c>
      <c r="C1824" s="279" t="s">
        <v>297</v>
      </c>
      <c r="D1824" s="159" t="s">
        <v>1176</v>
      </c>
      <c r="E1824" s="45">
        <f t="shared" si="145"/>
        <v>40299</v>
      </c>
      <c r="F1824" s="148" t="str">
        <f t="shared" si="142"/>
        <v>2009-10</v>
      </c>
      <c r="G1824" s="1"/>
      <c r="H1824" s="163"/>
      <c r="I1824" s="37"/>
      <c r="J1824" s="138">
        <f t="shared" si="146"/>
        <v>0.77968490742404351</v>
      </c>
      <c r="K1824" s="114"/>
      <c r="L1824" s="37">
        <v>9.7984251340800004</v>
      </c>
      <c r="M1824" s="37" t="s">
        <v>142</v>
      </c>
      <c r="N1824" s="37">
        <v>1512.3320841951218</v>
      </c>
      <c r="O1824" s="132">
        <f t="shared" si="143"/>
        <v>14818.472704853073</v>
      </c>
      <c r="P1824" s="134">
        <f t="shared" si="144"/>
        <v>11553.739519049084</v>
      </c>
      <c r="Q1824" s="261">
        <v>1</v>
      </c>
      <c r="R1824" s="94"/>
    </row>
    <row r="1825" spans="1:18" x14ac:dyDescent="0.25">
      <c r="A1825" s="367">
        <v>40299</v>
      </c>
      <c r="B1825" s="367" t="s">
        <v>279</v>
      </c>
      <c r="C1825" s="279" t="s">
        <v>297</v>
      </c>
      <c r="D1825" s="159" t="s">
        <v>1176</v>
      </c>
      <c r="E1825" s="45">
        <f t="shared" si="145"/>
        <v>40299</v>
      </c>
      <c r="F1825" s="148" t="str">
        <f t="shared" si="142"/>
        <v>2009-10</v>
      </c>
      <c r="G1825" s="1"/>
      <c r="H1825" s="163"/>
      <c r="I1825" s="37"/>
      <c r="J1825" s="138">
        <f t="shared" si="146"/>
        <v>0.77968490742404351</v>
      </c>
      <c r="K1825" s="114"/>
      <c r="L1825" s="37">
        <v>4.70145010348</v>
      </c>
      <c r="M1825" s="37" t="s">
        <v>142</v>
      </c>
      <c r="N1825" s="37">
        <v>1385.4167692682922</v>
      </c>
      <c r="O1825" s="132">
        <f t="shared" si="143"/>
        <v>6513.4678132393401</v>
      </c>
      <c r="P1825" s="134">
        <f t="shared" si="144"/>
        <v>5078.4525489750022</v>
      </c>
      <c r="Q1825" s="261">
        <v>1</v>
      </c>
      <c r="R1825" s="94"/>
    </row>
    <row r="1826" spans="1:18" x14ac:dyDescent="0.25">
      <c r="A1826" s="367">
        <v>40299</v>
      </c>
      <c r="B1826" s="367" t="s">
        <v>279</v>
      </c>
      <c r="C1826" s="279" t="s">
        <v>297</v>
      </c>
      <c r="D1826" s="159" t="s">
        <v>1176</v>
      </c>
      <c r="E1826" s="45">
        <f t="shared" si="145"/>
        <v>40299</v>
      </c>
      <c r="F1826" s="148" t="str">
        <f t="shared" si="142"/>
        <v>2009-10</v>
      </c>
      <c r="G1826" s="1"/>
      <c r="H1826" s="163"/>
      <c r="I1826" s="37"/>
      <c r="J1826" s="138">
        <f t="shared" si="146"/>
        <v>0.77968490742404351</v>
      </c>
      <c r="K1826" s="114"/>
      <c r="L1826" s="37">
        <v>1.4542902272</v>
      </c>
      <c r="M1826" s="37" t="s">
        <v>142</v>
      </c>
      <c r="N1826" s="37">
        <v>1385.4167692682922</v>
      </c>
      <c r="O1826" s="132">
        <f t="shared" si="143"/>
        <v>2014.7980681458746</v>
      </c>
      <c r="P1826" s="134">
        <f t="shared" si="144"/>
        <v>1570.9076452404579</v>
      </c>
      <c r="Q1826" s="261">
        <v>1</v>
      </c>
      <c r="R1826" s="94"/>
    </row>
    <row r="1827" spans="1:18" x14ac:dyDescent="0.25">
      <c r="A1827" s="367">
        <v>40299</v>
      </c>
      <c r="B1827" s="367" t="s">
        <v>279</v>
      </c>
      <c r="C1827" s="279" t="s">
        <v>297</v>
      </c>
      <c r="D1827" s="159" t="s">
        <v>1176</v>
      </c>
      <c r="E1827" s="45">
        <f t="shared" si="145"/>
        <v>40299</v>
      </c>
      <c r="F1827" s="148" t="str">
        <f t="shared" si="142"/>
        <v>2009-10</v>
      </c>
      <c r="G1827" s="1"/>
      <c r="H1827" s="163"/>
      <c r="I1827" s="37"/>
      <c r="J1827" s="138">
        <f t="shared" si="146"/>
        <v>0.77968490742404351</v>
      </c>
      <c r="K1827" s="114"/>
      <c r="L1827" s="37">
        <v>1.0451148262300001</v>
      </c>
      <c r="M1827" s="37" t="s">
        <v>142</v>
      </c>
      <c r="N1827" s="37">
        <v>1272.2340968780488</v>
      </c>
      <c r="O1827" s="132">
        <f t="shared" si="143"/>
        <v>1329.630717082583</v>
      </c>
      <c r="P1827" s="134">
        <f t="shared" si="144"/>
        <v>1036.6930025566983</v>
      </c>
      <c r="Q1827" s="261">
        <v>1</v>
      </c>
      <c r="R1827" s="94"/>
    </row>
    <row r="1828" spans="1:18" x14ac:dyDescent="0.25">
      <c r="A1828" s="367">
        <v>40299</v>
      </c>
      <c r="B1828" s="367" t="s">
        <v>279</v>
      </c>
      <c r="C1828" s="279" t="s">
        <v>297</v>
      </c>
      <c r="D1828" s="159" t="s">
        <v>1176</v>
      </c>
      <c r="E1828" s="45">
        <f t="shared" si="145"/>
        <v>40299</v>
      </c>
      <c r="F1828" s="148" t="str">
        <f t="shared" si="142"/>
        <v>2009-10</v>
      </c>
      <c r="G1828" s="1"/>
      <c r="H1828" s="163"/>
      <c r="I1828" s="37"/>
      <c r="J1828" s="138">
        <f t="shared" si="146"/>
        <v>0.77968490742404351</v>
      </c>
      <c r="K1828" s="114"/>
      <c r="L1828" s="37">
        <v>0.999761971671</v>
      </c>
      <c r="M1828" s="37" t="s">
        <v>142</v>
      </c>
      <c r="N1828" s="37">
        <v>1272.2340968780488</v>
      </c>
      <c r="O1828" s="132">
        <f t="shared" si="143"/>
        <v>1271.9312691218722</v>
      </c>
      <c r="P1828" s="134">
        <f t="shared" si="144"/>
        <v>991.70561381503308</v>
      </c>
      <c r="Q1828" s="261">
        <v>1</v>
      </c>
      <c r="R1828" s="94"/>
    </row>
    <row r="1829" spans="1:18" x14ac:dyDescent="0.25">
      <c r="A1829" s="367">
        <v>40299</v>
      </c>
      <c r="B1829" s="367" t="s">
        <v>279</v>
      </c>
      <c r="C1829" s="279" t="s">
        <v>297</v>
      </c>
      <c r="D1829" s="159" t="s">
        <v>1176</v>
      </c>
      <c r="E1829" s="45">
        <f t="shared" si="145"/>
        <v>40299</v>
      </c>
      <c r="F1829" s="148" t="str">
        <f t="shared" si="142"/>
        <v>2009-10</v>
      </c>
      <c r="G1829" s="1"/>
      <c r="H1829" s="163"/>
      <c r="I1829" s="37"/>
      <c r="J1829" s="138">
        <f t="shared" si="146"/>
        <v>0.77968490742404351</v>
      </c>
      <c r="K1829" s="114"/>
      <c r="L1829" s="37">
        <v>0.94906796384699998</v>
      </c>
      <c r="M1829" s="37" t="s">
        <v>142</v>
      </c>
      <c r="N1829" s="37">
        <v>1272.2340968780488</v>
      </c>
      <c r="O1829" s="132">
        <f t="shared" si="143"/>
        <v>1207.4366238607768</v>
      </c>
      <c r="P1829" s="134">
        <f t="shared" si="144"/>
        <v>941.42011229528941</v>
      </c>
      <c r="Q1829" s="261">
        <v>1</v>
      </c>
      <c r="R1829" s="94"/>
    </row>
    <row r="1830" spans="1:18" x14ac:dyDescent="0.25">
      <c r="A1830" s="367">
        <v>40299</v>
      </c>
      <c r="B1830" s="367" t="s">
        <v>279</v>
      </c>
      <c r="C1830" s="279" t="s">
        <v>297</v>
      </c>
      <c r="D1830" s="159" t="s">
        <v>1176</v>
      </c>
      <c r="E1830" s="45">
        <f t="shared" si="145"/>
        <v>40299</v>
      </c>
      <c r="F1830" s="148" t="str">
        <f t="shared" si="142"/>
        <v>2009-10</v>
      </c>
      <c r="G1830" s="1"/>
      <c r="H1830" s="163"/>
      <c r="I1830" s="37"/>
      <c r="J1830" s="138">
        <f t="shared" si="146"/>
        <v>0.77968490742404351</v>
      </c>
      <c r="K1830" s="114"/>
      <c r="L1830" s="37">
        <v>1.0060715680300001</v>
      </c>
      <c r="M1830" s="37" t="s">
        <v>142</v>
      </c>
      <c r="N1830" s="37">
        <v>1272.2340968780488</v>
      </c>
      <c r="O1830" s="132">
        <f t="shared" si="143"/>
        <v>1279.9585527473296</v>
      </c>
      <c r="P1830" s="134">
        <f t="shared" si="144"/>
        <v>997.96436570541437</v>
      </c>
      <c r="Q1830" s="261">
        <v>1</v>
      </c>
      <c r="R1830" s="94"/>
    </row>
    <row r="1831" spans="1:18" x14ac:dyDescent="0.25">
      <c r="A1831" s="367">
        <v>40299</v>
      </c>
      <c r="B1831" s="367" t="s">
        <v>279</v>
      </c>
      <c r="C1831" s="279" t="s">
        <v>297</v>
      </c>
      <c r="D1831" s="159" t="s">
        <v>1176</v>
      </c>
      <c r="E1831" s="45">
        <f t="shared" si="145"/>
        <v>40299</v>
      </c>
      <c r="F1831" s="148" t="str">
        <f t="shared" si="142"/>
        <v>2009-10</v>
      </c>
      <c r="G1831" s="1"/>
      <c r="H1831" s="163"/>
      <c r="I1831" s="37"/>
      <c r="J1831" s="138">
        <f t="shared" si="146"/>
        <v>0.77968490742404351</v>
      </c>
      <c r="K1831" s="114"/>
      <c r="L1831" s="37">
        <v>1.74533549783</v>
      </c>
      <c r="M1831" s="37" t="s">
        <v>142</v>
      </c>
      <c r="N1831" s="37">
        <v>1385.4167692682922</v>
      </c>
      <c r="O1831" s="132">
        <f t="shared" si="143"/>
        <v>2418.0170666929052</v>
      </c>
      <c r="P1831" s="134">
        <f t="shared" si="144"/>
        <v>1885.2914127942151</v>
      </c>
      <c r="Q1831" s="261">
        <v>1</v>
      </c>
      <c r="R1831" s="94"/>
    </row>
    <row r="1832" spans="1:18" x14ac:dyDescent="0.25">
      <c r="A1832" s="367">
        <v>39715</v>
      </c>
      <c r="B1832" s="367" t="s">
        <v>279</v>
      </c>
      <c r="C1832" s="279" t="s">
        <v>702</v>
      </c>
      <c r="D1832" s="159" t="s">
        <v>1177</v>
      </c>
      <c r="E1832" s="45">
        <f t="shared" si="145"/>
        <v>39715</v>
      </c>
      <c r="F1832" s="148" t="str">
        <f t="shared" si="142"/>
        <v>2008-09</v>
      </c>
      <c r="G1832" s="1"/>
      <c r="H1832" s="163"/>
      <c r="I1832" s="37"/>
      <c r="J1832" s="138">
        <f t="shared" si="146"/>
        <v>0.77968490742404351</v>
      </c>
      <c r="K1832" s="114"/>
      <c r="L1832" s="37">
        <v>270.04291156900001</v>
      </c>
      <c r="M1832" s="37" t="s">
        <v>142</v>
      </c>
      <c r="N1832" s="37">
        <v>1003.0093919999996</v>
      </c>
      <c r="O1832" s="132">
        <f t="shared" si="143"/>
        <v>270855.57654673234</v>
      </c>
      <c r="P1832" s="134">
        <f t="shared" si="144"/>
        <v>211182.00512512494</v>
      </c>
      <c r="Q1832" s="261">
        <v>1</v>
      </c>
      <c r="R1832" s="94"/>
    </row>
    <row r="1833" spans="1:18" x14ac:dyDescent="0.25">
      <c r="A1833" s="367">
        <v>39715</v>
      </c>
      <c r="B1833" s="367" t="s">
        <v>279</v>
      </c>
      <c r="C1833" s="279" t="s">
        <v>702</v>
      </c>
      <c r="D1833" s="159" t="s">
        <v>1177</v>
      </c>
      <c r="E1833" s="45">
        <f t="shared" si="145"/>
        <v>39715</v>
      </c>
      <c r="F1833" s="148" t="str">
        <f t="shared" si="142"/>
        <v>2008-09</v>
      </c>
      <c r="G1833" s="1"/>
      <c r="H1833" s="163"/>
      <c r="I1833" s="37"/>
      <c r="J1833" s="138">
        <f t="shared" si="146"/>
        <v>0.77968490742404351</v>
      </c>
      <c r="K1833" s="114"/>
      <c r="L1833" s="37">
        <v>174.998287148</v>
      </c>
      <c r="M1833" s="37" t="s">
        <v>142</v>
      </c>
      <c r="N1833" s="37">
        <v>1003.0093919999996</v>
      </c>
      <c r="O1833" s="132">
        <f t="shared" si="143"/>
        <v>175524.92559335683</v>
      </c>
      <c r="P1833" s="134">
        <f t="shared" si="144"/>
        <v>136854.13536186854</v>
      </c>
      <c r="Q1833" s="261">
        <v>1</v>
      </c>
      <c r="R1833" s="94"/>
    </row>
    <row r="1834" spans="1:18" x14ac:dyDescent="0.25">
      <c r="A1834" s="367">
        <v>39715</v>
      </c>
      <c r="B1834" s="367" t="s">
        <v>279</v>
      </c>
      <c r="C1834" s="279" t="s">
        <v>702</v>
      </c>
      <c r="D1834" s="159" t="s">
        <v>1177</v>
      </c>
      <c r="E1834" s="45">
        <f t="shared" si="145"/>
        <v>39715</v>
      </c>
      <c r="F1834" s="148" t="str">
        <f t="shared" si="142"/>
        <v>2008-09</v>
      </c>
      <c r="G1834" s="1"/>
      <c r="H1834" s="163"/>
      <c r="I1834" s="37"/>
      <c r="J1834" s="138">
        <f t="shared" si="146"/>
        <v>0.77968490742404351</v>
      </c>
      <c r="K1834" s="114"/>
      <c r="L1834" s="37">
        <v>2.6108376084999998</v>
      </c>
      <c r="M1834" s="37" t="s">
        <v>142</v>
      </c>
      <c r="N1834" s="37">
        <v>1003.0093919999996</v>
      </c>
      <c r="O1834" s="132">
        <f t="shared" si="143"/>
        <v>2618.6946423123177</v>
      </c>
      <c r="P1834" s="134">
        <f t="shared" si="144"/>
        <v>2041.7566897631182</v>
      </c>
      <c r="Q1834" s="261">
        <v>1</v>
      </c>
      <c r="R1834" s="94"/>
    </row>
    <row r="1835" spans="1:18" x14ac:dyDescent="0.25">
      <c r="A1835" s="367">
        <v>39715</v>
      </c>
      <c r="B1835" s="367" t="s">
        <v>279</v>
      </c>
      <c r="C1835" s="279" t="s">
        <v>702</v>
      </c>
      <c r="D1835" s="159" t="s">
        <v>1177</v>
      </c>
      <c r="E1835" s="45">
        <f t="shared" si="145"/>
        <v>39715</v>
      </c>
      <c r="F1835" s="148" t="str">
        <f t="shared" si="142"/>
        <v>2008-09</v>
      </c>
      <c r="G1835" s="1"/>
      <c r="H1835" s="163"/>
      <c r="I1835" s="37"/>
      <c r="J1835" s="138">
        <f t="shared" si="146"/>
        <v>0.77968490742404351</v>
      </c>
      <c r="K1835" s="114"/>
      <c r="L1835" s="37">
        <v>1.3123204639099999</v>
      </c>
      <c r="M1835" s="37" t="s">
        <v>142</v>
      </c>
      <c r="N1835" s="37">
        <v>696.6467060487804</v>
      </c>
      <c r="O1835" s="132">
        <f t="shared" si="143"/>
        <v>914.22372846330882</v>
      </c>
      <c r="P1835" s="134">
        <f t="shared" si="144"/>
        <v>712.80644309177887</v>
      </c>
      <c r="Q1835" s="261">
        <v>1</v>
      </c>
      <c r="R1835" s="94"/>
    </row>
    <row r="1836" spans="1:18" x14ac:dyDescent="0.25">
      <c r="A1836" s="367">
        <v>39715</v>
      </c>
      <c r="B1836" s="367" t="s">
        <v>279</v>
      </c>
      <c r="C1836" s="279" t="s">
        <v>702</v>
      </c>
      <c r="D1836" s="159" t="s">
        <v>1177</v>
      </c>
      <c r="E1836" s="45">
        <f t="shared" si="145"/>
        <v>39715</v>
      </c>
      <c r="F1836" s="148" t="str">
        <f t="shared" si="142"/>
        <v>2008-09</v>
      </c>
      <c r="G1836" s="1"/>
      <c r="H1836" s="163"/>
      <c r="I1836" s="37"/>
      <c r="J1836" s="138">
        <f t="shared" si="146"/>
        <v>0.77968490742404351</v>
      </c>
      <c r="K1836" s="114"/>
      <c r="L1836" s="37">
        <v>1.2060717225799999</v>
      </c>
      <c r="M1836" s="37" t="s">
        <v>142</v>
      </c>
      <c r="N1836" s="37">
        <v>696.6467060487804</v>
      </c>
      <c r="O1836" s="132">
        <f t="shared" si="143"/>
        <v>840.2058927939355</v>
      </c>
      <c r="P1836" s="134">
        <f t="shared" si="144"/>
        <v>655.09585374017547</v>
      </c>
      <c r="Q1836" s="261">
        <v>1</v>
      </c>
      <c r="R1836" s="94"/>
    </row>
    <row r="1837" spans="1:18" x14ac:dyDescent="0.25">
      <c r="A1837" s="367">
        <v>39715</v>
      </c>
      <c r="B1837" s="367" t="s">
        <v>279</v>
      </c>
      <c r="C1837" s="279" t="s">
        <v>702</v>
      </c>
      <c r="D1837" s="159" t="s">
        <v>1177</v>
      </c>
      <c r="E1837" s="45">
        <f t="shared" si="145"/>
        <v>39715</v>
      </c>
      <c r="F1837" s="148" t="str">
        <f t="shared" si="142"/>
        <v>2008-09</v>
      </c>
      <c r="G1837" s="1"/>
      <c r="H1837" s="163"/>
      <c r="I1837" s="37"/>
      <c r="J1837" s="138">
        <f t="shared" si="146"/>
        <v>0.77968490742404351</v>
      </c>
      <c r="K1837" s="114"/>
      <c r="L1837" s="37">
        <v>10.487865151199999</v>
      </c>
      <c r="M1837" s="37" t="s">
        <v>142</v>
      </c>
      <c r="N1837" s="37">
        <v>696.6467060487804</v>
      </c>
      <c r="O1837" s="132">
        <f t="shared" si="143"/>
        <v>7306.3367110672734</v>
      </c>
      <c r="P1837" s="134">
        <f t="shared" si="144"/>
        <v>5696.6404621773772</v>
      </c>
      <c r="Q1837" s="261">
        <v>1</v>
      </c>
      <c r="R1837" s="94"/>
    </row>
    <row r="1838" spans="1:18" x14ac:dyDescent="0.25">
      <c r="A1838" s="367">
        <v>39715</v>
      </c>
      <c r="B1838" s="367" t="s">
        <v>279</v>
      </c>
      <c r="C1838" s="279" t="s">
        <v>702</v>
      </c>
      <c r="D1838" s="159" t="s">
        <v>1177</v>
      </c>
      <c r="E1838" s="45">
        <f t="shared" si="145"/>
        <v>39715</v>
      </c>
      <c r="F1838" s="148" t="str">
        <f t="shared" si="142"/>
        <v>2008-09</v>
      </c>
      <c r="G1838" s="1"/>
      <c r="H1838" s="163"/>
      <c r="I1838" s="37"/>
      <c r="J1838" s="138">
        <f t="shared" si="146"/>
        <v>0.77968490742404351</v>
      </c>
      <c r="K1838" s="114"/>
      <c r="L1838" s="37">
        <v>3.32350570406</v>
      </c>
      <c r="M1838" s="37" t="s">
        <v>142</v>
      </c>
      <c r="N1838" s="37">
        <v>696.6467060487804</v>
      </c>
      <c r="O1838" s="132">
        <f t="shared" si="143"/>
        <v>2315.3093012677318</v>
      </c>
      <c r="P1838" s="134">
        <f t="shared" si="144"/>
        <v>1805.2117182169584</v>
      </c>
      <c r="Q1838" s="261">
        <v>1</v>
      </c>
      <c r="R1838" s="94"/>
    </row>
    <row r="1839" spans="1:18" x14ac:dyDescent="0.25">
      <c r="A1839" s="367">
        <v>39715</v>
      </c>
      <c r="B1839" s="367" t="s">
        <v>279</v>
      </c>
      <c r="C1839" s="279" t="s">
        <v>702</v>
      </c>
      <c r="D1839" s="159" t="s">
        <v>1177</v>
      </c>
      <c r="E1839" s="45">
        <f t="shared" si="145"/>
        <v>39715</v>
      </c>
      <c r="F1839" s="148" t="str">
        <f t="shared" si="142"/>
        <v>2008-09</v>
      </c>
      <c r="G1839" s="1"/>
      <c r="H1839" s="163"/>
      <c r="I1839" s="37"/>
      <c r="J1839" s="138">
        <f t="shared" si="146"/>
        <v>0.77968490742404351</v>
      </c>
      <c r="K1839" s="114"/>
      <c r="L1839" s="37">
        <v>3.131069884</v>
      </c>
      <c r="M1839" s="37" t="s">
        <v>142</v>
      </c>
      <c r="N1839" s="37">
        <v>771.6404230243902</v>
      </c>
      <c r="O1839" s="132">
        <f t="shared" si="143"/>
        <v>2416.0600898086882</v>
      </c>
      <c r="P1839" s="134">
        <f t="shared" si="144"/>
        <v>1883.7655874534132</v>
      </c>
      <c r="Q1839" s="261">
        <v>1</v>
      </c>
      <c r="R1839" s="94"/>
    </row>
    <row r="1840" spans="1:18" x14ac:dyDescent="0.25">
      <c r="A1840" s="367">
        <v>39715</v>
      </c>
      <c r="B1840" s="367" t="s">
        <v>279</v>
      </c>
      <c r="C1840" s="279" t="s">
        <v>702</v>
      </c>
      <c r="D1840" s="159" t="s">
        <v>1177</v>
      </c>
      <c r="E1840" s="45">
        <f t="shared" si="145"/>
        <v>39715</v>
      </c>
      <c r="F1840" s="148" t="str">
        <f t="shared" si="142"/>
        <v>2008-09</v>
      </c>
      <c r="G1840" s="1"/>
      <c r="H1840" s="163"/>
      <c r="I1840" s="37"/>
      <c r="J1840" s="138">
        <f t="shared" si="146"/>
        <v>0.77968490742404351</v>
      </c>
      <c r="K1840" s="114"/>
      <c r="L1840" s="37">
        <v>2.9470265554699999</v>
      </c>
      <c r="M1840" s="37" t="s">
        <v>142</v>
      </c>
      <c r="N1840" s="37">
        <v>696.6467060487804</v>
      </c>
      <c r="O1840" s="132">
        <f t="shared" si="143"/>
        <v>2053.0363425064588</v>
      </c>
      <c r="P1840" s="134">
        <f t="shared" si="144"/>
        <v>1600.7214506453452</v>
      </c>
      <c r="Q1840" s="261">
        <v>1</v>
      </c>
      <c r="R1840" s="94"/>
    </row>
    <row r="1841" spans="1:18" x14ac:dyDescent="0.25">
      <c r="A1841" s="367">
        <v>39589</v>
      </c>
      <c r="B1841" s="367" t="s">
        <v>279</v>
      </c>
      <c r="C1841" s="279" t="s">
        <v>703</v>
      </c>
      <c r="D1841" s="159" t="s">
        <v>1087</v>
      </c>
      <c r="E1841" s="45">
        <f t="shared" si="145"/>
        <v>39589</v>
      </c>
      <c r="F1841" s="148" t="str">
        <f t="shared" si="142"/>
        <v>2007-08</v>
      </c>
      <c r="G1841" s="1"/>
      <c r="H1841" s="163"/>
      <c r="I1841" s="37"/>
      <c r="J1841" s="138">
        <f t="shared" si="146"/>
        <v>0.77968490742404351</v>
      </c>
      <c r="K1841" s="114"/>
      <c r="L1841" s="37">
        <v>318.80635981900002</v>
      </c>
      <c r="M1841" s="37" t="s">
        <v>142</v>
      </c>
      <c r="N1841" s="37">
        <v>1003.0093919999996</v>
      </c>
      <c r="O1841" s="132">
        <f t="shared" si="143"/>
        <v>319765.77312778833</v>
      </c>
      <c r="P1841" s="134">
        <f t="shared" si="144"/>
        <v>249316.54721851734</v>
      </c>
      <c r="Q1841" s="261">
        <v>1</v>
      </c>
      <c r="R1841" s="94"/>
    </row>
    <row r="1842" spans="1:18" x14ac:dyDescent="0.25">
      <c r="A1842" s="367">
        <v>42472</v>
      </c>
      <c r="B1842" s="367" t="s">
        <v>279</v>
      </c>
      <c r="C1842" s="279" t="s">
        <v>583</v>
      </c>
      <c r="D1842" s="159" t="s">
        <v>1087</v>
      </c>
      <c r="E1842" s="45">
        <f t="shared" si="145"/>
        <v>42472</v>
      </c>
      <c r="F1842" s="148" t="str">
        <f t="shared" si="142"/>
        <v>2015-16</v>
      </c>
      <c r="G1842" s="1"/>
      <c r="H1842" s="163"/>
      <c r="I1842" s="37"/>
      <c r="J1842" s="138">
        <f t="shared" si="146"/>
        <v>0.77968490742404351</v>
      </c>
      <c r="K1842" s="114"/>
      <c r="L1842" s="37">
        <v>982.67119657700005</v>
      </c>
      <c r="M1842" s="37" t="s">
        <v>142</v>
      </c>
      <c r="N1842" s="37">
        <v>1385.4167692682922</v>
      </c>
      <c r="O1842" s="132">
        <f t="shared" si="143"/>
        <v>1361409.1544147143</v>
      </c>
      <c r="P1842" s="134">
        <f t="shared" si="144"/>
        <v>1061470.1705260819</v>
      </c>
      <c r="Q1842" s="261">
        <v>1</v>
      </c>
      <c r="R1842" s="94"/>
    </row>
    <row r="1843" spans="1:18" x14ac:dyDescent="0.25">
      <c r="A1843" s="367">
        <v>39589</v>
      </c>
      <c r="B1843" s="367" t="s">
        <v>279</v>
      </c>
      <c r="C1843" s="279" t="s">
        <v>703</v>
      </c>
      <c r="D1843" s="159" t="s">
        <v>1089</v>
      </c>
      <c r="E1843" s="45">
        <f t="shared" si="145"/>
        <v>39589</v>
      </c>
      <c r="F1843" s="148" t="str">
        <f t="shared" si="142"/>
        <v>2007-08</v>
      </c>
      <c r="G1843" s="1"/>
      <c r="H1843" s="163"/>
      <c r="I1843" s="37"/>
      <c r="J1843" s="138">
        <f t="shared" si="146"/>
        <v>0.77968490742404351</v>
      </c>
      <c r="K1843" s="114"/>
      <c r="L1843" s="37">
        <v>2.5995010460999999</v>
      </c>
      <c r="M1843" s="37" t="s">
        <v>142</v>
      </c>
      <c r="N1843" s="37">
        <v>1003.0093919999996</v>
      </c>
      <c r="O1843" s="132">
        <f t="shared" si="143"/>
        <v>2607.3239637521237</v>
      </c>
      <c r="P1843" s="134">
        <f t="shared" si="144"/>
        <v>2032.8911433025648</v>
      </c>
      <c r="Q1843" s="261">
        <v>1</v>
      </c>
      <c r="R1843" s="94"/>
    </row>
    <row r="1844" spans="1:18" x14ac:dyDescent="0.25">
      <c r="A1844" s="367">
        <v>39611</v>
      </c>
      <c r="B1844" s="367" t="s">
        <v>279</v>
      </c>
      <c r="C1844" s="279" t="s">
        <v>703</v>
      </c>
      <c r="D1844" s="159" t="s">
        <v>1089</v>
      </c>
      <c r="E1844" s="45">
        <f t="shared" si="145"/>
        <v>39611</v>
      </c>
      <c r="F1844" s="148" t="str">
        <f t="shared" si="142"/>
        <v>2007-08</v>
      </c>
      <c r="G1844" s="1"/>
      <c r="H1844" s="163"/>
      <c r="I1844" s="37"/>
      <c r="J1844" s="138">
        <f t="shared" si="146"/>
        <v>0.77968490742404351</v>
      </c>
      <c r="K1844" s="114"/>
      <c r="L1844" s="37">
        <v>305.98311166100001</v>
      </c>
      <c r="M1844" s="37" t="s">
        <v>142</v>
      </c>
      <c r="N1844" s="37">
        <v>1003.0093919999996</v>
      </c>
      <c r="O1844" s="132">
        <f t="shared" si="143"/>
        <v>306903.9347893676</v>
      </c>
      <c r="P1844" s="134">
        <f t="shared" si="144"/>
        <v>239288.36598432277</v>
      </c>
      <c r="Q1844" s="261">
        <v>1</v>
      </c>
      <c r="R1844" s="94"/>
    </row>
    <row r="1845" spans="1:18" x14ac:dyDescent="0.25">
      <c r="A1845" s="367">
        <v>42472</v>
      </c>
      <c r="B1845" s="367" t="s">
        <v>279</v>
      </c>
      <c r="C1845" s="279" t="s">
        <v>583</v>
      </c>
      <c r="D1845" s="159" t="s">
        <v>1089</v>
      </c>
      <c r="E1845" s="45">
        <f t="shared" si="145"/>
        <v>42472</v>
      </c>
      <c r="F1845" s="148" t="str">
        <f t="shared" si="142"/>
        <v>2015-16</v>
      </c>
      <c r="G1845" s="1"/>
      <c r="H1845" s="163"/>
      <c r="I1845" s="37"/>
      <c r="J1845" s="138">
        <f t="shared" si="146"/>
        <v>0.77968490742404351</v>
      </c>
      <c r="K1845" s="114"/>
      <c r="L1845" s="37">
        <v>129.35894904599999</v>
      </c>
      <c r="M1845" s="37" t="s">
        <v>142</v>
      </c>
      <c r="N1845" s="37">
        <v>1385.4167692682922</v>
      </c>
      <c r="O1845" s="132">
        <f t="shared" si="143"/>
        <v>179216.05726325093</v>
      </c>
      <c r="P1845" s="134">
        <f t="shared" si="144"/>
        <v>139732.05501619988</v>
      </c>
      <c r="Q1845" s="261">
        <v>1</v>
      </c>
      <c r="R1845" s="94"/>
    </row>
    <row r="1846" spans="1:18" x14ac:dyDescent="0.25">
      <c r="A1846" s="367">
        <v>42472</v>
      </c>
      <c r="B1846" s="367" t="s">
        <v>279</v>
      </c>
      <c r="C1846" s="279" t="s">
        <v>583</v>
      </c>
      <c r="D1846" s="159" t="s">
        <v>1089</v>
      </c>
      <c r="E1846" s="45">
        <f t="shared" si="145"/>
        <v>42472</v>
      </c>
      <c r="F1846" s="148" t="str">
        <f t="shared" si="142"/>
        <v>2015-16</v>
      </c>
      <c r="G1846" s="1"/>
      <c r="H1846" s="163"/>
      <c r="I1846" s="37"/>
      <c r="J1846" s="138">
        <f t="shared" si="146"/>
        <v>0.77968490742404351</v>
      </c>
      <c r="K1846" s="114"/>
      <c r="L1846" s="37">
        <v>15.717807259700001</v>
      </c>
      <c r="M1846" s="37" t="s">
        <v>142</v>
      </c>
      <c r="N1846" s="37">
        <v>1272.2340968780488</v>
      </c>
      <c r="O1846" s="132">
        <f t="shared" si="143"/>
        <v>19996.730323947671</v>
      </c>
      <c r="P1846" s="134">
        <f t="shared" si="144"/>
        <v>15591.148831410705</v>
      </c>
      <c r="Q1846" s="261">
        <v>1</v>
      </c>
      <c r="R1846" s="94"/>
    </row>
    <row r="1847" spans="1:18" x14ac:dyDescent="0.25">
      <c r="A1847" s="367">
        <v>42472</v>
      </c>
      <c r="B1847" s="367" t="s">
        <v>279</v>
      </c>
      <c r="C1847" s="279" t="s">
        <v>583</v>
      </c>
      <c r="D1847" s="159" t="s">
        <v>1089</v>
      </c>
      <c r="E1847" s="45">
        <f t="shared" si="145"/>
        <v>42472</v>
      </c>
      <c r="F1847" s="148" t="str">
        <f t="shared" si="142"/>
        <v>2015-16</v>
      </c>
      <c r="G1847" s="1"/>
      <c r="H1847" s="163"/>
      <c r="I1847" s="37"/>
      <c r="J1847" s="138">
        <f t="shared" si="146"/>
        <v>0.77968490742404351</v>
      </c>
      <c r="K1847" s="114"/>
      <c r="L1847" s="37">
        <v>2.7682630590900001</v>
      </c>
      <c r="M1847" s="37" t="s">
        <v>142</v>
      </c>
      <c r="N1847" s="37">
        <v>1385.4167692682922</v>
      </c>
      <c r="O1847" s="132">
        <f t="shared" si="143"/>
        <v>3835.1980638092277</v>
      </c>
      <c r="P1847" s="134">
        <f t="shared" si="144"/>
        <v>2990.2460473339688</v>
      </c>
      <c r="Q1847" s="261">
        <v>1</v>
      </c>
      <c r="R1847" s="94"/>
    </row>
    <row r="1848" spans="1:18" x14ac:dyDescent="0.25">
      <c r="A1848" s="367">
        <v>39611</v>
      </c>
      <c r="B1848" s="367" t="s">
        <v>279</v>
      </c>
      <c r="C1848" s="279" t="s">
        <v>703</v>
      </c>
      <c r="D1848" s="159" t="s">
        <v>1089</v>
      </c>
      <c r="E1848" s="45">
        <f t="shared" si="145"/>
        <v>39611</v>
      </c>
      <c r="F1848" s="148" t="str">
        <f t="shared" si="142"/>
        <v>2007-08</v>
      </c>
      <c r="G1848" s="1"/>
      <c r="H1848" s="163"/>
      <c r="I1848" s="37"/>
      <c r="J1848" s="138">
        <f t="shared" si="146"/>
        <v>0.77968490742404351</v>
      </c>
      <c r="K1848" s="114"/>
      <c r="L1848" s="37">
        <v>9.9932533391400007</v>
      </c>
      <c r="M1848" s="37" t="s">
        <v>142</v>
      </c>
      <c r="N1848" s="37">
        <v>696.6467060487804</v>
      </c>
      <c r="O1848" s="132">
        <f t="shared" si="143"/>
        <v>6961.7670214228574</v>
      </c>
      <c r="P1848" s="134">
        <f t="shared" si="144"/>
        <v>5427.9846756058396</v>
      </c>
      <c r="Q1848" s="261">
        <v>1</v>
      </c>
      <c r="R1848" s="94"/>
    </row>
    <row r="1849" spans="1:18" x14ac:dyDescent="0.25">
      <c r="A1849" s="367">
        <v>39611</v>
      </c>
      <c r="B1849" s="367" t="s">
        <v>279</v>
      </c>
      <c r="C1849" s="279" t="s">
        <v>703</v>
      </c>
      <c r="D1849" s="159" t="s">
        <v>1089</v>
      </c>
      <c r="E1849" s="45">
        <f t="shared" si="145"/>
        <v>39611</v>
      </c>
      <c r="F1849" s="148" t="str">
        <f t="shared" si="142"/>
        <v>2007-08</v>
      </c>
      <c r="G1849" s="1"/>
      <c r="H1849" s="163"/>
      <c r="I1849" s="37"/>
      <c r="J1849" s="138">
        <f t="shared" si="146"/>
        <v>0.77968490742404351</v>
      </c>
      <c r="K1849" s="114"/>
      <c r="L1849" s="37">
        <v>1.4555291134199999</v>
      </c>
      <c r="M1849" s="37" t="s">
        <v>142</v>
      </c>
      <c r="N1849" s="37">
        <v>1003.0093919999996</v>
      </c>
      <c r="O1849" s="132">
        <f t="shared" si="143"/>
        <v>1459.9093710896925</v>
      </c>
      <c r="P1849" s="134">
        <f t="shared" si="144"/>
        <v>1138.2693028455606</v>
      </c>
      <c r="Q1849" s="261">
        <v>1</v>
      </c>
      <c r="R1849" s="94"/>
    </row>
    <row r="1850" spans="1:18" x14ac:dyDescent="0.25">
      <c r="A1850" s="367">
        <v>39611</v>
      </c>
      <c r="B1850" s="367" t="s">
        <v>279</v>
      </c>
      <c r="C1850" s="279" t="s">
        <v>703</v>
      </c>
      <c r="D1850" s="159" t="s">
        <v>1089</v>
      </c>
      <c r="E1850" s="45">
        <f t="shared" si="145"/>
        <v>39611</v>
      </c>
      <c r="F1850" s="148" t="str">
        <f t="shared" si="142"/>
        <v>2007-08</v>
      </c>
      <c r="G1850" s="1"/>
      <c r="H1850" s="163"/>
      <c r="I1850" s="37"/>
      <c r="J1850" s="138">
        <f t="shared" si="146"/>
        <v>0.77968490742404351</v>
      </c>
      <c r="K1850" s="114"/>
      <c r="L1850" s="37">
        <v>1.29957916265</v>
      </c>
      <c r="M1850" s="37" t="s">
        <v>142</v>
      </c>
      <c r="N1850" s="37">
        <v>1003.0093919999996</v>
      </c>
      <c r="O1850" s="132">
        <f t="shared" si="143"/>
        <v>1303.4901057854449</v>
      </c>
      <c r="P1850" s="134">
        <f t="shared" si="144"/>
        <v>1016.3115624574813</v>
      </c>
      <c r="Q1850" s="261">
        <v>1</v>
      </c>
      <c r="R1850" s="94"/>
    </row>
    <row r="1851" spans="1:18" x14ac:dyDescent="0.25">
      <c r="A1851" s="367">
        <v>42136</v>
      </c>
      <c r="B1851" s="367" t="s">
        <v>279</v>
      </c>
      <c r="C1851" s="279" t="s">
        <v>597</v>
      </c>
      <c r="D1851" s="159" t="s">
        <v>1089</v>
      </c>
      <c r="E1851" s="45">
        <f t="shared" si="145"/>
        <v>42136</v>
      </c>
      <c r="F1851" s="148" t="str">
        <f t="shared" si="142"/>
        <v>2014-15</v>
      </c>
      <c r="G1851" s="1"/>
      <c r="H1851" s="163"/>
      <c r="I1851" s="37"/>
      <c r="J1851" s="138">
        <f t="shared" si="146"/>
        <v>0.77968490742404351</v>
      </c>
      <c r="K1851" s="114"/>
      <c r="L1851" s="37">
        <v>300.08071413200003</v>
      </c>
      <c r="M1851" s="37" t="s">
        <v>142</v>
      </c>
      <c r="N1851" s="37">
        <v>1003.0093919999996</v>
      </c>
      <c r="O1851" s="132">
        <f t="shared" si="143"/>
        <v>300983.77463246306</v>
      </c>
      <c r="P1851" s="134">
        <f t="shared" si="144"/>
        <v>234672.50646045114</v>
      </c>
      <c r="Q1851" s="261">
        <v>1</v>
      </c>
      <c r="R1851" s="94"/>
    </row>
    <row r="1852" spans="1:18" x14ac:dyDescent="0.25">
      <c r="A1852" s="367">
        <v>42136</v>
      </c>
      <c r="B1852" s="367" t="s">
        <v>279</v>
      </c>
      <c r="C1852" s="279" t="s">
        <v>597</v>
      </c>
      <c r="D1852" s="159" t="s">
        <v>1089</v>
      </c>
      <c r="E1852" s="45">
        <f t="shared" si="145"/>
        <v>42136</v>
      </c>
      <c r="F1852" s="148" t="str">
        <f t="shared" si="142"/>
        <v>2014-15</v>
      </c>
      <c r="G1852" s="1"/>
      <c r="H1852" s="163"/>
      <c r="I1852" s="37"/>
      <c r="J1852" s="138">
        <f t="shared" si="146"/>
        <v>0.77968490742404351</v>
      </c>
      <c r="K1852" s="114"/>
      <c r="L1852" s="37">
        <v>18.793667145800001</v>
      </c>
      <c r="M1852" s="37" t="s">
        <v>142</v>
      </c>
      <c r="N1852" s="37">
        <v>1003.0093919999996</v>
      </c>
      <c r="O1852" s="132">
        <f t="shared" si="143"/>
        <v>18850.224657359227</v>
      </c>
      <c r="P1852" s="134">
        <f t="shared" si="144"/>
        <v>14697.235666895551</v>
      </c>
      <c r="Q1852" s="261">
        <v>1</v>
      </c>
      <c r="R1852" s="94"/>
    </row>
    <row r="1853" spans="1:18" x14ac:dyDescent="0.25">
      <c r="A1853" s="367">
        <v>41487</v>
      </c>
      <c r="B1853" s="367" t="s">
        <v>279</v>
      </c>
      <c r="C1853" s="279" t="s">
        <v>704</v>
      </c>
      <c r="D1853" s="159" t="s">
        <v>1178</v>
      </c>
      <c r="E1853" s="45">
        <f t="shared" si="145"/>
        <v>41487</v>
      </c>
      <c r="F1853" s="148" t="str">
        <f t="shared" si="142"/>
        <v>2013-14</v>
      </c>
      <c r="G1853" s="1"/>
      <c r="H1853" s="163"/>
      <c r="I1853" s="37"/>
      <c r="J1853" s="138">
        <f t="shared" si="146"/>
        <v>0.77968490742404351</v>
      </c>
      <c r="K1853" s="114"/>
      <c r="L1853" s="37">
        <v>7.57029265145</v>
      </c>
      <c r="M1853" s="37" t="s">
        <v>142</v>
      </c>
      <c r="N1853" s="37">
        <v>1181.2618378536583</v>
      </c>
      <c r="O1853" s="132">
        <f t="shared" si="143"/>
        <v>8942.4978105418704</v>
      </c>
      <c r="P1853" s="134">
        <f t="shared" si="144"/>
        <v>6972.3305775520503</v>
      </c>
      <c r="Q1853" s="261">
        <v>1</v>
      </c>
      <c r="R1853" s="94"/>
    </row>
    <row r="1854" spans="1:18" x14ac:dyDescent="0.25">
      <c r="A1854" s="367">
        <v>41342</v>
      </c>
      <c r="B1854" s="367" t="s">
        <v>279</v>
      </c>
      <c r="C1854" s="279" t="s">
        <v>705</v>
      </c>
      <c r="D1854" s="159" t="s">
        <v>1089</v>
      </c>
      <c r="E1854" s="45">
        <f t="shared" si="145"/>
        <v>41342</v>
      </c>
      <c r="F1854" s="148" t="str">
        <f t="shared" si="142"/>
        <v>2012-13</v>
      </c>
      <c r="G1854" s="1"/>
      <c r="H1854" s="163"/>
      <c r="I1854" s="37"/>
      <c r="J1854" s="138">
        <f t="shared" si="146"/>
        <v>0.77968490742404351</v>
      </c>
      <c r="K1854" s="114"/>
      <c r="L1854" s="37">
        <v>32.491390611</v>
      </c>
      <c r="M1854" s="37" t="s">
        <v>142</v>
      </c>
      <c r="N1854" s="37">
        <v>1128.7084557073169</v>
      </c>
      <c r="O1854" s="132">
        <f t="shared" si="143"/>
        <v>36673.307320325024</v>
      </c>
      <c r="P1854" s="134">
        <f t="shared" si="144"/>
        <v>28593.624222981114</v>
      </c>
      <c r="Q1854" s="261">
        <v>1</v>
      </c>
      <c r="R1854" s="94"/>
    </row>
    <row r="1855" spans="1:18" x14ac:dyDescent="0.25">
      <c r="A1855" s="367">
        <v>41342</v>
      </c>
      <c r="B1855" s="367" t="s">
        <v>279</v>
      </c>
      <c r="C1855" s="279" t="s">
        <v>705</v>
      </c>
      <c r="D1855" s="159" t="s">
        <v>1089</v>
      </c>
      <c r="E1855" s="45">
        <f t="shared" si="145"/>
        <v>41342</v>
      </c>
      <c r="F1855" s="148" t="str">
        <f t="shared" si="142"/>
        <v>2012-13</v>
      </c>
      <c r="G1855" s="1"/>
      <c r="H1855" s="163"/>
      <c r="I1855" s="37"/>
      <c r="J1855" s="138">
        <f t="shared" si="146"/>
        <v>0.77968490742404351</v>
      </c>
      <c r="K1855" s="114"/>
      <c r="L1855" s="37">
        <v>29.5939390823</v>
      </c>
      <c r="M1855" s="37" t="s">
        <v>142</v>
      </c>
      <c r="N1855" s="37">
        <v>771.6404230243902</v>
      </c>
      <c r="O1855" s="132">
        <f t="shared" si="143"/>
        <v>22835.879672424006</v>
      </c>
      <c r="P1855" s="134">
        <f t="shared" si="144"/>
        <v>17804.790728340507</v>
      </c>
      <c r="Q1855" s="261">
        <v>1</v>
      </c>
      <c r="R1855" s="94"/>
    </row>
    <row r="1856" spans="1:18" x14ac:dyDescent="0.25">
      <c r="A1856" s="367">
        <v>42472</v>
      </c>
      <c r="B1856" s="367" t="s">
        <v>279</v>
      </c>
      <c r="C1856" s="279" t="s">
        <v>583</v>
      </c>
      <c r="D1856" s="159" t="s">
        <v>1089</v>
      </c>
      <c r="E1856" s="45">
        <f t="shared" si="145"/>
        <v>42472</v>
      </c>
      <c r="F1856" s="148" t="str">
        <f t="shared" si="142"/>
        <v>2015-16</v>
      </c>
      <c r="G1856" s="1"/>
      <c r="H1856" s="163"/>
      <c r="I1856" s="37"/>
      <c r="J1856" s="138">
        <f t="shared" si="146"/>
        <v>0.77968490742404351</v>
      </c>
      <c r="K1856" s="114"/>
      <c r="L1856" s="37">
        <v>23.824212484</v>
      </c>
      <c r="M1856" s="37" t="s">
        <v>142</v>
      </c>
      <c r="N1856" s="37">
        <v>1272.2340968780488</v>
      </c>
      <c r="O1856" s="132">
        <f t="shared" si="143"/>
        <v>30309.975453412477</v>
      </c>
      <c r="P1856" s="134">
        <f t="shared" si="144"/>
        <v>23632.230405418937</v>
      </c>
      <c r="Q1856" s="261">
        <v>1</v>
      </c>
      <c r="R1856" s="94"/>
    </row>
    <row r="1857" spans="1:18" x14ac:dyDescent="0.25">
      <c r="A1857" s="367">
        <v>41342</v>
      </c>
      <c r="B1857" s="367" t="s">
        <v>279</v>
      </c>
      <c r="C1857" s="279" t="s">
        <v>705</v>
      </c>
      <c r="D1857" s="159" t="s">
        <v>1089</v>
      </c>
      <c r="E1857" s="45">
        <f t="shared" si="145"/>
        <v>41342</v>
      </c>
      <c r="F1857" s="148" t="str">
        <f t="shared" si="142"/>
        <v>2012-13</v>
      </c>
      <c r="G1857" s="1"/>
      <c r="H1857" s="163"/>
      <c r="I1857" s="37"/>
      <c r="J1857" s="138">
        <f t="shared" si="146"/>
        <v>0.77968490742404351</v>
      </c>
      <c r="K1857" s="114"/>
      <c r="L1857" s="37">
        <v>52.788552670900003</v>
      </c>
      <c r="M1857" s="37" t="s">
        <v>142</v>
      </c>
      <c r="N1857" s="37">
        <v>771.6404230243902</v>
      </c>
      <c r="O1857" s="132">
        <f t="shared" si="143"/>
        <v>40733.781113818579</v>
      </c>
      <c r="P1857" s="134">
        <f t="shared" si="144"/>
        <v>31759.514356758889</v>
      </c>
      <c r="Q1857" s="261">
        <v>1</v>
      </c>
      <c r="R1857" s="94"/>
    </row>
    <row r="1858" spans="1:18" x14ac:dyDescent="0.25">
      <c r="A1858" s="367">
        <v>42472</v>
      </c>
      <c r="B1858" s="367" t="s">
        <v>279</v>
      </c>
      <c r="C1858" s="279" t="s">
        <v>583</v>
      </c>
      <c r="D1858" s="159" t="s">
        <v>1089</v>
      </c>
      <c r="E1858" s="45">
        <f t="shared" si="145"/>
        <v>42472</v>
      </c>
      <c r="F1858" s="148" t="str">
        <f t="shared" si="142"/>
        <v>2015-16</v>
      </c>
      <c r="G1858" s="1"/>
      <c r="H1858" s="163"/>
      <c r="I1858" s="37"/>
      <c r="J1858" s="138">
        <f t="shared" si="146"/>
        <v>0.77968490742404351</v>
      </c>
      <c r="K1858" s="114"/>
      <c r="L1858" s="37">
        <v>65.598787882699995</v>
      </c>
      <c r="M1858" s="37" t="s">
        <v>142</v>
      </c>
      <c r="N1858" s="37">
        <v>1272.2340968780488</v>
      </c>
      <c r="O1858" s="132">
        <f t="shared" si="143"/>
        <v>83457.014658241518</v>
      </c>
      <c r="P1858" s="134">
        <f t="shared" si="144"/>
        <v>65070.174747698082</v>
      </c>
      <c r="Q1858" s="261">
        <v>1</v>
      </c>
      <c r="R1858" s="94"/>
    </row>
    <row r="1859" spans="1:18" x14ac:dyDescent="0.25">
      <c r="A1859" s="367">
        <v>42472</v>
      </c>
      <c r="B1859" s="367" t="s">
        <v>279</v>
      </c>
      <c r="C1859" s="279" t="s">
        <v>583</v>
      </c>
      <c r="D1859" s="159" t="s">
        <v>1089</v>
      </c>
      <c r="E1859" s="45">
        <f t="shared" si="145"/>
        <v>42472</v>
      </c>
      <c r="F1859" s="148" t="str">
        <f t="shared" si="142"/>
        <v>2015-16</v>
      </c>
      <c r="G1859" s="1"/>
      <c r="H1859" s="163"/>
      <c r="I1859" s="37"/>
      <c r="J1859" s="138">
        <f t="shared" si="146"/>
        <v>0.77968490742404351</v>
      </c>
      <c r="K1859" s="114"/>
      <c r="L1859" s="37">
        <v>3.45500448625</v>
      </c>
      <c r="M1859" s="37" t="s">
        <v>142</v>
      </c>
      <c r="N1859" s="37">
        <v>936.5640883902438</v>
      </c>
      <c r="O1859" s="132">
        <f t="shared" si="143"/>
        <v>3235.8331270489339</v>
      </c>
      <c r="P1859" s="134">
        <f t="shared" si="144"/>
        <v>2522.9302521028012</v>
      </c>
      <c r="Q1859" s="261">
        <v>1</v>
      </c>
      <c r="R1859" s="94"/>
    </row>
    <row r="1860" spans="1:18" x14ac:dyDescent="0.25">
      <c r="A1860" s="367">
        <v>41342</v>
      </c>
      <c r="B1860" s="367" t="s">
        <v>279</v>
      </c>
      <c r="C1860" s="279" t="s">
        <v>705</v>
      </c>
      <c r="D1860" s="159" t="s">
        <v>1089</v>
      </c>
      <c r="E1860" s="45">
        <f t="shared" si="145"/>
        <v>41342</v>
      </c>
      <c r="F1860" s="148" t="str">
        <f t="shared" si="142"/>
        <v>2012-13</v>
      </c>
      <c r="G1860" s="1"/>
      <c r="H1860" s="163"/>
      <c r="I1860" s="37"/>
      <c r="J1860" s="138">
        <f t="shared" si="146"/>
        <v>0.77968490742404351</v>
      </c>
      <c r="K1860" s="114"/>
      <c r="L1860" s="37">
        <v>7.1059085125600001</v>
      </c>
      <c r="M1860" s="37" t="s">
        <v>142</v>
      </c>
      <c r="N1860" s="37">
        <v>771.6404230243902</v>
      </c>
      <c r="O1860" s="132">
        <f t="shared" si="143"/>
        <v>5483.206250604414</v>
      </c>
      <c r="P1860" s="134">
        <f t="shared" si="144"/>
        <v>4275.1731578894396</v>
      </c>
      <c r="Q1860" s="261">
        <v>1</v>
      </c>
      <c r="R1860" s="94"/>
    </row>
    <row r="1861" spans="1:18" x14ac:dyDescent="0.25">
      <c r="A1861" s="367">
        <v>41342</v>
      </c>
      <c r="B1861" s="367" t="s">
        <v>279</v>
      </c>
      <c r="C1861" s="279" t="s">
        <v>705</v>
      </c>
      <c r="D1861" s="159" t="s">
        <v>1089</v>
      </c>
      <c r="E1861" s="45">
        <f t="shared" si="145"/>
        <v>41342</v>
      </c>
      <c r="F1861" s="148" t="str">
        <f t="shared" si="142"/>
        <v>2012-13</v>
      </c>
      <c r="G1861" s="1"/>
      <c r="H1861" s="163"/>
      <c r="I1861" s="37"/>
      <c r="J1861" s="138">
        <f t="shared" si="146"/>
        <v>0.77968490742404351</v>
      </c>
      <c r="K1861" s="114"/>
      <c r="L1861" s="37">
        <v>2.9510086411300001</v>
      </c>
      <c r="M1861" s="37" t="s">
        <v>142</v>
      </c>
      <c r="N1861" s="37">
        <v>771.6404230243902</v>
      </c>
      <c r="O1861" s="132">
        <f t="shared" si="143"/>
        <v>2277.1175561901841</v>
      </c>
      <c r="P1861" s="134">
        <f t="shared" si="144"/>
        <v>1775.434190991808</v>
      </c>
      <c r="Q1861" s="261">
        <v>1</v>
      </c>
      <c r="R1861" s="94"/>
    </row>
    <row r="1862" spans="1:18" x14ac:dyDescent="0.25">
      <c r="A1862" s="367">
        <v>41342</v>
      </c>
      <c r="B1862" s="367" t="s">
        <v>279</v>
      </c>
      <c r="C1862" s="279" t="s">
        <v>705</v>
      </c>
      <c r="D1862" s="159" t="s">
        <v>1089</v>
      </c>
      <c r="E1862" s="45">
        <f t="shared" si="145"/>
        <v>41342</v>
      </c>
      <c r="F1862" s="148" t="str">
        <f t="shared" si="142"/>
        <v>2012-13</v>
      </c>
      <c r="G1862" s="1"/>
      <c r="H1862" s="163"/>
      <c r="I1862" s="37"/>
      <c r="J1862" s="138">
        <f t="shared" si="146"/>
        <v>0.77968490742404351</v>
      </c>
      <c r="K1862" s="114"/>
      <c r="L1862" s="37">
        <v>3.4992217706200002</v>
      </c>
      <c r="M1862" s="37" t="s">
        <v>142</v>
      </c>
      <c r="N1862" s="37">
        <v>771.6404230243902</v>
      </c>
      <c r="O1862" s="132">
        <f t="shared" si="143"/>
        <v>2700.1409673373728</v>
      </c>
      <c r="P1862" s="134">
        <f t="shared" si="144"/>
        <v>2105.2591601503068</v>
      </c>
      <c r="Q1862" s="261">
        <v>1</v>
      </c>
      <c r="R1862" s="94"/>
    </row>
    <row r="1863" spans="1:18" x14ac:dyDescent="0.25">
      <c r="A1863" s="367">
        <v>41342</v>
      </c>
      <c r="B1863" s="367" t="s">
        <v>279</v>
      </c>
      <c r="C1863" s="279" t="s">
        <v>705</v>
      </c>
      <c r="D1863" s="159" t="s">
        <v>1089</v>
      </c>
      <c r="E1863" s="45">
        <f t="shared" si="145"/>
        <v>41342</v>
      </c>
      <c r="F1863" s="148" t="str">
        <f t="shared" si="142"/>
        <v>2012-13</v>
      </c>
      <c r="G1863" s="1"/>
      <c r="H1863" s="163"/>
      <c r="I1863" s="37"/>
      <c r="J1863" s="138">
        <f t="shared" si="146"/>
        <v>0.77968490742404351</v>
      </c>
      <c r="K1863" s="114"/>
      <c r="L1863" s="37">
        <v>1.18412245988</v>
      </c>
      <c r="M1863" s="37" t="s">
        <v>142</v>
      </c>
      <c r="N1863" s="37">
        <v>771.6404230243902</v>
      </c>
      <c r="O1863" s="132">
        <f t="shared" si="143"/>
        <v>913.71675585448475</v>
      </c>
      <c r="P1863" s="134">
        <f t="shared" si="144"/>
        <v>712.41116420020126</v>
      </c>
      <c r="Q1863" s="261">
        <v>1</v>
      </c>
      <c r="R1863" s="94"/>
    </row>
    <row r="1864" spans="1:18" x14ac:dyDescent="0.25">
      <c r="A1864" s="367">
        <v>42472</v>
      </c>
      <c r="B1864" s="367" t="s">
        <v>279</v>
      </c>
      <c r="C1864" s="279" t="s">
        <v>583</v>
      </c>
      <c r="D1864" s="159" t="s">
        <v>1089</v>
      </c>
      <c r="E1864" s="45">
        <f t="shared" si="145"/>
        <v>42472</v>
      </c>
      <c r="F1864" s="148" t="str">
        <f t="shared" si="142"/>
        <v>2015-16</v>
      </c>
      <c r="G1864" s="1"/>
      <c r="H1864" s="163"/>
      <c r="I1864" s="37"/>
      <c r="J1864" s="138">
        <f t="shared" si="146"/>
        <v>0.77968490742404351</v>
      </c>
      <c r="K1864" s="114"/>
      <c r="L1864" s="37">
        <v>88.157471441799999</v>
      </c>
      <c r="M1864" s="37" t="s">
        <v>142</v>
      </c>
      <c r="N1864" s="37">
        <v>1272.2340968780488</v>
      </c>
      <c r="O1864" s="132">
        <f t="shared" si="143"/>
        <v>112156.9410628108</v>
      </c>
      <c r="P1864" s="134">
        <f t="shared" si="144"/>
        <v>87447.074209521539</v>
      </c>
      <c r="Q1864" s="261">
        <v>1</v>
      </c>
      <c r="R1864" s="94"/>
    </row>
    <row r="1865" spans="1:18" x14ac:dyDescent="0.25">
      <c r="A1865" s="367">
        <v>41781</v>
      </c>
      <c r="B1865" s="367" t="s">
        <v>279</v>
      </c>
      <c r="C1865" s="279" t="s">
        <v>682</v>
      </c>
      <c r="D1865" s="159" t="s">
        <v>1089</v>
      </c>
      <c r="E1865" s="45">
        <f t="shared" si="145"/>
        <v>41781</v>
      </c>
      <c r="F1865" s="148" t="str">
        <f t="shared" si="142"/>
        <v>2013-14</v>
      </c>
      <c r="G1865" s="1"/>
      <c r="H1865" s="163"/>
      <c r="I1865" s="37"/>
      <c r="J1865" s="138">
        <f t="shared" si="146"/>
        <v>0.77968490742404351</v>
      </c>
      <c r="K1865" s="114"/>
      <c r="L1865" s="37">
        <v>345.44709474400003</v>
      </c>
      <c r="M1865" s="37" t="s">
        <v>142</v>
      </c>
      <c r="N1865" s="37">
        <v>2679.5507189268287</v>
      </c>
      <c r="O1865" s="132">
        <f t="shared" si="143"/>
        <v>925643.01107246964</v>
      </c>
      <c r="P1865" s="134">
        <f t="shared" si="144"/>
        <v>721709.88539575133</v>
      </c>
      <c r="Q1865" s="261">
        <v>1</v>
      </c>
      <c r="R1865" s="94"/>
    </row>
    <row r="1866" spans="1:18" x14ac:dyDescent="0.25">
      <c r="A1866" s="367">
        <v>42384</v>
      </c>
      <c r="B1866" s="367" t="s">
        <v>279</v>
      </c>
      <c r="C1866" s="279" t="s">
        <v>583</v>
      </c>
      <c r="D1866" s="159" t="s">
        <v>1173</v>
      </c>
      <c r="E1866" s="45">
        <f t="shared" si="145"/>
        <v>42384</v>
      </c>
      <c r="F1866" s="148" t="str">
        <f t="shared" si="142"/>
        <v>2015-16</v>
      </c>
      <c r="G1866" s="1"/>
      <c r="H1866" s="163"/>
      <c r="I1866" s="37"/>
      <c r="J1866" s="138">
        <f t="shared" si="146"/>
        <v>0.77968490742404351</v>
      </c>
      <c r="K1866" s="114"/>
      <c r="L1866" s="37">
        <v>214.763606541</v>
      </c>
      <c r="M1866" s="37" t="s">
        <v>142</v>
      </c>
      <c r="N1866" s="37">
        <v>1385.4167692682922</v>
      </c>
      <c r="O1866" s="132">
        <f t="shared" si="143"/>
        <v>297537.10193043889</v>
      </c>
      <c r="P1866" s="134">
        <f t="shared" si="144"/>
        <v>231985.18777385243</v>
      </c>
      <c r="Q1866" s="261">
        <v>1</v>
      </c>
      <c r="R1866" s="94"/>
    </row>
    <row r="1867" spans="1:18" x14ac:dyDescent="0.25">
      <c r="A1867" s="367">
        <v>41781</v>
      </c>
      <c r="B1867" s="367" t="s">
        <v>279</v>
      </c>
      <c r="C1867" s="279" t="s">
        <v>682</v>
      </c>
      <c r="D1867" s="159" t="s">
        <v>1089</v>
      </c>
      <c r="E1867" s="45">
        <f t="shared" si="145"/>
        <v>41781</v>
      </c>
      <c r="F1867" s="148" t="str">
        <f t="shared" si="142"/>
        <v>2013-14</v>
      </c>
      <c r="G1867" s="1"/>
      <c r="H1867" s="163"/>
      <c r="I1867" s="37"/>
      <c r="J1867" s="138">
        <f t="shared" si="146"/>
        <v>0.77968490742404351</v>
      </c>
      <c r="K1867" s="114"/>
      <c r="L1867" s="37">
        <v>111.61995473899999</v>
      </c>
      <c r="M1867" s="37" t="s">
        <v>142</v>
      </c>
      <c r="N1867" s="37">
        <v>2679.5507189268287</v>
      </c>
      <c r="O1867" s="132">
        <f t="shared" si="143"/>
        <v>299091.32996746752</v>
      </c>
      <c r="P1867" s="134">
        <f t="shared" si="144"/>
        <v>233196.99591701897</v>
      </c>
      <c r="Q1867" s="261">
        <v>1</v>
      </c>
      <c r="R1867" s="94"/>
    </row>
    <row r="1868" spans="1:18" x14ac:dyDescent="0.25">
      <c r="A1868" s="367">
        <v>41781</v>
      </c>
      <c r="B1868" s="367" t="s">
        <v>279</v>
      </c>
      <c r="C1868" s="279" t="s">
        <v>682</v>
      </c>
      <c r="D1868" s="159" t="s">
        <v>1089</v>
      </c>
      <c r="E1868" s="45">
        <f t="shared" si="145"/>
        <v>41781</v>
      </c>
      <c r="F1868" s="148" t="str">
        <f t="shared" si="142"/>
        <v>2013-14</v>
      </c>
      <c r="G1868" s="1"/>
      <c r="H1868" s="163"/>
      <c r="I1868" s="37"/>
      <c r="J1868" s="138">
        <f t="shared" si="146"/>
        <v>0.77968490742404351</v>
      </c>
      <c r="K1868" s="114"/>
      <c r="L1868" s="37">
        <v>22.9270803418</v>
      </c>
      <c r="M1868" s="37" t="s">
        <v>142</v>
      </c>
      <c r="N1868" s="37">
        <v>1512.3336585365851</v>
      </c>
      <c r="O1868" s="132">
        <f t="shared" si="143"/>
        <v>34673.395292876616</v>
      </c>
      <c r="P1868" s="134">
        <f t="shared" si="144"/>
        <v>27034.322999003769</v>
      </c>
      <c r="Q1868" s="261">
        <v>1</v>
      </c>
      <c r="R1868" s="94"/>
    </row>
    <row r="1869" spans="1:18" x14ac:dyDescent="0.25">
      <c r="A1869" s="367">
        <v>41781</v>
      </c>
      <c r="B1869" s="367" t="s">
        <v>279</v>
      </c>
      <c r="C1869" s="279" t="s">
        <v>682</v>
      </c>
      <c r="D1869" s="159" t="s">
        <v>1089</v>
      </c>
      <c r="E1869" s="45">
        <f t="shared" si="145"/>
        <v>41781</v>
      </c>
      <c r="F1869" s="148" t="str">
        <f t="shared" si="142"/>
        <v>2013-14</v>
      </c>
      <c r="G1869" s="1"/>
      <c r="H1869" s="163"/>
      <c r="I1869" s="37"/>
      <c r="J1869" s="138">
        <f t="shared" si="146"/>
        <v>0.77968490742404351</v>
      </c>
      <c r="K1869" s="114"/>
      <c r="L1869" s="37">
        <v>10.0854378996</v>
      </c>
      <c r="M1869" s="37" t="s">
        <v>142</v>
      </c>
      <c r="N1869" s="37">
        <v>1422.8419512195119</v>
      </c>
      <c r="O1869" s="132">
        <f t="shared" si="143"/>
        <v>14349.98413997008</v>
      </c>
      <c r="P1869" s="134">
        <f t="shared" si="144"/>
        <v>11188.466055709065</v>
      </c>
      <c r="Q1869" s="261">
        <v>1</v>
      </c>
      <c r="R1869" s="94"/>
    </row>
    <row r="1870" spans="1:18" x14ac:dyDescent="0.25">
      <c r="A1870" s="367">
        <v>42384</v>
      </c>
      <c r="B1870" s="367" t="s">
        <v>279</v>
      </c>
      <c r="C1870" s="279" t="s">
        <v>583</v>
      </c>
      <c r="D1870" s="159" t="s">
        <v>1173</v>
      </c>
      <c r="E1870" s="45">
        <f t="shared" si="145"/>
        <v>42384</v>
      </c>
      <c r="F1870" s="148" t="str">
        <f t="shared" si="142"/>
        <v>2015-16</v>
      </c>
      <c r="G1870" s="1"/>
      <c r="H1870" s="163"/>
      <c r="I1870" s="37"/>
      <c r="J1870" s="138">
        <f t="shared" si="146"/>
        <v>0.77968490742404351</v>
      </c>
      <c r="K1870" s="114"/>
      <c r="L1870" s="37">
        <v>134.13305167499999</v>
      </c>
      <c r="M1870" s="37" t="s">
        <v>142</v>
      </c>
      <c r="N1870" s="37">
        <v>1385.4167692682922</v>
      </c>
      <c r="O1870" s="132">
        <f t="shared" si="143"/>
        <v>185830.17910367539</v>
      </c>
      <c r="P1870" s="134">
        <f t="shared" si="144"/>
        <v>144888.98599104257</v>
      </c>
      <c r="Q1870" s="261">
        <v>1</v>
      </c>
      <c r="R1870" s="94"/>
    </row>
    <row r="1871" spans="1:18" x14ac:dyDescent="0.25">
      <c r="A1871" s="367">
        <v>42384</v>
      </c>
      <c r="B1871" s="367" t="s">
        <v>279</v>
      </c>
      <c r="C1871" s="279" t="s">
        <v>583</v>
      </c>
      <c r="D1871" s="159" t="s">
        <v>1173</v>
      </c>
      <c r="E1871" s="45">
        <f t="shared" si="145"/>
        <v>42384</v>
      </c>
      <c r="F1871" s="148" t="str">
        <f t="shared" si="142"/>
        <v>2015-16</v>
      </c>
      <c r="G1871" s="1"/>
      <c r="H1871" s="163"/>
      <c r="I1871" s="37"/>
      <c r="J1871" s="138">
        <f t="shared" si="146"/>
        <v>0.77968490742404351</v>
      </c>
      <c r="K1871" s="114"/>
      <c r="L1871" s="37">
        <v>309.83980049299998</v>
      </c>
      <c r="M1871" s="37" t="s">
        <v>142</v>
      </c>
      <c r="N1871" s="37">
        <v>1385.4167692682922</v>
      </c>
      <c r="O1871" s="132">
        <f t="shared" si="143"/>
        <v>429257.25538974424</v>
      </c>
      <c r="P1871" s="134">
        <f t="shared" si="144"/>
        <v>334685.40342965175</v>
      </c>
      <c r="Q1871" s="261">
        <v>1</v>
      </c>
      <c r="R1871" s="94"/>
    </row>
    <row r="1872" spans="1:18" x14ac:dyDescent="0.25">
      <c r="A1872" s="367">
        <v>42384</v>
      </c>
      <c r="B1872" s="367" t="s">
        <v>279</v>
      </c>
      <c r="C1872" s="279" t="s">
        <v>583</v>
      </c>
      <c r="D1872" s="159" t="s">
        <v>1089</v>
      </c>
      <c r="E1872" s="45">
        <f t="shared" si="145"/>
        <v>42384</v>
      </c>
      <c r="F1872" s="148" t="str">
        <f t="shared" si="142"/>
        <v>2015-16</v>
      </c>
      <c r="G1872" s="1"/>
      <c r="H1872" s="163"/>
      <c r="I1872" s="37"/>
      <c r="J1872" s="138">
        <f t="shared" si="146"/>
        <v>0.77968490742404351</v>
      </c>
      <c r="K1872" s="114"/>
      <c r="L1872" s="37">
        <v>1.91232366553</v>
      </c>
      <c r="M1872" s="37" t="s">
        <v>142</v>
      </c>
      <c r="N1872" s="37">
        <v>1385.4167692682922</v>
      </c>
      <c r="O1872" s="132">
        <f t="shared" si="143"/>
        <v>2649.3652744938709</v>
      </c>
      <c r="P1872" s="134">
        <f t="shared" si="144"/>
        <v>2065.6701187762292</v>
      </c>
      <c r="Q1872" s="261">
        <v>1</v>
      </c>
      <c r="R1872" s="94"/>
    </row>
    <row r="1873" spans="1:18" x14ac:dyDescent="0.25">
      <c r="A1873" s="367">
        <v>42384</v>
      </c>
      <c r="B1873" s="367" t="s">
        <v>279</v>
      </c>
      <c r="C1873" s="279" t="s">
        <v>583</v>
      </c>
      <c r="D1873" s="159" t="s">
        <v>1089</v>
      </c>
      <c r="E1873" s="45">
        <f t="shared" si="145"/>
        <v>42384</v>
      </c>
      <c r="F1873" s="148" t="str">
        <f t="shared" si="142"/>
        <v>2015-16</v>
      </c>
      <c r="G1873" s="1"/>
      <c r="H1873" s="163"/>
      <c r="I1873" s="37"/>
      <c r="J1873" s="138">
        <f t="shared" si="146"/>
        <v>0.77968490742404351</v>
      </c>
      <c r="K1873" s="114"/>
      <c r="L1873" s="37">
        <v>70.428312898499996</v>
      </c>
      <c r="M1873" s="37" t="s">
        <v>142</v>
      </c>
      <c r="N1873" s="37">
        <v>1385.4167692682922</v>
      </c>
      <c r="O1873" s="132">
        <f t="shared" si="143"/>
        <v>97572.565720856262</v>
      </c>
      <c r="P1873" s="134">
        <f t="shared" si="144"/>
        <v>76075.856871192213</v>
      </c>
      <c r="Q1873" s="261">
        <v>1</v>
      </c>
      <c r="R1873" s="94"/>
    </row>
    <row r="1874" spans="1:18" x14ac:dyDescent="0.25">
      <c r="A1874" s="367">
        <v>42384</v>
      </c>
      <c r="B1874" s="367" t="s">
        <v>279</v>
      </c>
      <c r="C1874" s="279" t="s">
        <v>583</v>
      </c>
      <c r="D1874" s="159" t="s">
        <v>1089</v>
      </c>
      <c r="E1874" s="45">
        <f t="shared" si="145"/>
        <v>42384</v>
      </c>
      <c r="F1874" s="148" t="str">
        <f t="shared" ref="F1874:F1937" si="147">IF(E1874="","-",IF(OR(E1874&lt;$E$15,E1874&gt;$E$16),"ERROR - date outside of range",IF(MONTH(E1874)&gt;=7,YEAR(E1874)&amp;"-"&amp;IF(YEAR(E1874)=1999,"00",IF(AND(YEAR(E1874)&gt;=2000,YEAR(E1874)&lt;2009),"0","")&amp;RIGHT(YEAR(E1874),2)+1),RIGHT(YEAR(E1874),4)-1&amp;"-"&amp;RIGHT(YEAR(E1874),2))))</f>
        <v>2015-16</v>
      </c>
      <c r="G1874" s="1"/>
      <c r="H1874" s="163"/>
      <c r="I1874" s="37"/>
      <c r="J1874" s="138">
        <f t="shared" si="146"/>
        <v>0.77968490742404351</v>
      </c>
      <c r="K1874" s="114"/>
      <c r="L1874" s="37">
        <v>79.162275969000007</v>
      </c>
      <c r="M1874" s="37" t="s">
        <v>142</v>
      </c>
      <c r="N1874" s="37">
        <v>936.5640883902438</v>
      </c>
      <c r="O1874" s="132">
        <f t="shared" ref="O1874:O1937" si="148">IF(N1874="","-",L1874*N1874)</f>
        <v>74140.544827803387</v>
      </c>
      <c r="P1874" s="134">
        <f t="shared" ref="P1874:P1937" si="149">IF(O1874="-","-",IF(OR(E1874&lt;$E$15,E1874&gt;$E$16),0,O1874*J1874))*Q1874</f>
        <v>57806.263830434029</v>
      </c>
      <c r="Q1874" s="261">
        <v>1</v>
      </c>
      <c r="R1874" s="94"/>
    </row>
    <row r="1875" spans="1:18" x14ac:dyDescent="0.25">
      <c r="A1875" s="367">
        <v>41526</v>
      </c>
      <c r="B1875" s="367" t="s">
        <v>279</v>
      </c>
      <c r="C1875" s="279" t="s">
        <v>706</v>
      </c>
      <c r="D1875" s="159" t="s">
        <v>1173</v>
      </c>
      <c r="E1875" s="45">
        <f t="shared" si="145"/>
        <v>41526</v>
      </c>
      <c r="F1875" s="148" t="str">
        <f t="shared" si="147"/>
        <v>2013-14</v>
      </c>
      <c r="G1875" s="1"/>
      <c r="H1875" s="163"/>
      <c r="I1875" s="37"/>
      <c r="J1875" s="138">
        <f t="shared" si="146"/>
        <v>0.77968490742404351</v>
      </c>
      <c r="K1875" s="114"/>
      <c r="L1875" s="37">
        <v>70.979163484799997</v>
      </c>
      <c r="M1875" s="37" t="s">
        <v>142</v>
      </c>
      <c r="N1875" s="37">
        <v>696.6467060487804</v>
      </c>
      <c r="O1875" s="132">
        <f t="shared" si="148"/>
        <v>49447.400439783793</v>
      </c>
      <c r="P1875" s="134">
        <f t="shared" si="149"/>
        <v>38553.391834252434</v>
      </c>
      <c r="Q1875" s="261">
        <v>1</v>
      </c>
      <c r="R1875" s="94"/>
    </row>
    <row r="1876" spans="1:18" x14ac:dyDescent="0.25">
      <c r="A1876" s="367">
        <v>39328</v>
      </c>
      <c r="B1876" s="367" t="s">
        <v>279</v>
      </c>
      <c r="C1876" s="279" t="s">
        <v>707</v>
      </c>
      <c r="D1876" s="159" t="s">
        <v>1179</v>
      </c>
      <c r="E1876" s="45">
        <f t="shared" si="145"/>
        <v>39328</v>
      </c>
      <c r="F1876" s="148" t="str">
        <f t="shared" si="147"/>
        <v>2007-08</v>
      </c>
      <c r="G1876" s="1"/>
      <c r="H1876" s="163"/>
      <c r="I1876" s="37"/>
      <c r="J1876" s="138">
        <f t="shared" si="146"/>
        <v>0.77968490742404351</v>
      </c>
      <c r="K1876" s="114"/>
      <c r="L1876" s="37">
        <v>2.0003049767499999</v>
      </c>
      <c r="M1876" s="37" t="s">
        <v>142</v>
      </c>
      <c r="N1876" s="37">
        <v>771.6404230243902</v>
      </c>
      <c r="O1876" s="132">
        <f t="shared" si="148"/>
        <v>1543.5161784371628</v>
      </c>
      <c r="P1876" s="134">
        <f t="shared" si="149"/>
        <v>1102.1465661879215</v>
      </c>
      <c r="Q1876" s="261">
        <v>0.91581771175245363</v>
      </c>
      <c r="R1876" s="94"/>
    </row>
    <row r="1877" spans="1:18" x14ac:dyDescent="0.25">
      <c r="A1877" s="367">
        <v>39506</v>
      </c>
      <c r="B1877" s="367" t="s">
        <v>279</v>
      </c>
      <c r="C1877" s="279" t="s">
        <v>708</v>
      </c>
      <c r="D1877" s="159" t="s">
        <v>1173</v>
      </c>
      <c r="E1877" s="45">
        <f t="shared" si="145"/>
        <v>39506</v>
      </c>
      <c r="F1877" s="148" t="str">
        <f t="shared" si="147"/>
        <v>2007-08</v>
      </c>
      <c r="G1877" s="1"/>
      <c r="H1877" s="163"/>
      <c r="I1877" s="37"/>
      <c r="J1877" s="138">
        <f t="shared" si="146"/>
        <v>0.77968490742404351</v>
      </c>
      <c r="K1877" s="114"/>
      <c r="L1877" s="37">
        <v>286.89907214300001</v>
      </c>
      <c r="M1877" s="37" t="s">
        <v>142</v>
      </c>
      <c r="N1877" s="37">
        <v>1128.7073170731705</v>
      </c>
      <c r="O1877" s="132">
        <f t="shared" si="148"/>
        <v>323825.08198930754</v>
      </c>
      <c r="P1877" s="134">
        <f t="shared" si="149"/>
        <v>252481.52907241654</v>
      </c>
      <c r="Q1877" s="261">
        <v>1</v>
      </c>
      <c r="R1877" s="94"/>
    </row>
    <row r="1878" spans="1:18" x14ac:dyDescent="0.25">
      <c r="A1878" s="367">
        <v>39506</v>
      </c>
      <c r="B1878" s="367" t="s">
        <v>279</v>
      </c>
      <c r="C1878" s="279" t="s">
        <v>708</v>
      </c>
      <c r="D1878" s="159" t="s">
        <v>1173</v>
      </c>
      <c r="E1878" s="45">
        <f t="shared" si="145"/>
        <v>39506</v>
      </c>
      <c r="F1878" s="148" t="str">
        <f t="shared" si="147"/>
        <v>2007-08</v>
      </c>
      <c r="G1878" s="1"/>
      <c r="H1878" s="163"/>
      <c r="I1878" s="37"/>
      <c r="J1878" s="138">
        <f t="shared" si="146"/>
        <v>0.77968490742404351</v>
      </c>
      <c r="K1878" s="114"/>
      <c r="L1878" s="37">
        <v>314.52397835699998</v>
      </c>
      <c r="M1878" s="37" t="s">
        <v>142</v>
      </c>
      <c r="N1878" s="37">
        <v>1128.7073170731705</v>
      </c>
      <c r="O1878" s="132">
        <f t="shared" si="148"/>
        <v>355005.5157665094</v>
      </c>
      <c r="P1878" s="134">
        <f t="shared" si="149"/>
        <v>276792.44269543572</v>
      </c>
      <c r="Q1878" s="261">
        <v>1</v>
      </c>
      <c r="R1878" s="94"/>
    </row>
    <row r="1879" spans="1:18" x14ac:dyDescent="0.25">
      <c r="A1879" s="367">
        <v>39506</v>
      </c>
      <c r="B1879" s="367" t="s">
        <v>279</v>
      </c>
      <c r="C1879" s="279" t="s">
        <v>708</v>
      </c>
      <c r="D1879" s="159" t="s">
        <v>1173</v>
      </c>
      <c r="E1879" s="45">
        <f t="shared" ref="E1879:E1942" si="150">IF(A1879&lt;2022,DATEVALUE("30 Jun "&amp;A1879),A1879)</f>
        <v>39506</v>
      </c>
      <c r="F1879" s="148" t="str">
        <f t="shared" si="147"/>
        <v>2007-08</v>
      </c>
      <c r="G1879" s="1"/>
      <c r="H1879" s="163"/>
      <c r="I1879" s="37"/>
      <c r="J1879" s="138">
        <f t="shared" si="146"/>
        <v>0.77968490742404351</v>
      </c>
      <c r="K1879" s="114"/>
      <c r="L1879" s="37">
        <v>20.4562926778</v>
      </c>
      <c r="M1879" s="37" t="s">
        <v>142</v>
      </c>
      <c r="N1879" s="37">
        <v>696.6467060487804</v>
      </c>
      <c r="O1879" s="132">
        <f t="shared" si="148"/>
        <v>14250.808911959155</v>
      </c>
      <c r="P1879" s="134">
        <f t="shared" si="149"/>
        <v>11111.140627238608</v>
      </c>
      <c r="Q1879" s="261">
        <v>1</v>
      </c>
      <c r="R1879" s="94"/>
    </row>
    <row r="1880" spans="1:18" x14ac:dyDescent="0.25">
      <c r="A1880" s="367">
        <v>39506</v>
      </c>
      <c r="B1880" s="367" t="s">
        <v>279</v>
      </c>
      <c r="C1880" s="279" t="s">
        <v>708</v>
      </c>
      <c r="D1880" s="159" t="s">
        <v>1173</v>
      </c>
      <c r="E1880" s="45">
        <f t="shared" si="150"/>
        <v>39506</v>
      </c>
      <c r="F1880" s="148" t="str">
        <f t="shared" si="147"/>
        <v>2007-08</v>
      </c>
      <c r="G1880" s="1"/>
      <c r="H1880" s="163"/>
      <c r="I1880" s="37"/>
      <c r="J1880" s="138">
        <f t="shared" ref="J1880:J1943" si="151">J1879</f>
        <v>0.77968490742404351</v>
      </c>
      <c r="K1880" s="114"/>
      <c r="L1880" s="37">
        <v>4.7984776397399997</v>
      </c>
      <c r="M1880" s="37" t="s">
        <v>142</v>
      </c>
      <c r="N1880" s="37">
        <v>1128.7073170731705</v>
      </c>
      <c r="O1880" s="132">
        <f t="shared" si="148"/>
        <v>5416.0768227865346</v>
      </c>
      <c r="P1880" s="134">
        <f t="shared" si="149"/>
        <v>4222.8333561758272</v>
      </c>
      <c r="Q1880" s="261">
        <v>1</v>
      </c>
      <c r="R1880" s="94"/>
    </row>
    <row r="1881" spans="1:18" x14ac:dyDescent="0.25">
      <c r="A1881" s="367">
        <v>39715</v>
      </c>
      <c r="B1881" s="367" t="s">
        <v>279</v>
      </c>
      <c r="C1881" s="279" t="s">
        <v>702</v>
      </c>
      <c r="D1881" s="159" t="s">
        <v>1173</v>
      </c>
      <c r="E1881" s="45">
        <f t="shared" si="150"/>
        <v>39715</v>
      </c>
      <c r="F1881" s="148" t="str">
        <f t="shared" si="147"/>
        <v>2008-09</v>
      </c>
      <c r="G1881" s="1"/>
      <c r="H1881" s="163"/>
      <c r="I1881" s="37"/>
      <c r="J1881" s="138">
        <f t="shared" si="151"/>
        <v>0.77968490742404351</v>
      </c>
      <c r="K1881" s="114"/>
      <c r="L1881" s="37">
        <v>2.6457230817599999</v>
      </c>
      <c r="M1881" s="37" t="s">
        <v>142</v>
      </c>
      <c r="N1881" s="37">
        <v>771.6404230243902</v>
      </c>
      <c r="O1881" s="132">
        <f t="shared" si="148"/>
        <v>2041.5468780146796</v>
      </c>
      <c r="P1881" s="134">
        <f t="shared" si="149"/>
        <v>1591.7632885867206</v>
      </c>
      <c r="Q1881" s="261">
        <v>1</v>
      </c>
      <c r="R1881" s="94"/>
    </row>
    <row r="1882" spans="1:18" x14ac:dyDescent="0.25">
      <c r="A1882" s="367">
        <v>39715</v>
      </c>
      <c r="B1882" s="367" t="s">
        <v>279</v>
      </c>
      <c r="C1882" s="279" t="s">
        <v>702</v>
      </c>
      <c r="D1882" s="159" t="s">
        <v>1173</v>
      </c>
      <c r="E1882" s="45">
        <f t="shared" si="150"/>
        <v>39715</v>
      </c>
      <c r="F1882" s="148" t="str">
        <f t="shared" si="147"/>
        <v>2008-09</v>
      </c>
      <c r="G1882" s="1"/>
      <c r="H1882" s="163"/>
      <c r="I1882" s="37"/>
      <c r="J1882" s="138">
        <f t="shared" si="151"/>
        <v>0.77968490742404351</v>
      </c>
      <c r="K1882" s="114"/>
      <c r="L1882" s="37">
        <v>4.0666070233799996</v>
      </c>
      <c r="M1882" s="37" t="s">
        <v>142</v>
      </c>
      <c r="N1882" s="37">
        <v>696.6467060487804</v>
      </c>
      <c r="O1882" s="132">
        <f t="shared" si="148"/>
        <v>2832.9883876325125</v>
      </c>
      <c r="P1882" s="134">
        <f t="shared" si="149"/>
        <v>2208.838288744646</v>
      </c>
      <c r="Q1882" s="261">
        <v>1</v>
      </c>
      <c r="R1882" s="94"/>
    </row>
    <row r="1883" spans="1:18" x14ac:dyDescent="0.25">
      <c r="A1883" s="367">
        <v>39715</v>
      </c>
      <c r="B1883" s="367" t="s">
        <v>279</v>
      </c>
      <c r="C1883" s="279" t="s">
        <v>702</v>
      </c>
      <c r="D1883" s="159" t="s">
        <v>1173</v>
      </c>
      <c r="E1883" s="45">
        <f t="shared" si="150"/>
        <v>39715</v>
      </c>
      <c r="F1883" s="148" t="str">
        <f t="shared" si="147"/>
        <v>2008-09</v>
      </c>
      <c r="G1883" s="1"/>
      <c r="H1883" s="163"/>
      <c r="I1883" s="37"/>
      <c r="J1883" s="138">
        <f t="shared" si="151"/>
        <v>0.77968490742404351</v>
      </c>
      <c r="K1883" s="114"/>
      <c r="L1883" s="37">
        <v>215.080655498</v>
      </c>
      <c r="M1883" s="37" t="s">
        <v>142</v>
      </c>
      <c r="N1883" s="37">
        <v>1003.0093919999996</v>
      </c>
      <c r="O1883" s="132">
        <f t="shared" si="148"/>
        <v>215727.91750201036</v>
      </c>
      <c r="P1883" s="134">
        <f t="shared" si="149"/>
        <v>168199.80138633665</v>
      </c>
      <c r="Q1883" s="261">
        <v>1</v>
      </c>
      <c r="R1883" s="94"/>
    </row>
    <row r="1884" spans="1:18" x14ac:dyDescent="0.25">
      <c r="A1884" s="367">
        <v>39715</v>
      </c>
      <c r="B1884" s="367" t="s">
        <v>279</v>
      </c>
      <c r="C1884" s="279" t="s">
        <v>702</v>
      </c>
      <c r="D1884" s="159" t="s">
        <v>1173</v>
      </c>
      <c r="E1884" s="45">
        <f t="shared" si="150"/>
        <v>39715</v>
      </c>
      <c r="F1884" s="148" t="str">
        <f t="shared" si="147"/>
        <v>2008-09</v>
      </c>
      <c r="G1884" s="1"/>
      <c r="H1884" s="163"/>
      <c r="I1884" s="37"/>
      <c r="J1884" s="138">
        <f t="shared" si="151"/>
        <v>0.77968490742404351</v>
      </c>
      <c r="K1884" s="114"/>
      <c r="L1884" s="37">
        <v>0.46624457101400002</v>
      </c>
      <c r="M1884" s="37" t="s">
        <v>142</v>
      </c>
      <c r="N1884" s="37">
        <v>696.6467060487804</v>
      </c>
      <c r="O1884" s="132">
        <f t="shared" si="148"/>
        <v>324.80774461002977</v>
      </c>
      <c r="P1884" s="134">
        <f t="shared" si="149"/>
        <v>253.24769628688344</v>
      </c>
      <c r="Q1884" s="261">
        <v>1</v>
      </c>
      <c r="R1884" s="94"/>
    </row>
    <row r="1885" spans="1:18" x14ac:dyDescent="0.25">
      <c r="A1885" s="367">
        <v>39715</v>
      </c>
      <c r="B1885" s="367" t="s">
        <v>279</v>
      </c>
      <c r="C1885" s="279" t="s">
        <v>702</v>
      </c>
      <c r="D1885" s="159" t="s">
        <v>1173</v>
      </c>
      <c r="E1885" s="45">
        <f t="shared" si="150"/>
        <v>39715</v>
      </c>
      <c r="F1885" s="148" t="str">
        <f t="shared" si="147"/>
        <v>2008-09</v>
      </c>
      <c r="G1885" s="1"/>
      <c r="H1885" s="163"/>
      <c r="I1885" s="37"/>
      <c r="J1885" s="138">
        <f t="shared" si="151"/>
        <v>0.77968490742404351</v>
      </c>
      <c r="K1885" s="114"/>
      <c r="L1885" s="37">
        <v>1.26449515618</v>
      </c>
      <c r="M1885" s="37" t="s">
        <v>142</v>
      </c>
      <c r="N1885" s="37">
        <v>696.6467060487804</v>
      </c>
      <c r="O1885" s="132">
        <f t="shared" si="148"/>
        <v>880.90638536743506</v>
      </c>
      <c r="P1885" s="134">
        <f t="shared" si="149"/>
        <v>686.82941352445744</v>
      </c>
      <c r="Q1885" s="261">
        <v>1</v>
      </c>
      <c r="R1885" s="94"/>
    </row>
    <row r="1886" spans="1:18" x14ac:dyDescent="0.25">
      <c r="A1886" s="367">
        <v>39199</v>
      </c>
      <c r="B1886" s="367" t="s">
        <v>279</v>
      </c>
      <c r="C1886" s="279" t="s">
        <v>709</v>
      </c>
      <c r="D1886" s="159" t="s">
        <v>1180</v>
      </c>
      <c r="E1886" s="45">
        <f t="shared" si="150"/>
        <v>39199</v>
      </c>
      <c r="F1886" s="148" t="str">
        <f t="shared" si="147"/>
        <v>2006-07</v>
      </c>
      <c r="G1886" s="1"/>
      <c r="H1886" s="163"/>
      <c r="I1886" s="37"/>
      <c r="J1886" s="138">
        <f t="shared" si="151"/>
        <v>0.77968490742404351</v>
      </c>
      <c r="K1886" s="114"/>
      <c r="L1886" s="37">
        <v>23.991674597700001</v>
      </c>
      <c r="M1886" s="37" t="s">
        <v>142</v>
      </c>
      <c r="N1886" s="37">
        <v>696.6467060487804</v>
      </c>
      <c r="O1886" s="132">
        <f t="shared" si="148"/>
        <v>16713.721081081905</v>
      </c>
      <c r="P1886" s="134">
        <f t="shared" si="149"/>
        <v>13031.43607381463</v>
      </c>
      <c r="Q1886" s="261">
        <v>1</v>
      </c>
      <c r="R1886" s="94"/>
    </row>
    <row r="1887" spans="1:18" x14ac:dyDescent="0.25">
      <c r="A1887" s="367">
        <v>39199</v>
      </c>
      <c r="B1887" s="367" t="s">
        <v>279</v>
      </c>
      <c r="C1887" s="279" t="s">
        <v>709</v>
      </c>
      <c r="D1887" s="159" t="s">
        <v>1180</v>
      </c>
      <c r="E1887" s="45">
        <f t="shared" si="150"/>
        <v>39199</v>
      </c>
      <c r="F1887" s="148" t="str">
        <f t="shared" si="147"/>
        <v>2006-07</v>
      </c>
      <c r="G1887" s="1"/>
      <c r="H1887" s="163"/>
      <c r="I1887" s="37"/>
      <c r="J1887" s="138">
        <f t="shared" si="151"/>
        <v>0.77968490742404351</v>
      </c>
      <c r="K1887" s="114"/>
      <c r="L1887" s="37">
        <v>320.191162066</v>
      </c>
      <c r="M1887" s="37" t="s">
        <v>142</v>
      </c>
      <c r="N1887" s="37">
        <v>696.6467060487804</v>
      </c>
      <c r="O1887" s="132">
        <f t="shared" si="148"/>
        <v>223060.11835921012</v>
      </c>
      <c r="P1887" s="134">
        <f t="shared" si="149"/>
        <v>173916.60773289693</v>
      </c>
      <c r="Q1887" s="261">
        <v>1</v>
      </c>
      <c r="R1887" s="94"/>
    </row>
    <row r="1888" spans="1:18" x14ac:dyDescent="0.25">
      <c r="A1888" s="367">
        <v>39199</v>
      </c>
      <c r="B1888" s="367" t="s">
        <v>279</v>
      </c>
      <c r="C1888" s="279" t="s">
        <v>709</v>
      </c>
      <c r="D1888" s="159" t="s">
        <v>1180</v>
      </c>
      <c r="E1888" s="45">
        <f t="shared" si="150"/>
        <v>39199</v>
      </c>
      <c r="F1888" s="148" t="str">
        <f t="shared" si="147"/>
        <v>2006-07</v>
      </c>
      <c r="G1888" s="1"/>
      <c r="H1888" s="163"/>
      <c r="I1888" s="37"/>
      <c r="J1888" s="138">
        <f t="shared" si="151"/>
        <v>0.77968490742404351</v>
      </c>
      <c r="K1888" s="114"/>
      <c r="L1888" s="37">
        <v>8.2682483664599999</v>
      </c>
      <c r="M1888" s="37" t="s">
        <v>142</v>
      </c>
      <c r="N1888" s="37">
        <v>696.6467060487804</v>
      </c>
      <c r="O1888" s="132">
        <f t="shared" si="148"/>
        <v>5760.0479892875683</v>
      </c>
      <c r="P1888" s="134">
        <f t="shared" si="149"/>
        <v>4491.0224832857257</v>
      </c>
      <c r="Q1888" s="261">
        <v>1</v>
      </c>
      <c r="R1888" s="94"/>
    </row>
    <row r="1889" spans="1:18" x14ac:dyDescent="0.25">
      <c r="A1889" s="367">
        <v>39199</v>
      </c>
      <c r="B1889" s="367" t="s">
        <v>279</v>
      </c>
      <c r="C1889" s="279" t="s">
        <v>709</v>
      </c>
      <c r="D1889" s="159" t="s">
        <v>1180</v>
      </c>
      <c r="E1889" s="45">
        <f t="shared" si="150"/>
        <v>39199</v>
      </c>
      <c r="F1889" s="148" t="str">
        <f t="shared" si="147"/>
        <v>2006-07</v>
      </c>
      <c r="G1889" s="1"/>
      <c r="H1889" s="163"/>
      <c r="I1889" s="37"/>
      <c r="J1889" s="138">
        <f t="shared" si="151"/>
        <v>0.77968490742404351</v>
      </c>
      <c r="K1889" s="114"/>
      <c r="L1889" s="37">
        <v>10.4967133904</v>
      </c>
      <c r="M1889" s="37" t="s">
        <v>142</v>
      </c>
      <c r="N1889" s="37">
        <v>696.6467060487804</v>
      </c>
      <c r="O1889" s="132">
        <f t="shared" si="148"/>
        <v>7312.5008077602861</v>
      </c>
      <c r="P1889" s="134">
        <f t="shared" si="149"/>
        <v>5701.4465153368219</v>
      </c>
      <c r="Q1889" s="261">
        <v>1</v>
      </c>
      <c r="R1889" s="94"/>
    </row>
    <row r="1890" spans="1:18" x14ac:dyDescent="0.25">
      <c r="A1890" s="367">
        <v>39199</v>
      </c>
      <c r="B1890" s="367" t="s">
        <v>279</v>
      </c>
      <c r="C1890" s="279" t="s">
        <v>709</v>
      </c>
      <c r="D1890" s="159" t="s">
        <v>1180</v>
      </c>
      <c r="E1890" s="45">
        <f t="shared" si="150"/>
        <v>39199</v>
      </c>
      <c r="F1890" s="148" t="str">
        <f t="shared" si="147"/>
        <v>2006-07</v>
      </c>
      <c r="G1890" s="1"/>
      <c r="H1890" s="163"/>
      <c r="I1890" s="37"/>
      <c r="J1890" s="138">
        <f t="shared" si="151"/>
        <v>0.77968490742404351</v>
      </c>
      <c r="K1890" s="114"/>
      <c r="L1890" s="37">
        <v>3.39885301136</v>
      </c>
      <c r="M1890" s="37" t="s">
        <v>142</v>
      </c>
      <c r="N1890" s="37">
        <v>696.6467060487804</v>
      </c>
      <c r="O1890" s="132">
        <f t="shared" si="148"/>
        <v>2367.7997547079221</v>
      </c>
      <c r="P1890" s="134">
        <f t="shared" si="149"/>
        <v>1846.1377325481192</v>
      </c>
      <c r="Q1890" s="261">
        <v>1</v>
      </c>
      <c r="R1890" s="94"/>
    </row>
    <row r="1891" spans="1:18" x14ac:dyDescent="0.25">
      <c r="A1891" s="367">
        <v>39199</v>
      </c>
      <c r="B1891" s="367" t="s">
        <v>279</v>
      </c>
      <c r="C1891" s="279" t="s">
        <v>709</v>
      </c>
      <c r="D1891" s="159" t="s">
        <v>1180</v>
      </c>
      <c r="E1891" s="45">
        <f t="shared" si="150"/>
        <v>39199</v>
      </c>
      <c r="F1891" s="148" t="str">
        <f t="shared" si="147"/>
        <v>2006-07</v>
      </c>
      <c r="G1891" s="1"/>
      <c r="H1891" s="163"/>
      <c r="I1891" s="37"/>
      <c r="J1891" s="138">
        <f t="shared" si="151"/>
        <v>0.77968490742404351</v>
      </c>
      <c r="K1891" s="114"/>
      <c r="L1891" s="37">
        <v>4.6990140906500004</v>
      </c>
      <c r="M1891" s="37" t="s">
        <v>142</v>
      </c>
      <c r="N1891" s="37">
        <v>696.6467060487804</v>
      </c>
      <c r="O1891" s="132">
        <f t="shared" si="148"/>
        <v>3273.5526879281279</v>
      </c>
      <c r="P1891" s="134">
        <f t="shared" si="149"/>
        <v>2552.339624434971</v>
      </c>
      <c r="Q1891" s="261">
        <v>1</v>
      </c>
      <c r="R1891" s="94"/>
    </row>
    <row r="1892" spans="1:18" x14ac:dyDescent="0.25">
      <c r="A1892" s="367">
        <v>39199</v>
      </c>
      <c r="B1892" s="367" t="s">
        <v>279</v>
      </c>
      <c r="C1892" s="279" t="s">
        <v>709</v>
      </c>
      <c r="D1892" s="159" t="s">
        <v>1180</v>
      </c>
      <c r="E1892" s="45">
        <f t="shared" si="150"/>
        <v>39199</v>
      </c>
      <c r="F1892" s="148" t="str">
        <f t="shared" si="147"/>
        <v>2006-07</v>
      </c>
      <c r="G1892" s="1"/>
      <c r="H1892" s="163"/>
      <c r="I1892" s="37"/>
      <c r="J1892" s="138">
        <f t="shared" si="151"/>
        <v>0.77968490742404351</v>
      </c>
      <c r="K1892" s="114"/>
      <c r="L1892" s="37">
        <v>2.6996559611499999</v>
      </c>
      <c r="M1892" s="37" t="s">
        <v>142</v>
      </c>
      <c r="N1892" s="37">
        <v>696.6467060487804</v>
      </c>
      <c r="O1892" s="132">
        <f t="shared" si="148"/>
        <v>1880.7064328001018</v>
      </c>
      <c r="P1892" s="134">
        <f t="shared" si="149"/>
        <v>1466.3584209495505</v>
      </c>
      <c r="Q1892" s="261">
        <v>1</v>
      </c>
      <c r="R1892" s="94"/>
    </row>
    <row r="1893" spans="1:18" x14ac:dyDescent="0.25">
      <c r="A1893" s="367">
        <v>41487</v>
      </c>
      <c r="B1893" s="367" t="s">
        <v>279</v>
      </c>
      <c r="C1893" s="279" t="s">
        <v>704</v>
      </c>
      <c r="D1893" s="159" t="s">
        <v>1178</v>
      </c>
      <c r="E1893" s="45">
        <f t="shared" si="150"/>
        <v>41487</v>
      </c>
      <c r="F1893" s="148" t="str">
        <f t="shared" si="147"/>
        <v>2013-14</v>
      </c>
      <c r="G1893" s="1"/>
      <c r="H1893" s="163"/>
      <c r="I1893" s="37"/>
      <c r="J1893" s="138">
        <f t="shared" si="151"/>
        <v>0.77968490742404351</v>
      </c>
      <c r="K1893" s="114"/>
      <c r="L1893" s="37">
        <v>196.831206232</v>
      </c>
      <c r="M1893" s="37" t="s">
        <v>142</v>
      </c>
      <c r="N1893" s="37">
        <v>936.5640883902438</v>
      </c>
      <c r="O1893" s="132">
        <f t="shared" si="148"/>
        <v>184345.03923142515</v>
      </c>
      <c r="P1893" s="134">
        <f t="shared" si="149"/>
        <v>143731.04484723537</v>
      </c>
      <c r="Q1893" s="261">
        <v>1</v>
      </c>
      <c r="R1893" s="94"/>
    </row>
    <row r="1894" spans="1:18" x14ac:dyDescent="0.25">
      <c r="A1894" s="367">
        <v>40770</v>
      </c>
      <c r="B1894" s="367" t="s">
        <v>279</v>
      </c>
      <c r="C1894" s="279" t="s">
        <v>710</v>
      </c>
      <c r="D1894" s="159" t="s">
        <v>1178</v>
      </c>
      <c r="E1894" s="45">
        <f t="shared" si="150"/>
        <v>40770</v>
      </c>
      <c r="F1894" s="148" t="str">
        <f t="shared" si="147"/>
        <v>2011-12</v>
      </c>
      <c r="G1894" s="1"/>
      <c r="H1894" s="163"/>
      <c r="I1894" s="37"/>
      <c r="J1894" s="138">
        <f t="shared" si="151"/>
        <v>0.77968490742404351</v>
      </c>
      <c r="K1894" s="114"/>
      <c r="L1894" s="37">
        <v>99.070959304300004</v>
      </c>
      <c r="M1894" s="37" t="s">
        <v>142</v>
      </c>
      <c r="N1894" s="37">
        <v>771.6404230243902</v>
      </c>
      <c r="O1894" s="132">
        <f t="shared" si="148"/>
        <v>76447.156947002208</v>
      </c>
      <c r="P1894" s="134">
        <f t="shared" si="149"/>
        <v>59604.694487054738</v>
      </c>
      <c r="Q1894" s="261">
        <v>1</v>
      </c>
      <c r="R1894" s="94"/>
    </row>
    <row r="1895" spans="1:18" x14ac:dyDescent="0.25">
      <c r="A1895" s="367">
        <v>41487</v>
      </c>
      <c r="B1895" s="367" t="s">
        <v>279</v>
      </c>
      <c r="C1895" s="279" t="s">
        <v>704</v>
      </c>
      <c r="D1895" s="159" t="s">
        <v>1178</v>
      </c>
      <c r="E1895" s="45">
        <f t="shared" si="150"/>
        <v>41487</v>
      </c>
      <c r="F1895" s="148" t="str">
        <f t="shared" si="147"/>
        <v>2013-14</v>
      </c>
      <c r="G1895" s="1"/>
      <c r="H1895" s="163"/>
      <c r="I1895" s="37"/>
      <c r="J1895" s="138">
        <f t="shared" si="151"/>
        <v>0.77968490742404351</v>
      </c>
      <c r="K1895" s="114"/>
      <c r="L1895" s="37">
        <v>15.5210546893</v>
      </c>
      <c r="M1895" s="37" t="s">
        <v>142</v>
      </c>
      <c r="N1895" s="37">
        <v>936.5640883902438</v>
      </c>
      <c r="O1895" s="132">
        <f t="shared" si="148"/>
        <v>14536.462435939373</v>
      </c>
      <c r="P1895" s="134">
        <f t="shared" si="149"/>
        <v>11333.860368638476</v>
      </c>
      <c r="Q1895" s="261">
        <v>1</v>
      </c>
      <c r="R1895" s="94"/>
    </row>
    <row r="1896" spans="1:18" x14ac:dyDescent="0.25">
      <c r="A1896" s="367">
        <v>41487</v>
      </c>
      <c r="B1896" s="367" t="s">
        <v>279</v>
      </c>
      <c r="C1896" s="279" t="s">
        <v>704</v>
      </c>
      <c r="D1896" s="159" t="s">
        <v>1178</v>
      </c>
      <c r="E1896" s="45">
        <f t="shared" si="150"/>
        <v>41487</v>
      </c>
      <c r="F1896" s="148" t="str">
        <f t="shared" si="147"/>
        <v>2013-14</v>
      </c>
      <c r="G1896" s="1"/>
      <c r="H1896" s="163"/>
      <c r="I1896" s="37"/>
      <c r="J1896" s="138">
        <f t="shared" si="151"/>
        <v>0.77968490742404351</v>
      </c>
      <c r="K1896" s="114"/>
      <c r="L1896" s="37">
        <v>11.180490456199999</v>
      </c>
      <c r="M1896" s="37" t="s">
        <v>142</v>
      </c>
      <c r="N1896" s="37">
        <v>621.96682926829249</v>
      </c>
      <c r="O1896" s="132">
        <f t="shared" si="148"/>
        <v>6953.8941987071184</v>
      </c>
      <c r="P1896" s="134">
        <f t="shared" si="149"/>
        <v>5421.8463545555533</v>
      </c>
      <c r="Q1896" s="261">
        <v>1</v>
      </c>
      <c r="R1896" s="94"/>
    </row>
    <row r="1897" spans="1:18" x14ac:dyDescent="0.25">
      <c r="A1897" s="367">
        <v>41487</v>
      </c>
      <c r="B1897" s="367" t="s">
        <v>279</v>
      </c>
      <c r="C1897" s="279" t="s">
        <v>704</v>
      </c>
      <c r="D1897" s="159" t="s">
        <v>1178</v>
      </c>
      <c r="E1897" s="45">
        <f t="shared" si="150"/>
        <v>41487</v>
      </c>
      <c r="F1897" s="148" t="str">
        <f t="shared" si="147"/>
        <v>2013-14</v>
      </c>
      <c r="G1897" s="1"/>
      <c r="H1897" s="163"/>
      <c r="I1897" s="37"/>
      <c r="J1897" s="138">
        <f t="shared" si="151"/>
        <v>0.77968490742404351</v>
      </c>
      <c r="K1897" s="114"/>
      <c r="L1897" s="37">
        <v>19.643529918500001</v>
      </c>
      <c r="M1897" s="37" t="s">
        <v>142</v>
      </c>
      <c r="N1897" s="37">
        <v>936.5640883902438</v>
      </c>
      <c r="O1897" s="132">
        <f t="shared" si="148"/>
        <v>18397.424690886433</v>
      </c>
      <c r="P1897" s="134">
        <f t="shared" si="149"/>
        <v>14344.194366954602</v>
      </c>
      <c r="Q1897" s="261">
        <v>1</v>
      </c>
      <c r="R1897" s="94"/>
    </row>
    <row r="1898" spans="1:18" x14ac:dyDescent="0.25">
      <c r="A1898" s="367">
        <v>40770</v>
      </c>
      <c r="B1898" s="367" t="s">
        <v>279</v>
      </c>
      <c r="C1898" s="279" t="s">
        <v>710</v>
      </c>
      <c r="D1898" s="159" t="s">
        <v>1178</v>
      </c>
      <c r="E1898" s="45">
        <f t="shared" si="150"/>
        <v>40770</v>
      </c>
      <c r="F1898" s="148" t="str">
        <f t="shared" si="147"/>
        <v>2011-12</v>
      </c>
      <c r="G1898" s="1"/>
      <c r="H1898" s="163"/>
      <c r="I1898" s="37"/>
      <c r="J1898" s="138">
        <f t="shared" si="151"/>
        <v>0.77968490742404351</v>
      </c>
      <c r="K1898" s="114"/>
      <c r="L1898" s="37">
        <v>22.808558289099999</v>
      </c>
      <c r="M1898" s="37" t="s">
        <v>142</v>
      </c>
      <c r="N1898" s="37">
        <v>771.6404230243902</v>
      </c>
      <c r="O1898" s="132">
        <f t="shared" si="148"/>
        <v>17600.005566777585</v>
      </c>
      <c r="P1898" s="134">
        <f t="shared" si="149"/>
        <v>13722.458710995632</v>
      </c>
      <c r="Q1898" s="261">
        <v>1</v>
      </c>
      <c r="R1898" s="94"/>
    </row>
    <row r="1899" spans="1:18" x14ac:dyDescent="0.25">
      <c r="A1899" s="367">
        <v>40770</v>
      </c>
      <c r="B1899" s="367" t="s">
        <v>279</v>
      </c>
      <c r="C1899" s="279" t="s">
        <v>710</v>
      </c>
      <c r="D1899" s="159" t="s">
        <v>1178</v>
      </c>
      <c r="E1899" s="45">
        <f t="shared" si="150"/>
        <v>40770</v>
      </c>
      <c r="F1899" s="148" t="str">
        <f t="shared" si="147"/>
        <v>2011-12</v>
      </c>
      <c r="G1899" s="1"/>
      <c r="H1899" s="163"/>
      <c r="I1899" s="37"/>
      <c r="J1899" s="138">
        <f t="shared" si="151"/>
        <v>0.77968490742404351</v>
      </c>
      <c r="K1899" s="114"/>
      <c r="L1899" s="37">
        <v>72.405589861699994</v>
      </c>
      <c r="M1899" s="37" t="s">
        <v>142</v>
      </c>
      <c r="N1899" s="37">
        <v>771.6404230243902</v>
      </c>
      <c r="O1899" s="132">
        <f t="shared" si="148"/>
        <v>55871.079990212682</v>
      </c>
      <c r="P1899" s="134">
        <f t="shared" si="149"/>
        <v>43561.837829850301</v>
      </c>
      <c r="Q1899" s="261">
        <v>1</v>
      </c>
      <c r="R1899" s="94"/>
    </row>
    <row r="1900" spans="1:18" x14ac:dyDescent="0.25">
      <c r="A1900" s="367">
        <v>43889</v>
      </c>
      <c r="B1900" s="367" t="s">
        <v>279</v>
      </c>
      <c r="C1900" s="279" t="s">
        <v>711</v>
      </c>
      <c r="D1900" s="159" t="s">
        <v>1181</v>
      </c>
      <c r="E1900" s="45">
        <f t="shared" si="150"/>
        <v>43889</v>
      </c>
      <c r="F1900" s="148" t="str">
        <f t="shared" si="147"/>
        <v>2019-20</v>
      </c>
      <c r="G1900" s="1"/>
      <c r="H1900" s="163"/>
      <c r="I1900" s="37"/>
      <c r="J1900" s="138">
        <f t="shared" si="151"/>
        <v>0.77968490742404351</v>
      </c>
      <c r="K1900" s="114"/>
      <c r="L1900" s="37">
        <v>6.2985206199599997</v>
      </c>
      <c r="M1900" s="37" t="s">
        <v>142</v>
      </c>
      <c r="N1900" s="37">
        <v>771.6404230243902</v>
      </c>
      <c r="O1900" s="132">
        <f t="shared" si="148"/>
        <v>4860.1931156137789</v>
      </c>
      <c r="P1900" s="134">
        <f t="shared" si="149"/>
        <v>3789.419219410303</v>
      </c>
      <c r="Q1900" s="261">
        <v>1</v>
      </c>
      <c r="R1900" s="94"/>
    </row>
    <row r="1901" spans="1:18" x14ac:dyDescent="0.25">
      <c r="A1901" s="367">
        <v>43889</v>
      </c>
      <c r="B1901" s="367" t="s">
        <v>279</v>
      </c>
      <c r="C1901" s="279" t="s">
        <v>711</v>
      </c>
      <c r="D1901" s="159" t="s">
        <v>1181</v>
      </c>
      <c r="E1901" s="45">
        <f t="shared" si="150"/>
        <v>43889</v>
      </c>
      <c r="F1901" s="148" t="str">
        <f t="shared" si="147"/>
        <v>2019-20</v>
      </c>
      <c r="G1901" s="1"/>
      <c r="H1901" s="163"/>
      <c r="I1901" s="37"/>
      <c r="J1901" s="138">
        <f t="shared" si="151"/>
        <v>0.77968490742404351</v>
      </c>
      <c r="K1901" s="114"/>
      <c r="L1901" s="37">
        <v>1.0001999800000001</v>
      </c>
      <c r="M1901" s="37" t="s">
        <v>142</v>
      </c>
      <c r="N1901" s="37">
        <v>696.6467060487804</v>
      </c>
      <c r="O1901" s="132">
        <f t="shared" si="148"/>
        <v>696.78602145705611</v>
      </c>
      <c r="P1901" s="134">
        <f t="shared" si="149"/>
        <v>543.27354463411234</v>
      </c>
      <c r="Q1901" s="261">
        <v>1</v>
      </c>
      <c r="R1901" s="94"/>
    </row>
    <row r="1902" spans="1:18" x14ac:dyDescent="0.25">
      <c r="A1902" s="367">
        <v>43889</v>
      </c>
      <c r="B1902" s="367" t="s">
        <v>279</v>
      </c>
      <c r="C1902" s="279" t="s">
        <v>711</v>
      </c>
      <c r="D1902" s="159" t="s">
        <v>1181</v>
      </c>
      <c r="E1902" s="45">
        <f t="shared" si="150"/>
        <v>43889</v>
      </c>
      <c r="F1902" s="148" t="str">
        <f t="shared" si="147"/>
        <v>2019-20</v>
      </c>
      <c r="G1902" s="1"/>
      <c r="H1902" s="163"/>
      <c r="I1902" s="37"/>
      <c r="J1902" s="138">
        <f t="shared" si="151"/>
        <v>0.77968490742404351</v>
      </c>
      <c r="K1902" s="114"/>
      <c r="L1902" s="37">
        <v>1.0001999800000001</v>
      </c>
      <c r="M1902" s="37" t="s">
        <v>142</v>
      </c>
      <c r="N1902" s="37">
        <v>696.6467060487804</v>
      </c>
      <c r="O1902" s="132">
        <f t="shared" si="148"/>
        <v>696.78602145705611</v>
      </c>
      <c r="P1902" s="134">
        <f t="shared" si="149"/>
        <v>543.27354463411234</v>
      </c>
      <c r="Q1902" s="261">
        <v>1</v>
      </c>
      <c r="R1902" s="94"/>
    </row>
    <row r="1903" spans="1:18" x14ac:dyDescent="0.25">
      <c r="A1903" s="367">
        <v>43046</v>
      </c>
      <c r="B1903" s="367" t="s">
        <v>279</v>
      </c>
      <c r="C1903" s="279" t="s">
        <v>712</v>
      </c>
      <c r="D1903" s="159" t="s">
        <v>1182</v>
      </c>
      <c r="E1903" s="45">
        <f t="shared" si="150"/>
        <v>43046</v>
      </c>
      <c r="F1903" s="148" t="str">
        <f t="shared" si="147"/>
        <v>2017-18</v>
      </c>
      <c r="G1903" s="1"/>
      <c r="H1903" s="163"/>
      <c r="I1903" s="37"/>
      <c r="J1903" s="138">
        <f t="shared" si="151"/>
        <v>0.77968490742404351</v>
      </c>
      <c r="K1903" s="114"/>
      <c r="L1903" s="37">
        <v>4.88151309651</v>
      </c>
      <c r="M1903" s="37" t="s">
        <v>142</v>
      </c>
      <c r="N1903" s="37">
        <v>696.6467060487804</v>
      </c>
      <c r="O1903" s="132">
        <f t="shared" si="148"/>
        <v>3400.6900192176736</v>
      </c>
      <c r="P1903" s="134">
        <f t="shared" si="149"/>
        <v>2651.4666828116005</v>
      </c>
      <c r="Q1903" s="261">
        <v>1</v>
      </c>
      <c r="R1903" s="94"/>
    </row>
    <row r="1904" spans="1:18" x14ac:dyDescent="0.25">
      <c r="A1904" s="367">
        <v>43046</v>
      </c>
      <c r="B1904" s="367" t="s">
        <v>279</v>
      </c>
      <c r="C1904" s="279" t="s">
        <v>712</v>
      </c>
      <c r="D1904" s="159" t="s">
        <v>1182</v>
      </c>
      <c r="E1904" s="45">
        <f t="shared" si="150"/>
        <v>43046</v>
      </c>
      <c r="F1904" s="148" t="str">
        <f t="shared" si="147"/>
        <v>2017-18</v>
      </c>
      <c r="G1904" s="1"/>
      <c r="H1904" s="163"/>
      <c r="I1904" s="37"/>
      <c r="J1904" s="138">
        <f t="shared" si="151"/>
        <v>0.77968490742404351</v>
      </c>
      <c r="K1904" s="114"/>
      <c r="L1904" s="37">
        <v>3.2835235190400001</v>
      </c>
      <c r="M1904" s="37" t="s">
        <v>142</v>
      </c>
      <c r="N1904" s="37">
        <v>696.6467060487804</v>
      </c>
      <c r="O1904" s="132">
        <f t="shared" si="148"/>
        <v>2287.4558437729161</v>
      </c>
      <c r="P1904" s="134">
        <f t="shared" si="149"/>
        <v>1783.4947977886734</v>
      </c>
      <c r="Q1904" s="261">
        <v>1</v>
      </c>
      <c r="R1904" s="94"/>
    </row>
    <row r="1905" spans="1:18" x14ac:dyDescent="0.25">
      <c r="A1905" s="367">
        <v>43046</v>
      </c>
      <c r="B1905" s="367" t="s">
        <v>279</v>
      </c>
      <c r="C1905" s="279" t="s">
        <v>712</v>
      </c>
      <c r="D1905" s="159" t="s">
        <v>1182</v>
      </c>
      <c r="E1905" s="45">
        <f t="shared" si="150"/>
        <v>43046</v>
      </c>
      <c r="F1905" s="148" t="str">
        <f t="shared" si="147"/>
        <v>2017-18</v>
      </c>
      <c r="G1905" s="1"/>
      <c r="H1905" s="163"/>
      <c r="I1905" s="37"/>
      <c r="J1905" s="138">
        <f t="shared" si="151"/>
        <v>0.77968490742404351</v>
      </c>
      <c r="K1905" s="114"/>
      <c r="L1905" s="37">
        <v>202.362858776</v>
      </c>
      <c r="M1905" s="37" t="s">
        <v>142</v>
      </c>
      <c r="N1905" s="37">
        <v>696.6467060487804</v>
      </c>
      <c r="O1905" s="132">
        <f t="shared" si="148"/>
        <v>140975.41899291493</v>
      </c>
      <c r="P1905" s="134">
        <f t="shared" si="149"/>
        <v>109916.40650655662</v>
      </c>
      <c r="Q1905" s="261">
        <v>1</v>
      </c>
      <c r="R1905" s="94"/>
    </row>
    <row r="1906" spans="1:18" x14ac:dyDescent="0.25">
      <c r="A1906" s="367">
        <v>43046</v>
      </c>
      <c r="B1906" s="367" t="s">
        <v>279</v>
      </c>
      <c r="C1906" s="279" t="s">
        <v>712</v>
      </c>
      <c r="D1906" s="159" t="s">
        <v>1182</v>
      </c>
      <c r="E1906" s="45">
        <f t="shared" si="150"/>
        <v>43046</v>
      </c>
      <c r="F1906" s="148" t="str">
        <f t="shared" si="147"/>
        <v>2017-18</v>
      </c>
      <c r="G1906" s="1"/>
      <c r="H1906" s="163"/>
      <c r="I1906" s="37"/>
      <c r="J1906" s="138">
        <f t="shared" si="151"/>
        <v>0.77968490742404351</v>
      </c>
      <c r="K1906" s="114"/>
      <c r="L1906" s="37">
        <v>276.65101530599998</v>
      </c>
      <c r="M1906" s="37" t="s">
        <v>142</v>
      </c>
      <c r="N1906" s="37">
        <v>696.6467060487804</v>
      </c>
      <c r="O1906" s="132">
        <f t="shared" si="148"/>
        <v>192728.01853797561</v>
      </c>
      <c r="P1906" s="134">
        <f t="shared" si="149"/>
        <v>150267.12729180086</v>
      </c>
      <c r="Q1906" s="261">
        <v>1</v>
      </c>
      <c r="R1906" s="94"/>
    </row>
    <row r="1907" spans="1:18" x14ac:dyDescent="0.25">
      <c r="A1907" s="367">
        <v>43046</v>
      </c>
      <c r="B1907" s="367" t="s">
        <v>279</v>
      </c>
      <c r="C1907" s="279" t="s">
        <v>712</v>
      </c>
      <c r="D1907" s="159" t="s">
        <v>1182</v>
      </c>
      <c r="E1907" s="45">
        <f t="shared" si="150"/>
        <v>43046</v>
      </c>
      <c r="F1907" s="148" t="str">
        <f t="shared" si="147"/>
        <v>2017-18</v>
      </c>
      <c r="G1907" s="1"/>
      <c r="H1907" s="163"/>
      <c r="I1907" s="37"/>
      <c r="J1907" s="138">
        <f t="shared" si="151"/>
        <v>0.77968490742404351</v>
      </c>
      <c r="K1907" s="114"/>
      <c r="L1907" s="37">
        <v>8.3669475629099992</v>
      </c>
      <c r="M1907" s="37" t="s">
        <v>142</v>
      </c>
      <c r="N1907" s="37">
        <v>696.6467060487804</v>
      </c>
      <c r="O1907" s="132">
        <f t="shared" si="148"/>
        <v>5828.8064593841218</v>
      </c>
      <c r="P1907" s="134">
        <f t="shared" si="149"/>
        <v>4544.6324246775757</v>
      </c>
      <c r="Q1907" s="261">
        <v>1</v>
      </c>
      <c r="R1907" s="94"/>
    </row>
    <row r="1908" spans="1:18" x14ac:dyDescent="0.25">
      <c r="A1908" s="367">
        <v>43046</v>
      </c>
      <c r="B1908" s="367" t="s">
        <v>279</v>
      </c>
      <c r="C1908" s="279" t="s">
        <v>712</v>
      </c>
      <c r="D1908" s="159" t="s">
        <v>1182</v>
      </c>
      <c r="E1908" s="45">
        <f t="shared" si="150"/>
        <v>43046</v>
      </c>
      <c r="F1908" s="148" t="str">
        <f t="shared" si="147"/>
        <v>2017-18</v>
      </c>
      <c r="G1908" s="1"/>
      <c r="H1908" s="163"/>
      <c r="I1908" s="37"/>
      <c r="J1908" s="138">
        <f t="shared" si="151"/>
        <v>0.77968490742404351</v>
      </c>
      <c r="K1908" s="114"/>
      <c r="L1908" s="37">
        <v>2.0005139339700002</v>
      </c>
      <c r="M1908" s="37" t="s">
        <v>142</v>
      </c>
      <c r="N1908" s="37">
        <v>696.6467060487804</v>
      </c>
      <c r="O1908" s="132">
        <f t="shared" si="148"/>
        <v>1393.6514425048881</v>
      </c>
      <c r="P1908" s="134">
        <f t="shared" si="149"/>
        <v>1086.6089959308083</v>
      </c>
      <c r="Q1908" s="261">
        <v>1</v>
      </c>
      <c r="R1908" s="94"/>
    </row>
    <row r="1909" spans="1:18" x14ac:dyDescent="0.25">
      <c r="A1909" s="367">
        <v>40566</v>
      </c>
      <c r="B1909" s="367" t="s">
        <v>279</v>
      </c>
      <c r="C1909" s="279" t="s">
        <v>713</v>
      </c>
      <c r="D1909" s="159" t="s">
        <v>1182</v>
      </c>
      <c r="E1909" s="45">
        <f t="shared" si="150"/>
        <v>40566</v>
      </c>
      <c r="F1909" s="148" t="str">
        <f t="shared" si="147"/>
        <v>2010-11</v>
      </c>
      <c r="G1909" s="1"/>
      <c r="H1909" s="163"/>
      <c r="I1909" s="37"/>
      <c r="J1909" s="138">
        <f t="shared" si="151"/>
        <v>0.77968490742404351</v>
      </c>
      <c r="K1909" s="114"/>
      <c r="L1909" s="37">
        <v>13.038639593999999</v>
      </c>
      <c r="M1909" s="37" t="s">
        <v>142</v>
      </c>
      <c r="N1909" s="37">
        <v>621.96682926829249</v>
      </c>
      <c r="O1909" s="132">
        <f t="shared" si="148"/>
        <v>8109.6013262521956</v>
      </c>
      <c r="P1909" s="134">
        <f t="shared" si="149"/>
        <v>6322.933759304844</v>
      </c>
      <c r="Q1909" s="261">
        <v>1</v>
      </c>
      <c r="R1909" s="94"/>
    </row>
    <row r="1910" spans="1:18" x14ac:dyDescent="0.25">
      <c r="A1910" s="367">
        <v>42804</v>
      </c>
      <c r="B1910" s="367" t="s">
        <v>279</v>
      </c>
      <c r="C1910" s="279" t="s">
        <v>714</v>
      </c>
      <c r="D1910" s="159" t="s">
        <v>1183</v>
      </c>
      <c r="E1910" s="45">
        <f t="shared" si="150"/>
        <v>42804</v>
      </c>
      <c r="F1910" s="148" t="str">
        <f t="shared" si="147"/>
        <v>2016-17</v>
      </c>
      <c r="G1910" s="1"/>
      <c r="H1910" s="163"/>
      <c r="I1910" s="37"/>
      <c r="J1910" s="138">
        <f t="shared" si="151"/>
        <v>0.77968490742404351</v>
      </c>
      <c r="K1910" s="114"/>
      <c r="L1910" s="37">
        <v>2.4203712525099998</v>
      </c>
      <c r="M1910" s="37" t="s">
        <v>142</v>
      </c>
      <c r="N1910" s="37">
        <v>696.6467060487804</v>
      </c>
      <c r="O1910" s="132">
        <f t="shared" si="148"/>
        <v>1686.1436604762523</v>
      </c>
      <c r="P1910" s="134">
        <f t="shared" si="149"/>
        <v>1314.6607638220646</v>
      </c>
      <c r="Q1910" s="261">
        <v>1</v>
      </c>
      <c r="R1910" s="94"/>
    </row>
    <row r="1911" spans="1:18" x14ac:dyDescent="0.25">
      <c r="A1911" s="367">
        <v>42804</v>
      </c>
      <c r="B1911" s="367" t="s">
        <v>279</v>
      </c>
      <c r="C1911" s="279" t="s">
        <v>714</v>
      </c>
      <c r="D1911" s="159" t="s">
        <v>1183</v>
      </c>
      <c r="E1911" s="45">
        <f t="shared" si="150"/>
        <v>42804</v>
      </c>
      <c r="F1911" s="148" t="str">
        <f t="shared" si="147"/>
        <v>2016-17</v>
      </c>
      <c r="G1911" s="1"/>
      <c r="H1911" s="163"/>
      <c r="I1911" s="37"/>
      <c r="J1911" s="138">
        <f t="shared" si="151"/>
        <v>0.77968490742404351</v>
      </c>
      <c r="K1911" s="114"/>
      <c r="L1911" s="37">
        <v>3.6994713581099998</v>
      </c>
      <c r="M1911" s="37" t="s">
        <v>142</v>
      </c>
      <c r="N1911" s="37">
        <v>696.6467060487804</v>
      </c>
      <c r="O1911" s="132">
        <f t="shared" si="148"/>
        <v>2577.2245357491392</v>
      </c>
      <c r="P1911" s="134">
        <f t="shared" si="149"/>
        <v>2009.4230735665412</v>
      </c>
      <c r="Q1911" s="261">
        <v>1</v>
      </c>
      <c r="R1911" s="94"/>
    </row>
    <row r="1912" spans="1:18" x14ac:dyDescent="0.25">
      <c r="A1912" s="367">
        <v>42804</v>
      </c>
      <c r="B1912" s="367" t="s">
        <v>279</v>
      </c>
      <c r="C1912" s="279" t="s">
        <v>714</v>
      </c>
      <c r="D1912" s="159" t="s">
        <v>1183</v>
      </c>
      <c r="E1912" s="45">
        <f t="shared" si="150"/>
        <v>42804</v>
      </c>
      <c r="F1912" s="148" t="str">
        <f t="shared" si="147"/>
        <v>2016-17</v>
      </c>
      <c r="G1912" s="1"/>
      <c r="H1912" s="163"/>
      <c r="I1912" s="37"/>
      <c r="J1912" s="138">
        <f t="shared" si="151"/>
        <v>0.77968490742404351</v>
      </c>
      <c r="K1912" s="114"/>
      <c r="L1912" s="37">
        <v>5.6833476946600001</v>
      </c>
      <c r="M1912" s="37" t="s">
        <v>142</v>
      </c>
      <c r="N1912" s="37">
        <v>696.6467060487804</v>
      </c>
      <c r="O1912" s="132">
        <f t="shared" si="148"/>
        <v>3959.2854508148189</v>
      </c>
      <c r="P1912" s="134">
        <f t="shared" si="149"/>
        <v>3086.9951101839142</v>
      </c>
      <c r="Q1912" s="261">
        <v>1</v>
      </c>
      <c r="R1912" s="94"/>
    </row>
    <row r="1913" spans="1:18" x14ac:dyDescent="0.25">
      <c r="A1913" s="367">
        <v>40876</v>
      </c>
      <c r="B1913" s="367" t="s">
        <v>279</v>
      </c>
      <c r="C1913" s="279" t="s">
        <v>686</v>
      </c>
      <c r="D1913" s="159" t="s">
        <v>1167</v>
      </c>
      <c r="E1913" s="45">
        <f t="shared" si="150"/>
        <v>40876</v>
      </c>
      <c r="F1913" s="148" t="str">
        <f t="shared" si="147"/>
        <v>2011-12</v>
      </c>
      <c r="G1913" s="1"/>
      <c r="H1913" s="163"/>
      <c r="I1913" s="37"/>
      <c r="J1913" s="138">
        <f t="shared" si="151"/>
        <v>0.77968490742404351</v>
      </c>
      <c r="K1913" s="114"/>
      <c r="L1913" s="37">
        <v>526.50374957199995</v>
      </c>
      <c r="M1913" s="37" t="s">
        <v>142</v>
      </c>
      <c r="N1913" s="37">
        <v>771.6404230243902</v>
      </c>
      <c r="O1913" s="132">
        <f t="shared" si="148"/>
        <v>406271.57604366564</v>
      </c>
      <c r="P1913" s="134">
        <f t="shared" si="149"/>
        <v>316763.81615662569</v>
      </c>
      <c r="Q1913" s="261">
        <v>1</v>
      </c>
      <c r="R1913" s="94"/>
    </row>
    <row r="1914" spans="1:18" x14ac:dyDescent="0.25">
      <c r="A1914" s="367">
        <v>39919</v>
      </c>
      <c r="B1914" s="367" t="s">
        <v>279</v>
      </c>
      <c r="C1914" s="279" t="s">
        <v>690</v>
      </c>
      <c r="D1914" s="159" t="s">
        <v>1167</v>
      </c>
      <c r="E1914" s="45">
        <f t="shared" si="150"/>
        <v>39919</v>
      </c>
      <c r="F1914" s="148" t="str">
        <f t="shared" si="147"/>
        <v>2008-09</v>
      </c>
      <c r="G1914" s="1"/>
      <c r="H1914" s="163"/>
      <c r="I1914" s="37"/>
      <c r="J1914" s="138">
        <f t="shared" si="151"/>
        <v>0.77968490742404351</v>
      </c>
      <c r="K1914" s="114"/>
      <c r="L1914" s="37">
        <v>168.53180566699999</v>
      </c>
      <c r="M1914" s="37" t="s">
        <v>142</v>
      </c>
      <c r="N1914" s="37">
        <v>771.6404230243902</v>
      </c>
      <c r="O1914" s="132">
        <f t="shared" si="148"/>
        <v>130045.95381794819</v>
      </c>
      <c r="P1914" s="134">
        <f t="shared" si="149"/>
        <v>101394.86746341837</v>
      </c>
      <c r="Q1914" s="261">
        <v>1</v>
      </c>
      <c r="R1914" s="94"/>
    </row>
    <row r="1915" spans="1:18" x14ac:dyDescent="0.25">
      <c r="A1915" s="367">
        <v>39919</v>
      </c>
      <c r="B1915" s="367" t="s">
        <v>279</v>
      </c>
      <c r="C1915" s="279" t="s">
        <v>690</v>
      </c>
      <c r="D1915" s="159" t="s">
        <v>1167</v>
      </c>
      <c r="E1915" s="45">
        <f t="shared" si="150"/>
        <v>39919</v>
      </c>
      <c r="F1915" s="148" t="str">
        <f t="shared" si="147"/>
        <v>2008-09</v>
      </c>
      <c r="G1915" s="1"/>
      <c r="H1915" s="163"/>
      <c r="I1915" s="37"/>
      <c r="J1915" s="138">
        <f t="shared" si="151"/>
        <v>0.77968490742404351</v>
      </c>
      <c r="K1915" s="114"/>
      <c r="L1915" s="37">
        <v>33.017023877299998</v>
      </c>
      <c r="M1915" s="37" t="s">
        <v>142</v>
      </c>
      <c r="N1915" s="37">
        <v>771.6404230243902</v>
      </c>
      <c r="O1915" s="132">
        <f t="shared" si="148"/>
        <v>25477.270271686164</v>
      </c>
      <c r="P1915" s="134">
        <f t="shared" si="149"/>
        <v>19864.243113196964</v>
      </c>
      <c r="Q1915" s="261">
        <v>1</v>
      </c>
      <c r="R1915" s="94"/>
    </row>
    <row r="1916" spans="1:18" x14ac:dyDescent="0.25">
      <c r="A1916" s="367">
        <v>39919</v>
      </c>
      <c r="B1916" s="367" t="s">
        <v>279</v>
      </c>
      <c r="C1916" s="279" t="s">
        <v>690</v>
      </c>
      <c r="D1916" s="159" t="s">
        <v>1167</v>
      </c>
      <c r="E1916" s="45">
        <f t="shared" si="150"/>
        <v>39919</v>
      </c>
      <c r="F1916" s="148" t="str">
        <f t="shared" si="147"/>
        <v>2008-09</v>
      </c>
      <c r="G1916" s="1"/>
      <c r="H1916" s="163"/>
      <c r="I1916" s="37"/>
      <c r="J1916" s="138">
        <f t="shared" si="151"/>
        <v>0.77968490742404351</v>
      </c>
      <c r="K1916" s="114"/>
      <c r="L1916" s="37">
        <v>4.6348549841200004</v>
      </c>
      <c r="M1916" s="37" t="s">
        <v>142</v>
      </c>
      <c r="N1916" s="37">
        <v>771.6404230243902</v>
      </c>
      <c r="O1916" s="132">
        <f t="shared" si="148"/>
        <v>3576.4414606030605</v>
      </c>
      <c r="P1916" s="134">
        <f t="shared" si="149"/>
        <v>2788.4974291178082</v>
      </c>
      <c r="Q1916" s="261">
        <v>1</v>
      </c>
      <c r="R1916" s="94"/>
    </row>
    <row r="1917" spans="1:18" x14ac:dyDescent="0.25">
      <c r="A1917" s="367">
        <v>40876</v>
      </c>
      <c r="B1917" s="367" t="s">
        <v>279</v>
      </c>
      <c r="C1917" s="279" t="s">
        <v>686</v>
      </c>
      <c r="D1917" s="159" t="s">
        <v>1167</v>
      </c>
      <c r="E1917" s="45">
        <f t="shared" si="150"/>
        <v>40876</v>
      </c>
      <c r="F1917" s="148" t="str">
        <f t="shared" si="147"/>
        <v>2011-12</v>
      </c>
      <c r="G1917" s="1"/>
      <c r="H1917" s="163"/>
      <c r="I1917" s="37"/>
      <c r="J1917" s="138">
        <f t="shared" si="151"/>
        <v>0.77968490742404351</v>
      </c>
      <c r="K1917" s="114"/>
      <c r="L1917" s="37">
        <v>3.9809674093099998</v>
      </c>
      <c r="M1917" s="37" t="s">
        <v>142</v>
      </c>
      <c r="N1917" s="37">
        <v>771.6404230243902</v>
      </c>
      <c r="O1917" s="132">
        <f t="shared" si="148"/>
        <v>3071.8753757662789</v>
      </c>
      <c r="P1917" s="134">
        <f t="shared" si="149"/>
        <v>2395.0948679725302</v>
      </c>
      <c r="Q1917" s="261">
        <v>1</v>
      </c>
      <c r="R1917" s="94"/>
    </row>
    <row r="1918" spans="1:18" x14ac:dyDescent="0.25">
      <c r="A1918" s="367">
        <v>40880</v>
      </c>
      <c r="B1918" s="367" t="s">
        <v>279</v>
      </c>
      <c r="C1918" s="279" t="s">
        <v>686</v>
      </c>
      <c r="D1918" s="159" t="s">
        <v>1167</v>
      </c>
      <c r="E1918" s="45">
        <f t="shared" si="150"/>
        <v>40880</v>
      </c>
      <c r="F1918" s="148" t="str">
        <f t="shared" si="147"/>
        <v>2011-12</v>
      </c>
      <c r="G1918" s="1"/>
      <c r="H1918" s="163"/>
      <c r="I1918" s="37"/>
      <c r="J1918" s="138">
        <f t="shared" si="151"/>
        <v>0.77968490742404351</v>
      </c>
      <c r="K1918" s="114"/>
      <c r="L1918" s="37">
        <v>5.1314448711800003</v>
      </c>
      <c r="M1918" s="37" t="s">
        <v>142</v>
      </c>
      <c r="N1918" s="37">
        <v>771.6404230243902</v>
      </c>
      <c r="O1918" s="132">
        <f t="shared" si="148"/>
        <v>3959.630291123673</v>
      </c>
      <c r="P1918" s="134">
        <f t="shared" si="149"/>
        <v>3087.2639769681996</v>
      </c>
      <c r="Q1918" s="261">
        <v>1</v>
      </c>
      <c r="R1918" s="94"/>
    </row>
    <row r="1919" spans="1:18" x14ac:dyDescent="0.25">
      <c r="A1919" s="367">
        <v>40876</v>
      </c>
      <c r="B1919" s="367" t="s">
        <v>279</v>
      </c>
      <c r="C1919" s="279" t="s">
        <v>686</v>
      </c>
      <c r="D1919" s="159" t="s">
        <v>1167</v>
      </c>
      <c r="E1919" s="45">
        <f t="shared" si="150"/>
        <v>40876</v>
      </c>
      <c r="F1919" s="148" t="str">
        <f t="shared" si="147"/>
        <v>2011-12</v>
      </c>
      <c r="G1919" s="1"/>
      <c r="H1919" s="163"/>
      <c r="I1919" s="37"/>
      <c r="J1919" s="138">
        <f t="shared" si="151"/>
        <v>0.77968490742404351</v>
      </c>
      <c r="K1919" s="114"/>
      <c r="L1919" s="37">
        <v>3.67012206881</v>
      </c>
      <c r="M1919" s="37" t="s">
        <v>142</v>
      </c>
      <c r="N1919" s="37">
        <v>771.6404230243902</v>
      </c>
      <c r="O1919" s="132">
        <f t="shared" si="148"/>
        <v>2832.0145457276985</v>
      </c>
      <c r="P1919" s="134">
        <f t="shared" si="149"/>
        <v>2208.0789989092455</v>
      </c>
      <c r="Q1919" s="261">
        <v>1</v>
      </c>
      <c r="R1919" s="94"/>
    </row>
    <row r="1920" spans="1:18" x14ac:dyDescent="0.25">
      <c r="A1920" s="367">
        <v>40876</v>
      </c>
      <c r="B1920" s="367" t="s">
        <v>279</v>
      </c>
      <c r="C1920" s="279" t="s">
        <v>686</v>
      </c>
      <c r="D1920" s="159" t="s">
        <v>1167</v>
      </c>
      <c r="E1920" s="45">
        <f t="shared" si="150"/>
        <v>40876</v>
      </c>
      <c r="F1920" s="148" t="str">
        <f t="shared" si="147"/>
        <v>2011-12</v>
      </c>
      <c r="G1920" s="1"/>
      <c r="H1920" s="163"/>
      <c r="I1920" s="37"/>
      <c r="J1920" s="138">
        <f t="shared" si="151"/>
        <v>0.77968490742404351</v>
      </c>
      <c r="K1920" s="114"/>
      <c r="L1920" s="37">
        <v>7.7828738265500004</v>
      </c>
      <c r="M1920" s="37" t="s">
        <v>142</v>
      </c>
      <c r="N1920" s="37">
        <v>1128.7084557073169</v>
      </c>
      <c r="O1920" s="132">
        <f t="shared" si="148"/>
        <v>8784.5954977301481</v>
      </c>
      <c r="P1920" s="134">
        <f t="shared" si="149"/>
        <v>6849.2165274053996</v>
      </c>
      <c r="Q1920" s="261">
        <v>1</v>
      </c>
      <c r="R1920" s="94"/>
    </row>
    <row r="1921" spans="1:18" x14ac:dyDescent="0.25">
      <c r="A1921" s="367">
        <v>40876</v>
      </c>
      <c r="B1921" s="367" t="s">
        <v>279</v>
      </c>
      <c r="C1921" s="279" t="s">
        <v>686</v>
      </c>
      <c r="D1921" s="159" t="s">
        <v>1167</v>
      </c>
      <c r="E1921" s="45">
        <f t="shared" si="150"/>
        <v>40876</v>
      </c>
      <c r="F1921" s="148" t="str">
        <f t="shared" si="147"/>
        <v>2011-12</v>
      </c>
      <c r="G1921" s="1"/>
      <c r="H1921" s="163"/>
      <c r="I1921" s="37"/>
      <c r="J1921" s="138">
        <f t="shared" si="151"/>
        <v>0.77968490742404351</v>
      </c>
      <c r="K1921" s="114"/>
      <c r="L1921" s="37">
        <v>3.6595354921399998</v>
      </c>
      <c r="M1921" s="37" t="s">
        <v>142</v>
      </c>
      <c r="N1921" s="37">
        <v>771.6404230243902</v>
      </c>
      <c r="O1921" s="132">
        <f t="shared" si="148"/>
        <v>2823.8455152276792</v>
      </c>
      <c r="P1921" s="134">
        <f t="shared" si="149"/>
        <v>2201.7097291200935</v>
      </c>
      <c r="Q1921" s="261">
        <v>1</v>
      </c>
      <c r="R1921" s="94"/>
    </row>
    <row r="1922" spans="1:18" x14ac:dyDescent="0.25">
      <c r="A1922" s="367">
        <v>40880</v>
      </c>
      <c r="B1922" s="367" t="s">
        <v>279</v>
      </c>
      <c r="C1922" s="279" t="s">
        <v>686</v>
      </c>
      <c r="D1922" s="159" t="s">
        <v>1167</v>
      </c>
      <c r="E1922" s="45">
        <f t="shared" si="150"/>
        <v>40880</v>
      </c>
      <c r="F1922" s="148" t="str">
        <f t="shared" si="147"/>
        <v>2011-12</v>
      </c>
      <c r="G1922" s="1"/>
      <c r="H1922" s="163"/>
      <c r="I1922" s="37"/>
      <c r="J1922" s="138">
        <f t="shared" si="151"/>
        <v>0.77968490742404351</v>
      </c>
      <c r="K1922" s="114"/>
      <c r="L1922" s="37">
        <v>1.6370769682599999</v>
      </c>
      <c r="M1922" s="37" t="s">
        <v>142</v>
      </c>
      <c r="N1922" s="37">
        <v>1422.8466506341463</v>
      </c>
      <c r="O1922" s="132">
        <f t="shared" si="148"/>
        <v>2329.3094811190435</v>
      </c>
      <c r="P1922" s="134">
        <f t="shared" si="149"/>
        <v>1816.1274471482482</v>
      </c>
      <c r="Q1922" s="261">
        <v>1</v>
      </c>
      <c r="R1922" s="94"/>
    </row>
    <row r="1923" spans="1:18" x14ac:dyDescent="0.25">
      <c r="A1923" s="367">
        <v>40880</v>
      </c>
      <c r="B1923" s="367" t="s">
        <v>279</v>
      </c>
      <c r="C1923" s="279" t="s">
        <v>686</v>
      </c>
      <c r="D1923" s="159" t="s">
        <v>1184</v>
      </c>
      <c r="E1923" s="45">
        <f t="shared" si="150"/>
        <v>40880</v>
      </c>
      <c r="F1923" s="148" t="str">
        <f t="shared" si="147"/>
        <v>2011-12</v>
      </c>
      <c r="G1923" s="1"/>
      <c r="H1923" s="163"/>
      <c r="I1923" s="37"/>
      <c r="J1923" s="138">
        <f t="shared" si="151"/>
        <v>0.77968490742404351</v>
      </c>
      <c r="K1923" s="114"/>
      <c r="L1923" s="37">
        <v>4.4955665274100003</v>
      </c>
      <c r="M1923" s="37" t="s">
        <v>142</v>
      </c>
      <c r="N1923" s="37">
        <v>696.6467060487804</v>
      </c>
      <c r="O1923" s="132">
        <f t="shared" si="148"/>
        <v>3131.821613143331</v>
      </c>
      <c r="P1923" s="134">
        <f t="shared" si="149"/>
        <v>2441.8340445122767</v>
      </c>
      <c r="Q1923" s="261">
        <v>1</v>
      </c>
      <c r="R1923" s="94"/>
    </row>
    <row r="1924" spans="1:18" x14ac:dyDescent="0.25">
      <c r="A1924" s="367">
        <v>40876</v>
      </c>
      <c r="B1924" s="367" t="s">
        <v>279</v>
      </c>
      <c r="C1924" s="279" t="s">
        <v>686</v>
      </c>
      <c r="D1924" s="159" t="s">
        <v>1167</v>
      </c>
      <c r="E1924" s="45">
        <f t="shared" si="150"/>
        <v>40876</v>
      </c>
      <c r="F1924" s="148" t="str">
        <f t="shared" si="147"/>
        <v>2011-12</v>
      </c>
      <c r="G1924" s="1"/>
      <c r="H1924" s="163"/>
      <c r="I1924" s="37"/>
      <c r="J1924" s="138">
        <f t="shared" si="151"/>
        <v>0.77968490742404351</v>
      </c>
      <c r="K1924" s="114"/>
      <c r="L1924" s="37">
        <v>28.662383451099998</v>
      </c>
      <c r="M1924" s="37" t="s">
        <v>142</v>
      </c>
      <c r="N1924" s="37">
        <v>1128.7084557073169</v>
      </c>
      <c r="O1924" s="132">
        <f t="shared" si="148"/>
        <v>32351.474561982035</v>
      </c>
      <c r="P1924" s="134">
        <f t="shared" si="149"/>
        <v>25223.956448890262</v>
      </c>
      <c r="Q1924" s="261">
        <v>1</v>
      </c>
      <c r="R1924" s="94"/>
    </row>
    <row r="1925" spans="1:18" x14ac:dyDescent="0.25">
      <c r="A1925" s="367">
        <v>40876</v>
      </c>
      <c r="B1925" s="367" t="s">
        <v>279</v>
      </c>
      <c r="C1925" s="279" t="s">
        <v>686</v>
      </c>
      <c r="D1925" s="159" t="s">
        <v>1167</v>
      </c>
      <c r="E1925" s="45">
        <f t="shared" si="150"/>
        <v>40876</v>
      </c>
      <c r="F1925" s="148" t="str">
        <f t="shared" si="147"/>
        <v>2011-12</v>
      </c>
      <c r="G1925" s="1"/>
      <c r="H1925" s="163"/>
      <c r="I1925" s="37"/>
      <c r="J1925" s="138">
        <f t="shared" si="151"/>
        <v>0.77968490742404351</v>
      </c>
      <c r="K1925" s="114"/>
      <c r="L1925" s="37">
        <v>1.70170297056</v>
      </c>
      <c r="M1925" s="37" t="s">
        <v>142</v>
      </c>
      <c r="N1925" s="37">
        <v>1128.7084557073169</v>
      </c>
      <c r="O1925" s="132">
        <f t="shared" si="148"/>
        <v>1920.7265319733315</v>
      </c>
      <c r="P1925" s="134">
        <f t="shared" si="149"/>
        <v>1497.5614882685311</v>
      </c>
      <c r="Q1925" s="261">
        <v>1</v>
      </c>
      <c r="R1925" s="94"/>
    </row>
    <row r="1926" spans="1:18" x14ac:dyDescent="0.25">
      <c r="A1926" s="367">
        <v>40700</v>
      </c>
      <c r="B1926" s="367" t="s">
        <v>279</v>
      </c>
      <c r="C1926" s="279" t="s">
        <v>686</v>
      </c>
      <c r="D1926" s="159" t="s">
        <v>1181</v>
      </c>
      <c r="E1926" s="45">
        <f t="shared" si="150"/>
        <v>40700</v>
      </c>
      <c r="F1926" s="148" t="str">
        <f t="shared" si="147"/>
        <v>2010-11</v>
      </c>
      <c r="G1926" s="1"/>
      <c r="H1926" s="163"/>
      <c r="I1926" s="37"/>
      <c r="J1926" s="138">
        <f t="shared" si="151"/>
        <v>0.77968490742404351</v>
      </c>
      <c r="K1926" s="114"/>
      <c r="L1926" s="37">
        <v>265.41632849299998</v>
      </c>
      <c r="M1926" s="37" t="s">
        <v>142</v>
      </c>
      <c r="N1926" s="37">
        <v>771.6404230243902</v>
      </c>
      <c r="O1926" s="132">
        <f t="shared" si="148"/>
        <v>204805.96799591903</v>
      </c>
      <c r="P1926" s="134">
        <f t="shared" si="149"/>
        <v>159684.12219678974</v>
      </c>
      <c r="Q1926" s="261">
        <v>1</v>
      </c>
      <c r="R1926" s="94"/>
    </row>
    <row r="1927" spans="1:18" x14ac:dyDescent="0.25">
      <c r="A1927" s="367">
        <v>41545</v>
      </c>
      <c r="B1927" s="367" t="s">
        <v>279</v>
      </c>
      <c r="C1927" s="279" t="s">
        <v>715</v>
      </c>
      <c r="D1927" s="159" t="s">
        <v>1181</v>
      </c>
      <c r="E1927" s="45">
        <f t="shared" si="150"/>
        <v>41545</v>
      </c>
      <c r="F1927" s="148" t="str">
        <f t="shared" si="147"/>
        <v>2013-14</v>
      </c>
      <c r="G1927" s="1"/>
      <c r="H1927" s="163"/>
      <c r="I1927" s="37"/>
      <c r="J1927" s="138">
        <f t="shared" si="151"/>
        <v>0.77968490742404351</v>
      </c>
      <c r="K1927" s="114"/>
      <c r="L1927" s="37">
        <v>314.11834774800002</v>
      </c>
      <c r="M1927" s="37" t="s">
        <v>142</v>
      </c>
      <c r="N1927" s="37">
        <v>1272.2340968780488</v>
      </c>
      <c r="O1927" s="132">
        <f t="shared" si="148"/>
        <v>399632.07246000168</v>
      </c>
      <c r="P1927" s="134">
        <f t="shared" si="149"/>
        <v>311587.09541965503</v>
      </c>
      <c r="Q1927" s="261">
        <v>1</v>
      </c>
      <c r="R1927" s="94"/>
    </row>
    <row r="1928" spans="1:18" x14ac:dyDescent="0.25">
      <c r="A1928" s="367">
        <v>41545</v>
      </c>
      <c r="B1928" s="367" t="s">
        <v>279</v>
      </c>
      <c r="C1928" s="279" t="s">
        <v>715</v>
      </c>
      <c r="D1928" s="159" t="s">
        <v>1181</v>
      </c>
      <c r="E1928" s="45">
        <f t="shared" si="150"/>
        <v>41545</v>
      </c>
      <c r="F1928" s="148" t="str">
        <f t="shared" si="147"/>
        <v>2013-14</v>
      </c>
      <c r="G1928" s="1"/>
      <c r="H1928" s="163"/>
      <c r="I1928" s="37"/>
      <c r="J1928" s="138">
        <f t="shared" si="151"/>
        <v>0.77968490742404351</v>
      </c>
      <c r="K1928" s="114"/>
      <c r="L1928" s="37">
        <v>2.9970819985300001</v>
      </c>
      <c r="M1928" s="37" t="s">
        <v>142</v>
      </c>
      <c r="N1928" s="37">
        <v>1128.7084557073169</v>
      </c>
      <c r="O1928" s="132">
        <f t="shared" si="148"/>
        <v>3382.8317941889954</v>
      </c>
      <c r="P1928" s="134">
        <f t="shared" si="149"/>
        <v>2637.5428942833578</v>
      </c>
      <c r="Q1928" s="261">
        <v>1</v>
      </c>
      <c r="R1928" s="94"/>
    </row>
    <row r="1929" spans="1:18" x14ac:dyDescent="0.25">
      <c r="A1929" s="367">
        <v>41545</v>
      </c>
      <c r="B1929" s="367" t="s">
        <v>279</v>
      </c>
      <c r="C1929" s="279" t="s">
        <v>715</v>
      </c>
      <c r="D1929" s="159" t="s">
        <v>1181</v>
      </c>
      <c r="E1929" s="45">
        <f t="shared" si="150"/>
        <v>41545</v>
      </c>
      <c r="F1929" s="148" t="str">
        <f t="shared" si="147"/>
        <v>2013-14</v>
      </c>
      <c r="G1929" s="1"/>
      <c r="H1929" s="163"/>
      <c r="I1929" s="37"/>
      <c r="J1929" s="138">
        <f t="shared" si="151"/>
        <v>0.77968490742404351</v>
      </c>
      <c r="K1929" s="114"/>
      <c r="L1929" s="37">
        <v>1.5077592646</v>
      </c>
      <c r="M1929" s="37" t="s">
        <v>142</v>
      </c>
      <c r="N1929" s="37">
        <v>1128.7084557073169</v>
      </c>
      <c r="O1929" s="132">
        <f t="shared" si="148"/>
        <v>1701.8206311250658</v>
      </c>
      <c r="P1929" s="134">
        <f t="shared" si="149"/>
        <v>1326.8838612310742</v>
      </c>
      <c r="Q1929" s="261">
        <v>1</v>
      </c>
      <c r="R1929" s="94"/>
    </row>
    <row r="1930" spans="1:18" x14ac:dyDescent="0.25">
      <c r="A1930" s="367">
        <v>41545</v>
      </c>
      <c r="B1930" s="367" t="s">
        <v>279</v>
      </c>
      <c r="C1930" s="279" t="s">
        <v>715</v>
      </c>
      <c r="D1930" s="159" t="s">
        <v>1181</v>
      </c>
      <c r="E1930" s="45">
        <f t="shared" si="150"/>
        <v>41545</v>
      </c>
      <c r="F1930" s="148" t="str">
        <f t="shared" si="147"/>
        <v>2013-14</v>
      </c>
      <c r="G1930" s="1"/>
      <c r="H1930" s="163"/>
      <c r="I1930" s="37"/>
      <c r="J1930" s="138">
        <f t="shared" si="151"/>
        <v>0.77968490742404351</v>
      </c>
      <c r="K1930" s="114"/>
      <c r="L1930" s="37">
        <v>15.618109136499999</v>
      </c>
      <c r="M1930" s="37" t="s">
        <v>142</v>
      </c>
      <c r="N1930" s="37">
        <v>771.6404230243902</v>
      </c>
      <c r="O1930" s="132">
        <f t="shared" si="148"/>
        <v>12051.564340929954</v>
      </c>
      <c r="P1930" s="134">
        <f t="shared" si="149"/>
        <v>9396.4228274728757</v>
      </c>
      <c r="Q1930" s="261">
        <v>1</v>
      </c>
      <c r="R1930" s="94"/>
    </row>
    <row r="1931" spans="1:18" x14ac:dyDescent="0.25">
      <c r="A1931" s="367">
        <v>41545</v>
      </c>
      <c r="B1931" s="367" t="s">
        <v>279</v>
      </c>
      <c r="C1931" s="279" t="s">
        <v>715</v>
      </c>
      <c r="D1931" s="159" t="s">
        <v>1181</v>
      </c>
      <c r="E1931" s="45">
        <f t="shared" si="150"/>
        <v>41545</v>
      </c>
      <c r="F1931" s="148" t="str">
        <f t="shared" si="147"/>
        <v>2013-14</v>
      </c>
      <c r="G1931" s="1"/>
      <c r="H1931" s="163"/>
      <c r="I1931" s="37"/>
      <c r="J1931" s="138">
        <f t="shared" si="151"/>
        <v>0.77968490742404351</v>
      </c>
      <c r="K1931" s="114"/>
      <c r="L1931" s="37">
        <v>3.8312864097200001</v>
      </c>
      <c r="M1931" s="37" t="s">
        <v>142</v>
      </c>
      <c r="N1931" s="37">
        <v>771.6404230243902</v>
      </c>
      <c r="O1931" s="132">
        <f t="shared" si="148"/>
        <v>2956.375465923938</v>
      </c>
      <c r="P1931" s="134">
        <f t="shared" si="149"/>
        <v>2305.041331459619</v>
      </c>
      <c r="Q1931" s="261">
        <v>1</v>
      </c>
      <c r="R1931" s="94"/>
    </row>
    <row r="1932" spans="1:18" x14ac:dyDescent="0.25">
      <c r="A1932" s="367">
        <v>41545</v>
      </c>
      <c r="B1932" s="367" t="s">
        <v>279</v>
      </c>
      <c r="C1932" s="279" t="s">
        <v>715</v>
      </c>
      <c r="D1932" s="159" t="s">
        <v>1181</v>
      </c>
      <c r="E1932" s="45">
        <f t="shared" si="150"/>
        <v>41545</v>
      </c>
      <c r="F1932" s="148" t="str">
        <f t="shared" si="147"/>
        <v>2013-14</v>
      </c>
      <c r="G1932" s="1"/>
      <c r="H1932" s="163"/>
      <c r="I1932" s="37"/>
      <c r="J1932" s="138">
        <f t="shared" si="151"/>
        <v>0.77968490742404351</v>
      </c>
      <c r="K1932" s="114"/>
      <c r="L1932" s="37">
        <v>3.6479435412900001</v>
      </c>
      <c r="M1932" s="37" t="s">
        <v>142</v>
      </c>
      <c r="N1932" s="37">
        <v>771.6404230243902</v>
      </c>
      <c r="O1932" s="132">
        <f t="shared" si="148"/>
        <v>2814.9006973701075</v>
      </c>
      <c r="P1932" s="134">
        <f t="shared" si="149"/>
        <v>2194.7355896368877</v>
      </c>
      <c r="Q1932" s="261">
        <v>1</v>
      </c>
      <c r="R1932" s="94"/>
    </row>
    <row r="1933" spans="1:18" x14ac:dyDescent="0.25">
      <c r="A1933" s="367">
        <v>41545</v>
      </c>
      <c r="B1933" s="367" t="s">
        <v>279</v>
      </c>
      <c r="C1933" s="279" t="s">
        <v>715</v>
      </c>
      <c r="D1933" s="159" t="s">
        <v>1181</v>
      </c>
      <c r="E1933" s="45">
        <f t="shared" si="150"/>
        <v>41545</v>
      </c>
      <c r="F1933" s="148" t="str">
        <f t="shared" si="147"/>
        <v>2013-14</v>
      </c>
      <c r="G1933" s="1"/>
      <c r="H1933" s="163"/>
      <c r="I1933" s="37"/>
      <c r="J1933" s="138">
        <f t="shared" si="151"/>
        <v>0.77968490742404351</v>
      </c>
      <c r="K1933" s="114"/>
      <c r="L1933" s="37">
        <v>2.4995457587300001</v>
      </c>
      <c r="M1933" s="37" t="s">
        <v>142</v>
      </c>
      <c r="N1933" s="37">
        <v>771.6404230243902</v>
      </c>
      <c r="O1933" s="132">
        <f t="shared" si="148"/>
        <v>1928.7505466352377</v>
      </c>
      <c r="P1933" s="134">
        <f t="shared" si="149"/>
        <v>1503.8176913973687</v>
      </c>
      <c r="Q1933" s="261">
        <v>1</v>
      </c>
      <c r="R1933" s="94"/>
    </row>
    <row r="1934" spans="1:18" x14ac:dyDescent="0.25">
      <c r="A1934" s="367">
        <v>41545</v>
      </c>
      <c r="B1934" s="367" t="s">
        <v>279</v>
      </c>
      <c r="C1934" s="279" t="s">
        <v>715</v>
      </c>
      <c r="D1934" s="159" t="s">
        <v>1181</v>
      </c>
      <c r="E1934" s="45">
        <f t="shared" si="150"/>
        <v>41545</v>
      </c>
      <c r="F1934" s="148" t="str">
        <f t="shared" si="147"/>
        <v>2013-14</v>
      </c>
      <c r="G1934" s="1"/>
      <c r="H1934" s="163"/>
      <c r="I1934" s="37"/>
      <c r="J1934" s="138">
        <f t="shared" si="151"/>
        <v>0.77968490742404351</v>
      </c>
      <c r="K1934" s="114"/>
      <c r="L1934" s="37">
        <v>370.74244018000002</v>
      </c>
      <c r="M1934" s="37" t="s">
        <v>142</v>
      </c>
      <c r="N1934" s="37">
        <v>1272.2340968780488</v>
      </c>
      <c r="O1934" s="132">
        <f t="shared" si="148"/>
        <v>471671.17355676636</v>
      </c>
      <c r="P1934" s="134">
        <f t="shared" si="149"/>
        <v>367754.89528919733</v>
      </c>
      <c r="Q1934" s="261">
        <v>1</v>
      </c>
      <c r="R1934" s="94"/>
    </row>
    <row r="1935" spans="1:18" x14ac:dyDescent="0.25">
      <c r="A1935" s="367">
        <v>40700</v>
      </c>
      <c r="B1935" s="367" t="s">
        <v>279</v>
      </c>
      <c r="C1935" s="279" t="s">
        <v>686</v>
      </c>
      <c r="D1935" s="159" t="s">
        <v>1181</v>
      </c>
      <c r="E1935" s="45">
        <f t="shared" si="150"/>
        <v>40700</v>
      </c>
      <c r="F1935" s="148" t="str">
        <f t="shared" si="147"/>
        <v>2010-11</v>
      </c>
      <c r="G1935" s="1"/>
      <c r="H1935" s="163"/>
      <c r="I1935" s="37"/>
      <c r="J1935" s="138">
        <f t="shared" si="151"/>
        <v>0.77968490742404351</v>
      </c>
      <c r="K1935" s="114"/>
      <c r="L1935" s="37">
        <v>2.99929286907</v>
      </c>
      <c r="M1935" s="37" t="s">
        <v>142</v>
      </c>
      <c r="N1935" s="37">
        <v>771.6404230243902</v>
      </c>
      <c r="O1935" s="132">
        <f t="shared" si="148"/>
        <v>2314.3756182632119</v>
      </c>
      <c r="P1935" s="134">
        <f t="shared" si="149"/>
        <v>1804.4837396700159</v>
      </c>
      <c r="Q1935" s="261">
        <v>1</v>
      </c>
      <c r="R1935" s="94"/>
    </row>
    <row r="1936" spans="1:18" x14ac:dyDescent="0.25">
      <c r="A1936" s="367">
        <v>41545</v>
      </c>
      <c r="B1936" s="367" t="s">
        <v>279</v>
      </c>
      <c r="C1936" s="279" t="s">
        <v>715</v>
      </c>
      <c r="D1936" s="159" t="s">
        <v>1181</v>
      </c>
      <c r="E1936" s="45">
        <f t="shared" si="150"/>
        <v>41545</v>
      </c>
      <c r="F1936" s="148" t="str">
        <f t="shared" si="147"/>
        <v>2013-14</v>
      </c>
      <c r="G1936" s="1"/>
      <c r="H1936" s="163"/>
      <c r="I1936" s="37"/>
      <c r="J1936" s="138">
        <f t="shared" si="151"/>
        <v>0.77968490742404351</v>
      </c>
      <c r="K1936" s="114"/>
      <c r="L1936" s="37">
        <v>4.0907804906800003</v>
      </c>
      <c r="M1936" s="37" t="s">
        <v>142</v>
      </c>
      <c r="N1936" s="37">
        <v>771.6404230243902</v>
      </c>
      <c r="O1936" s="132">
        <f t="shared" si="148"/>
        <v>3156.6115883282378</v>
      </c>
      <c r="P1936" s="134">
        <f t="shared" si="149"/>
        <v>2461.1624140193649</v>
      </c>
      <c r="Q1936" s="261">
        <v>1</v>
      </c>
      <c r="R1936" s="94"/>
    </row>
    <row r="1937" spans="1:18" x14ac:dyDescent="0.25">
      <c r="A1937" s="367">
        <v>40700</v>
      </c>
      <c r="B1937" s="367" t="s">
        <v>279</v>
      </c>
      <c r="C1937" s="279" t="s">
        <v>686</v>
      </c>
      <c r="D1937" s="159" t="s">
        <v>1181</v>
      </c>
      <c r="E1937" s="45">
        <f t="shared" si="150"/>
        <v>40700</v>
      </c>
      <c r="F1937" s="148" t="str">
        <f t="shared" si="147"/>
        <v>2010-11</v>
      </c>
      <c r="G1937" s="1"/>
      <c r="H1937" s="163"/>
      <c r="I1937" s="37"/>
      <c r="J1937" s="138">
        <f t="shared" si="151"/>
        <v>0.77968490742404351</v>
      </c>
      <c r="K1937" s="114"/>
      <c r="L1937" s="37">
        <v>1.04756097675</v>
      </c>
      <c r="M1937" s="37" t="s">
        <v>142</v>
      </c>
      <c r="N1937" s="37">
        <v>771.6404230243902</v>
      </c>
      <c r="O1937" s="132">
        <f t="shared" si="148"/>
        <v>808.34039524321338</v>
      </c>
      <c r="P1937" s="134">
        <f t="shared" si="149"/>
        <v>630.25080623231952</v>
      </c>
      <c r="Q1937" s="261">
        <v>1</v>
      </c>
      <c r="R1937" s="94"/>
    </row>
    <row r="1938" spans="1:18" x14ac:dyDescent="0.25">
      <c r="A1938" s="367">
        <v>40700</v>
      </c>
      <c r="B1938" s="367" t="s">
        <v>279</v>
      </c>
      <c r="C1938" s="279" t="s">
        <v>686</v>
      </c>
      <c r="D1938" s="159" t="s">
        <v>1181</v>
      </c>
      <c r="E1938" s="45">
        <f t="shared" si="150"/>
        <v>40700</v>
      </c>
      <c r="F1938" s="148" t="str">
        <f t="shared" ref="F1938:F2001" si="152">IF(E1938="","-",IF(OR(E1938&lt;$E$15,E1938&gt;$E$16),"ERROR - date outside of range",IF(MONTH(E1938)&gt;=7,YEAR(E1938)&amp;"-"&amp;IF(YEAR(E1938)=1999,"00",IF(AND(YEAR(E1938)&gt;=2000,YEAR(E1938)&lt;2009),"0","")&amp;RIGHT(YEAR(E1938),2)+1),RIGHT(YEAR(E1938),4)-1&amp;"-"&amp;RIGHT(YEAR(E1938),2))))</f>
        <v>2010-11</v>
      </c>
      <c r="G1938" s="1"/>
      <c r="H1938" s="163"/>
      <c r="I1938" s="37"/>
      <c r="J1938" s="138">
        <f t="shared" si="151"/>
        <v>0.77968490742404351</v>
      </c>
      <c r="K1938" s="114"/>
      <c r="L1938" s="37">
        <v>3.8881710353300001</v>
      </c>
      <c r="M1938" s="37" t="s">
        <v>142</v>
      </c>
      <c r="N1938" s="37">
        <v>771.6404230243902</v>
      </c>
      <c r="O1938" s="132">
        <f t="shared" ref="O1938:O2001" si="153">IF(N1938="","-",L1938*N1938)</f>
        <v>3000.2699424932225</v>
      </c>
      <c r="P1938" s="134">
        <f t="shared" ref="P1938:P2001" si="154">IF(O1938="-","-",IF(OR(E1938&lt;$E$15,E1938&gt;$E$16),0,O1938*J1938))*Q1938</f>
        <v>2339.2651923599688</v>
      </c>
      <c r="Q1938" s="261">
        <v>1</v>
      </c>
      <c r="R1938" s="94"/>
    </row>
    <row r="1939" spans="1:18" x14ac:dyDescent="0.25">
      <c r="A1939" s="367">
        <v>40876</v>
      </c>
      <c r="B1939" s="367" t="s">
        <v>279</v>
      </c>
      <c r="C1939" s="279" t="s">
        <v>686</v>
      </c>
      <c r="D1939" s="159" t="s">
        <v>1184</v>
      </c>
      <c r="E1939" s="45">
        <f t="shared" si="150"/>
        <v>40876</v>
      </c>
      <c r="F1939" s="148" t="str">
        <f t="shared" si="152"/>
        <v>2011-12</v>
      </c>
      <c r="G1939" s="1"/>
      <c r="H1939" s="163"/>
      <c r="I1939" s="37"/>
      <c r="J1939" s="138">
        <f t="shared" si="151"/>
        <v>0.77968490742404351</v>
      </c>
      <c r="K1939" s="114"/>
      <c r="L1939" s="37">
        <v>34.894326286999998</v>
      </c>
      <c r="M1939" s="37" t="s">
        <v>142</v>
      </c>
      <c r="N1939" s="37">
        <v>1181.2618378536583</v>
      </c>
      <c r="O1939" s="132">
        <f t="shared" si="153"/>
        <v>41219.336000446841</v>
      </c>
      <c r="P1939" s="134">
        <f t="shared" si="154"/>
        <v>32138.094173588939</v>
      </c>
      <c r="Q1939" s="261">
        <v>1</v>
      </c>
      <c r="R1939" s="94"/>
    </row>
    <row r="1940" spans="1:18" x14ac:dyDescent="0.25">
      <c r="A1940" s="367">
        <v>40876</v>
      </c>
      <c r="B1940" s="367" t="s">
        <v>279</v>
      </c>
      <c r="C1940" s="279" t="s">
        <v>686</v>
      </c>
      <c r="D1940" s="159" t="s">
        <v>1181</v>
      </c>
      <c r="E1940" s="45">
        <f t="shared" si="150"/>
        <v>40876</v>
      </c>
      <c r="F1940" s="148" t="str">
        <f t="shared" si="152"/>
        <v>2011-12</v>
      </c>
      <c r="G1940" s="1"/>
      <c r="H1940" s="163"/>
      <c r="I1940" s="37"/>
      <c r="J1940" s="138">
        <f t="shared" si="151"/>
        <v>0.77968490742404351</v>
      </c>
      <c r="K1940" s="114"/>
      <c r="L1940" s="37">
        <v>23.864807138500002</v>
      </c>
      <c r="M1940" s="37" t="s">
        <v>142</v>
      </c>
      <c r="N1940" s="37">
        <v>771.6404230243902</v>
      </c>
      <c r="O1940" s="132">
        <f t="shared" si="153"/>
        <v>18415.049875747627</v>
      </c>
      <c r="P1940" s="134">
        <f t="shared" si="154"/>
        <v>14357.936457581432</v>
      </c>
      <c r="Q1940" s="261">
        <v>1</v>
      </c>
      <c r="R1940" s="94"/>
    </row>
    <row r="1941" spans="1:18" x14ac:dyDescent="0.25">
      <c r="A1941" s="367">
        <v>40876</v>
      </c>
      <c r="B1941" s="367" t="s">
        <v>279</v>
      </c>
      <c r="C1941" s="279" t="s">
        <v>686</v>
      </c>
      <c r="D1941" s="159" t="s">
        <v>1181</v>
      </c>
      <c r="E1941" s="45">
        <f t="shared" si="150"/>
        <v>40876</v>
      </c>
      <c r="F1941" s="148" t="str">
        <f t="shared" si="152"/>
        <v>2011-12</v>
      </c>
      <c r="G1941" s="1"/>
      <c r="H1941" s="163"/>
      <c r="I1941" s="37"/>
      <c r="J1941" s="138">
        <f t="shared" si="151"/>
        <v>0.77968490742404351</v>
      </c>
      <c r="K1941" s="114"/>
      <c r="L1941" s="37">
        <v>1.6755885533099999</v>
      </c>
      <c r="M1941" s="37" t="s">
        <v>142</v>
      </c>
      <c r="N1941" s="37">
        <v>771.6404230243902</v>
      </c>
      <c r="O1941" s="132">
        <f t="shared" si="153"/>
        <v>1292.9518600909544</v>
      </c>
      <c r="P1941" s="134">
        <f t="shared" si="154"/>
        <v>1008.0950513387606</v>
      </c>
      <c r="Q1941" s="261">
        <v>1</v>
      </c>
      <c r="R1941" s="94"/>
    </row>
    <row r="1942" spans="1:18" x14ac:dyDescent="0.25">
      <c r="A1942" s="367">
        <v>41545</v>
      </c>
      <c r="B1942" s="367" t="s">
        <v>279</v>
      </c>
      <c r="C1942" s="279" t="s">
        <v>715</v>
      </c>
      <c r="D1942" s="159" t="s">
        <v>1181</v>
      </c>
      <c r="E1942" s="45">
        <f t="shared" si="150"/>
        <v>41545</v>
      </c>
      <c r="F1942" s="148" t="str">
        <f t="shared" si="152"/>
        <v>2013-14</v>
      </c>
      <c r="G1942" s="1"/>
      <c r="H1942" s="163"/>
      <c r="I1942" s="37"/>
      <c r="J1942" s="138">
        <f t="shared" si="151"/>
        <v>0.77968490742404351</v>
      </c>
      <c r="K1942" s="114"/>
      <c r="L1942" s="37">
        <v>2.98663851379</v>
      </c>
      <c r="M1942" s="37" t="s">
        <v>142</v>
      </c>
      <c r="N1942" s="37">
        <v>1272.2340968780488</v>
      </c>
      <c r="O1942" s="132">
        <f t="shared" si="153"/>
        <v>3799.7033522928186</v>
      </c>
      <c r="P1942" s="134">
        <f t="shared" si="154"/>
        <v>2962.5713564712541</v>
      </c>
      <c r="Q1942" s="261">
        <v>1</v>
      </c>
      <c r="R1942" s="94"/>
    </row>
    <row r="1943" spans="1:18" x14ac:dyDescent="0.25">
      <c r="A1943" s="367">
        <v>40876</v>
      </c>
      <c r="B1943" s="367" t="s">
        <v>279</v>
      </c>
      <c r="C1943" s="279" t="s">
        <v>686</v>
      </c>
      <c r="D1943" s="159" t="s">
        <v>1181</v>
      </c>
      <c r="E1943" s="45">
        <f t="shared" ref="E1943:E2006" si="155">IF(A1943&lt;2022,DATEVALUE("30 Jun "&amp;A1943),A1943)</f>
        <v>40876</v>
      </c>
      <c r="F1943" s="148" t="str">
        <f t="shared" si="152"/>
        <v>2011-12</v>
      </c>
      <c r="G1943" s="1"/>
      <c r="H1943" s="163"/>
      <c r="I1943" s="37"/>
      <c r="J1943" s="138">
        <f t="shared" si="151"/>
        <v>0.77968490742404351</v>
      </c>
      <c r="K1943" s="114"/>
      <c r="L1943" s="37">
        <v>1.8800994062600001</v>
      </c>
      <c r="M1943" s="37" t="s">
        <v>142</v>
      </c>
      <c r="N1943" s="37">
        <v>936.5640883902438</v>
      </c>
      <c r="O1943" s="132">
        <f t="shared" si="153"/>
        <v>1760.8335865069355</v>
      </c>
      <c r="P1943" s="134">
        <f t="shared" si="154"/>
        <v>1372.8953718848065</v>
      </c>
      <c r="Q1943" s="261">
        <v>1</v>
      </c>
      <c r="R1943" s="94"/>
    </row>
    <row r="1944" spans="1:18" x14ac:dyDescent="0.25">
      <c r="A1944" s="367">
        <v>40876</v>
      </c>
      <c r="B1944" s="367" t="s">
        <v>279</v>
      </c>
      <c r="C1944" s="279" t="s">
        <v>686</v>
      </c>
      <c r="D1944" s="159" t="s">
        <v>1181</v>
      </c>
      <c r="E1944" s="45">
        <f t="shared" si="155"/>
        <v>40876</v>
      </c>
      <c r="F1944" s="148" t="str">
        <f t="shared" si="152"/>
        <v>2011-12</v>
      </c>
      <c r="G1944" s="1"/>
      <c r="H1944" s="163"/>
      <c r="I1944" s="37"/>
      <c r="J1944" s="138">
        <f t="shared" ref="J1944:J2007" si="156">J1943</f>
        <v>0.77968490742404351</v>
      </c>
      <c r="K1944" s="114"/>
      <c r="L1944" s="37">
        <v>1.2432091537600001</v>
      </c>
      <c r="M1944" s="37" t="s">
        <v>142</v>
      </c>
      <c r="N1944" s="37">
        <v>771.6404230243902</v>
      </c>
      <c r="O1944" s="132">
        <f t="shared" si="153"/>
        <v>959.31043731516058</v>
      </c>
      <c r="P1944" s="134">
        <f t="shared" si="154"/>
        <v>747.95986950898964</v>
      </c>
      <c r="Q1944" s="261">
        <v>1</v>
      </c>
      <c r="R1944" s="94"/>
    </row>
    <row r="1945" spans="1:18" x14ac:dyDescent="0.25">
      <c r="A1945" s="367">
        <v>40876</v>
      </c>
      <c r="B1945" s="367" t="s">
        <v>279</v>
      </c>
      <c r="C1945" s="279" t="s">
        <v>686</v>
      </c>
      <c r="D1945" s="159" t="s">
        <v>1181</v>
      </c>
      <c r="E1945" s="45">
        <f t="shared" si="155"/>
        <v>40876</v>
      </c>
      <c r="F1945" s="148" t="str">
        <f t="shared" si="152"/>
        <v>2011-12</v>
      </c>
      <c r="G1945" s="1"/>
      <c r="H1945" s="163"/>
      <c r="I1945" s="37"/>
      <c r="J1945" s="138">
        <f t="shared" si="156"/>
        <v>0.77968490742404351</v>
      </c>
      <c r="K1945" s="114"/>
      <c r="L1945" s="37">
        <v>3.1053375017899998</v>
      </c>
      <c r="M1945" s="37" t="s">
        <v>142</v>
      </c>
      <c r="N1945" s="37">
        <v>771.6404230243902</v>
      </c>
      <c r="O1945" s="132">
        <f t="shared" si="153"/>
        <v>2396.2039435147385</v>
      </c>
      <c r="P1945" s="134">
        <f t="shared" si="154"/>
        <v>1868.2840498684168</v>
      </c>
      <c r="Q1945" s="261">
        <v>1</v>
      </c>
      <c r="R1945" s="94"/>
    </row>
    <row r="1946" spans="1:18" x14ac:dyDescent="0.25">
      <c r="A1946" s="367">
        <v>40700</v>
      </c>
      <c r="B1946" s="367" t="s">
        <v>279</v>
      </c>
      <c r="C1946" s="279" t="s">
        <v>686</v>
      </c>
      <c r="D1946" s="159" t="s">
        <v>1181</v>
      </c>
      <c r="E1946" s="45">
        <f t="shared" si="155"/>
        <v>40700</v>
      </c>
      <c r="F1946" s="148" t="str">
        <f t="shared" si="152"/>
        <v>2010-11</v>
      </c>
      <c r="G1946" s="1"/>
      <c r="H1946" s="163"/>
      <c r="I1946" s="37"/>
      <c r="J1946" s="138">
        <f t="shared" si="156"/>
        <v>0.77968490742404351</v>
      </c>
      <c r="K1946" s="114"/>
      <c r="L1946" s="37">
        <v>405.242872686</v>
      </c>
      <c r="M1946" s="37" t="s">
        <v>142</v>
      </c>
      <c r="N1946" s="37">
        <v>771.6404230243902</v>
      </c>
      <c r="O1946" s="132">
        <f t="shared" si="153"/>
        <v>312701.78170704417</v>
      </c>
      <c r="P1946" s="134">
        <f t="shared" si="154"/>
        <v>243808.85972159018</v>
      </c>
      <c r="Q1946" s="261">
        <v>1</v>
      </c>
      <c r="R1946" s="94"/>
    </row>
    <row r="1947" spans="1:18" x14ac:dyDescent="0.25">
      <c r="A1947" s="367">
        <v>40700</v>
      </c>
      <c r="B1947" s="367" t="s">
        <v>279</v>
      </c>
      <c r="C1947" s="279" t="s">
        <v>686</v>
      </c>
      <c r="D1947" s="159" t="s">
        <v>1167</v>
      </c>
      <c r="E1947" s="45">
        <f t="shared" si="155"/>
        <v>40700</v>
      </c>
      <c r="F1947" s="148" t="str">
        <f t="shared" si="152"/>
        <v>2010-11</v>
      </c>
      <c r="G1947" s="1"/>
      <c r="H1947" s="163"/>
      <c r="I1947" s="37"/>
      <c r="J1947" s="138">
        <f t="shared" si="156"/>
        <v>0.77968490742404351</v>
      </c>
      <c r="K1947" s="114"/>
      <c r="L1947" s="37">
        <v>2.1614312387900001</v>
      </c>
      <c r="M1947" s="37" t="s">
        <v>142</v>
      </c>
      <c r="N1947" s="37">
        <v>771.6404230243902</v>
      </c>
      <c r="O1947" s="132">
        <f t="shared" si="153"/>
        <v>1667.8477154380473</v>
      </c>
      <c r="P1947" s="134">
        <f t="shared" si="154"/>
        <v>1300.3956916087163</v>
      </c>
      <c r="Q1947" s="261">
        <v>1</v>
      </c>
      <c r="R1947" s="94"/>
    </row>
    <row r="1948" spans="1:18" x14ac:dyDescent="0.25">
      <c r="A1948" s="367">
        <v>40880</v>
      </c>
      <c r="B1948" s="367" t="s">
        <v>279</v>
      </c>
      <c r="C1948" s="279" t="s">
        <v>686</v>
      </c>
      <c r="D1948" s="159" t="s">
        <v>1167</v>
      </c>
      <c r="E1948" s="45">
        <f t="shared" si="155"/>
        <v>40880</v>
      </c>
      <c r="F1948" s="148" t="str">
        <f t="shared" si="152"/>
        <v>2011-12</v>
      </c>
      <c r="G1948" s="1"/>
      <c r="H1948" s="163"/>
      <c r="I1948" s="37"/>
      <c r="J1948" s="138">
        <f t="shared" si="156"/>
        <v>0.77968490742404351</v>
      </c>
      <c r="K1948" s="114"/>
      <c r="L1948" s="37">
        <v>4.8834705109099996</v>
      </c>
      <c r="M1948" s="37" t="s">
        <v>142</v>
      </c>
      <c r="N1948" s="37">
        <v>1422.8419512195119</v>
      </c>
      <c r="O1948" s="132">
        <f t="shared" si="153"/>
        <v>6948.4067104661308</v>
      </c>
      <c r="P1948" s="134">
        <f t="shared" si="154"/>
        <v>5417.5678427943876</v>
      </c>
      <c r="Q1948" s="261">
        <v>1</v>
      </c>
      <c r="R1948" s="94"/>
    </row>
    <row r="1949" spans="1:18" x14ac:dyDescent="0.25">
      <c r="A1949" s="367">
        <v>40880</v>
      </c>
      <c r="B1949" s="367" t="s">
        <v>279</v>
      </c>
      <c r="C1949" s="279" t="s">
        <v>686</v>
      </c>
      <c r="D1949" s="159" t="s">
        <v>1167</v>
      </c>
      <c r="E1949" s="45">
        <f t="shared" si="155"/>
        <v>40880</v>
      </c>
      <c r="F1949" s="148" t="str">
        <f t="shared" si="152"/>
        <v>2011-12</v>
      </c>
      <c r="G1949" s="1"/>
      <c r="H1949" s="163"/>
      <c r="I1949" s="37"/>
      <c r="J1949" s="138">
        <f t="shared" si="156"/>
        <v>0.77968490742404351</v>
      </c>
      <c r="K1949" s="114"/>
      <c r="L1949" s="37">
        <v>21.6315414285</v>
      </c>
      <c r="M1949" s="37" t="s">
        <v>142</v>
      </c>
      <c r="N1949" s="37">
        <v>771.6404230243902</v>
      </c>
      <c r="O1949" s="132">
        <f t="shared" si="153"/>
        <v>16691.771778557362</v>
      </c>
      <c r="P1949" s="134">
        <f t="shared" si="154"/>
        <v>13014.32253390776</v>
      </c>
      <c r="Q1949" s="261">
        <v>1</v>
      </c>
      <c r="R1949" s="94"/>
    </row>
    <row r="1950" spans="1:18" x14ac:dyDescent="0.25">
      <c r="A1950" s="367">
        <v>40156</v>
      </c>
      <c r="B1950" s="367" t="s">
        <v>279</v>
      </c>
      <c r="C1950" s="279" t="s">
        <v>716</v>
      </c>
      <c r="D1950" s="159" t="s">
        <v>1184</v>
      </c>
      <c r="E1950" s="45">
        <f t="shared" si="155"/>
        <v>40156</v>
      </c>
      <c r="F1950" s="148" t="str">
        <f t="shared" si="152"/>
        <v>2009-10</v>
      </c>
      <c r="G1950" s="1"/>
      <c r="H1950" s="163"/>
      <c r="I1950" s="37"/>
      <c r="J1950" s="138">
        <f t="shared" si="156"/>
        <v>0.77968490742404351</v>
      </c>
      <c r="K1950" s="114"/>
      <c r="L1950" s="37">
        <v>178.926566842</v>
      </c>
      <c r="M1950" s="37" t="s">
        <v>142</v>
      </c>
      <c r="N1950" s="37">
        <v>696.6467060487804</v>
      </c>
      <c r="O1950" s="132">
        <f t="shared" si="153"/>
        <v>124648.60341509624</v>
      </c>
      <c r="P1950" s="134">
        <f t="shared" si="154"/>
        <v>97186.634814235629</v>
      </c>
      <c r="Q1950" s="261">
        <v>1</v>
      </c>
      <c r="R1950" s="94"/>
    </row>
    <row r="1951" spans="1:18" x14ac:dyDescent="0.25">
      <c r="A1951" s="367">
        <v>40876</v>
      </c>
      <c r="B1951" s="367" t="s">
        <v>279</v>
      </c>
      <c r="C1951" s="279" t="s">
        <v>686</v>
      </c>
      <c r="D1951" s="159" t="s">
        <v>1185</v>
      </c>
      <c r="E1951" s="45">
        <f t="shared" si="155"/>
        <v>40876</v>
      </c>
      <c r="F1951" s="148" t="str">
        <f t="shared" si="152"/>
        <v>2011-12</v>
      </c>
      <c r="G1951" s="1"/>
      <c r="H1951" s="163"/>
      <c r="I1951" s="37"/>
      <c r="J1951" s="138">
        <f t="shared" si="156"/>
        <v>0.77968490742404351</v>
      </c>
      <c r="K1951" s="114"/>
      <c r="L1951" s="37">
        <v>474.54112291000001</v>
      </c>
      <c r="M1951" s="37" t="s">
        <v>142</v>
      </c>
      <c r="N1951" s="37">
        <v>936.5640883902438</v>
      </c>
      <c r="O1951" s="132">
        <f t="shared" si="153"/>
        <v>444438.17418188677</v>
      </c>
      <c r="P1951" s="134">
        <f t="shared" si="154"/>
        <v>346521.73669271532</v>
      </c>
      <c r="Q1951" s="261">
        <v>1</v>
      </c>
      <c r="R1951" s="94"/>
    </row>
    <row r="1952" spans="1:18" x14ac:dyDescent="0.25">
      <c r="A1952" s="367">
        <v>40876</v>
      </c>
      <c r="B1952" s="367" t="s">
        <v>279</v>
      </c>
      <c r="C1952" s="279" t="s">
        <v>686</v>
      </c>
      <c r="D1952" s="159" t="s">
        <v>1184</v>
      </c>
      <c r="E1952" s="45">
        <f t="shared" si="155"/>
        <v>40876</v>
      </c>
      <c r="F1952" s="148" t="str">
        <f t="shared" si="152"/>
        <v>2011-12</v>
      </c>
      <c r="G1952" s="1"/>
      <c r="H1952" s="163"/>
      <c r="I1952" s="37"/>
      <c r="J1952" s="138">
        <f t="shared" si="156"/>
        <v>0.77968490742404351</v>
      </c>
      <c r="K1952" s="114"/>
      <c r="L1952" s="37">
        <v>19.7958155619</v>
      </c>
      <c r="M1952" s="37" t="s">
        <v>142</v>
      </c>
      <c r="N1952" s="37">
        <v>696.6467060487804</v>
      </c>
      <c r="O1952" s="132">
        <f t="shared" si="153"/>
        <v>13790.689704746821</v>
      </c>
      <c r="P1952" s="134">
        <f t="shared" si="154"/>
        <v>10752.392625759236</v>
      </c>
      <c r="Q1952" s="261">
        <v>1</v>
      </c>
      <c r="R1952" s="94"/>
    </row>
    <row r="1953" spans="1:18" x14ac:dyDescent="0.25">
      <c r="A1953" s="367">
        <v>41376</v>
      </c>
      <c r="B1953" s="367" t="s">
        <v>279</v>
      </c>
      <c r="C1953" s="279" t="s">
        <v>717</v>
      </c>
      <c r="D1953" s="159" t="s">
        <v>1184</v>
      </c>
      <c r="E1953" s="45">
        <f t="shared" si="155"/>
        <v>41376</v>
      </c>
      <c r="F1953" s="148" t="str">
        <f t="shared" si="152"/>
        <v>2012-13</v>
      </c>
      <c r="G1953" s="1"/>
      <c r="H1953" s="163"/>
      <c r="I1953" s="37"/>
      <c r="J1953" s="138">
        <f t="shared" si="156"/>
        <v>0.77968490742404351</v>
      </c>
      <c r="K1953" s="114"/>
      <c r="L1953" s="37">
        <v>2.2694142416099998</v>
      </c>
      <c r="M1953" s="37" t="s">
        <v>142</v>
      </c>
      <c r="N1953" s="37">
        <v>621.96682926829249</v>
      </c>
      <c r="O1953" s="132">
        <f t="shared" si="153"/>
        <v>1411.5003801504781</v>
      </c>
      <c r="P1953" s="134">
        <f t="shared" si="154"/>
        <v>1100.5255432266279</v>
      </c>
      <c r="Q1953" s="261">
        <v>1</v>
      </c>
      <c r="R1953" s="94"/>
    </row>
    <row r="1954" spans="1:18" x14ac:dyDescent="0.25">
      <c r="A1954" s="367">
        <v>40876</v>
      </c>
      <c r="B1954" s="367" t="s">
        <v>279</v>
      </c>
      <c r="C1954" s="279" t="s">
        <v>686</v>
      </c>
      <c r="D1954" s="159" t="s">
        <v>1185</v>
      </c>
      <c r="E1954" s="45">
        <f t="shared" si="155"/>
        <v>40876</v>
      </c>
      <c r="F1954" s="148" t="str">
        <f t="shared" si="152"/>
        <v>2011-12</v>
      </c>
      <c r="G1954" s="1"/>
      <c r="H1954" s="163"/>
      <c r="I1954" s="37"/>
      <c r="J1954" s="138">
        <f t="shared" si="156"/>
        <v>0.77968490742404351</v>
      </c>
      <c r="K1954" s="114"/>
      <c r="L1954" s="37">
        <v>10.5489393563</v>
      </c>
      <c r="M1954" s="37" t="s">
        <v>142</v>
      </c>
      <c r="N1954" s="37">
        <v>1181.2618378536583</v>
      </c>
      <c r="O1954" s="132">
        <f t="shared" si="153"/>
        <v>12461.059491429725</v>
      </c>
      <c r="P1954" s="134">
        <f t="shared" si="154"/>
        <v>9715.7000159808849</v>
      </c>
      <c r="Q1954" s="261">
        <v>1</v>
      </c>
      <c r="R1954" s="94"/>
    </row>
    <row r="1955" spans="1:18" x14ac:dyDescent="0.25">
      <c r="A1955" s="367">
        <v>40876</v>
      </c>
      <c r="B1955" s="367" t="s">
        <v>279</v>
      </c>
      <c r="C1955" s="279" t="s">
        <v>686</v>
      </c>
      <c r="D1955" s="159" t="s">
        <v>1186</v>
      </c>
      <c r="E1955" s="45">
        <f t="shared" si="155"/>
        <v>40876</v>
      </c>
      <c r="F1955" s="148" t="str">
        <f t="shared" si="152"/>
        <v>2011-12</v>
      </c>
      <c r="G1955" s="1"/>
      <c r="H1955" s="163"/>
      <c r="I1955" s="37"/>
      <c r="J1955" s="138">
        <f t="shared" si="156"/>
        <v>0.77968490742404351</v>
      </c>
      <c r="K1955" s="114"/>
      <c r="L1955" s="37">
        <v>155.65420819900001</v>
      </c>
      <c r="M1955" s="37" t="s">
        <v>142</v>
      </c>
      <c r="N1955" s="37">
        <v>1422.8419512195119</v>
      </c>
      <c r="O1955" s="132">
        <f t="shared" si="153"/>
        <v>221471.33730939333</v>
      </c>
      <c r="P1955" s="134">
        <f t="shared" si="154"/>
        <v>172677.85912715347</v>
      </c>
      <c r="Q1955" s="261">
        <v>1</v>
      </c>
      <c r="R1955" s="94"/>
    </row>
    <row r="1956" spans="1:18" x14ac:dyDescent="0.25">
      <c r="A1956" s="367">
        <v>40876</v>
      </c>
      <c r="B1956" s="367" t="s">
        <v>279</v>
      </c>
      <c r="C1956" s="279" t="s">
        <v>686</v>
      </c>
      <c r="D1956" s="159" t="s">
        <v>1186</v>
      </c>
      <c r="E1956" s="45">
        <f t="shared" si="155"/>
        <v>40876</v>
      </c>
      <c r="F1956" s="148" t="str">
        <f t="shared" si="152"/>
        <v>2011-12</v>
      </c>
      <c r="G1956" s="1"/>
      <c r="H1956" s="163"/>
      <c r="I1956" s="37"/>
      <c r="J1956" s="138">
        <f t="shared" si="156"/>
        <v>0.77968490742404351</v>
      </c>
      <c r="K1956" s="114"/>
      <c r="L1956" s="37">
        <v>33.433620087199998</v>
      </c>
      <c r="M1956" s="37" t="s">
        <v>142</v>
      </c>
      <c r="N1956" s="37">
        <v>1422.8419512195119</v>
      </c>
      <c r="O1956" s="132">
        <f t="shared" si="153"/>
        <v>47570.757241203515</v>
      </c>
      <c r="P1956" s="134">
        <f t="shared" si="154"/>
        <v>37090.201455699411</v>
      </c>
      <c r="Q1956" s="261">
        <v>1</v>
      </c>
      <c r="R1956" s="94"/>
    </row>
    <row r="1957" spans="1:18" x14ac:dyDescent="0.25">
      <c r="A1957" s="367">
        <v>40876</v>
      </c>
      <c r="B1957" s="367" t="s">
        <v>279</v>
      </c>
      <c r="C1957" s="279" t="s">
        <v>686</v>
      </c>
      <c r="D1957" s="159" t="s">
        <v>1186</v>
      </c>
      <c r="E1957" s="45">
        <f t="shared" si="155"/>
        <v>40876</v>
      </c>
      <c r="F1957" s="148" t="str">
        <f t="shared" si="152"/>
        <v>2011-12</v>
      </c>
      <c r="G1957" s="1"/>
      <c r="H1957" s="163"/>
      <c r="I1957" s="37"/>
      <c r="J1957" s="138">
        <f t="shared" si="156"/>
        <v>0.77968490742404351</v>
      </c>
      <c r="K1957" s="114"/>
      <c r="L1957" s="37">
        <v>4.0003327263699999</v>
      </c>
      <c r="M1957" s="37" t="s">
        <v>142</v>
      </c>
      <c r="N1957" s="37">
        <v>1422.8419512195119</v>
      </c>
      <c r="O1957" s="132">
        <f t="shared" si="153"/>
        <v>5691.8412219155607</v>
      </c>
      <c r="P1957" s="134">
        <f t="shared" si="154"/>
        <v>4437.8426961815885</v>
      </c>
      <c r="Q1957" s="261">
        <v>1</v>
      </c>
      <c r="R1957" s="94"/>
    </row>
    <row r="1958" spans="1:18" x14ac:dyDescent="0.25">
      <c r="A1958" s="367">
        <v>40876</v>
      </c>
      <c r="B1958" s="367" t="s">
        <v>279</v>
      </c>
      <c r="C1958" s="279" t="s">
        <v>686</v>
      </c>
      <c r="D1958" s="159" t="s">
        <v>1186</v>
      </c>
      <c r="E1958" s="45">
        <f t="shared" si="155"/>
        <v>40876</v>
      </c>
      <c r="F1958" s="148" t="str">
        <f t="shared" si="152"/>
        <v>2011-12</v>
      </c>
      <c r="G1958" s="1"/>
      <c r="H1958" s="163"/>
      <c r="I1958" s="37"/>
      <c r="J1958" s="138">
        <f t="shared" si="156"/>
        <v>0.77968490742404351</v>
      </c>
      <c r="K1958" s="114"/>
      <c r="L1958" s="37">
        <v>2.3908667884299999</v>
      </c>
      <c r="M1958" s="37" t="s">
        <v>142</v>
      </c>
      <c r="N1958" s="37">
        <v>1422.8419512195119</v>
      </c>
      <c r="O1958" s="132">
        <f t="shared" si="153"/>
        <v>3401.8255663556688</v>
      </c>
      <c r="P1958" s="134">
        <f t="shared" si="154"/>
        <v>2652.3520517767638</v>
      </c>
      <c r="Q1958" s="261">
        <v>1</v>
      </c>
      <c r="R1958" s="94"/>
    </row>
    <row r="1959" spans="1:18" x14ac:dyDescent="0.25">
      <c r="A1959" s="367">
        <v>40876</v>
      </c>
      <c r="B1959" s="367" t="s">
        <v>279</v>
      </c>
      <c r="C1959" s="279" t="s">
        <v>686</v>
      </c>
      <c r="D1959" s="159" t="s">
        <v>1186</v>
      </c>
      <c r="E1959" s="45">
        <f t="shared" si="155"/>
        <v>40876</v>
      </c>
      <c r="F1959" s="148" t="str">
        <f t="shared" si="152"/>
        <v>2011-12</v>
      </c>
      <c r="G1959" s="1"/>
      <c r="H1959" s="163"/>
      <c r="I1959" s="37"/>
      <c r="J1959" s="138">
        <f t="shared" si="156"/>
        <v>0.77968490742404351</v>
      </c>
      <c r="K1959" s="114"/>
      <c r="L1959" s="37">
        <v>3.99977251433</v>
      </c>
      <c r="M1959" s="37" t="s">
        <v>142</v>
      </c>
      <c r="N1959" s="37">
        <v>1422.8419512195119</v>
      </c>
      <c r="O1959" s="132">
        <f t="shared" si="153"/>
        <v>5691.0441287234707</v>
      </c>
      <c r="P1959" s="134">
        <f t="shared" si="154"/>
        <v>4437.221214649906</v>
      </c>
      <c r="Q1959" s="261">
        <v>1</v>
      </c>
      <c r="R1959" s="94"/>
    </row>
    <row r="1960" spans="1:18" x14ac:dyDescent="0.25">
      <c r="A1960" s="367">
        <v>40876</v>
      </c>
      <c r="B1960" s="367" t="s">
        <v>279</v>
      </c>
      <c r="C1960" s="279" t="s">
        <v>686</v>
      </c>
      <c r="D1960" s="159" t="s">
        <v>1186</v>
      </c>
      <c r="E1960" s="45">
        <f t="shared" si="155"/>
        <v>40876</v>
      </c>
      <c r="F1960" s="148" t="str">
        <f t="shared" si="152"/>
        <v>2011-12</v>
      </c>
      <c r="G1960" s="1"/>
      <c r="H1960" s="163"/>
      <c r="I1960" s="37"/>
      <c r="J1960" s="138">
        <f t="shared" si="156"/>
        <v>0.77968490742404351</v>
      </c>
      <c r="K1960" s="114"/>
      <c r="L1960" s="37">
        <v>27.948477864299999</v>
      </c>
      <c r="M1960" s="37" t="s">
        <v>142</v>
      </c>
      <c r="N1960" s="37">
        <v>1422.8419512195119</v>
      </c>
      <c r="O1960" s="132">
        <f t="shared" si="153"/>
        <v>39766.26677805595</v>
      </c>
      <c r="P1960" s="134">
        <f t="shared" si="154"/>
        <v>31005.158031448369</v>
      </c>
      <c r="Q1960" s="261">
        <v>1</v>
      </c>
      <c r="R1960" s="94"/>
    </row>
    <row r="1961" spans="1:18" x14ac:dyDescent="0.25">
      <c r="A1961" s="367">
        <v>40876</v>
      </c>
      <c r="B1961" s="367" t="s">
        <v>279</v>
      </c>
      <c r="C1961" s="279" t="s">
        <v>686</v>
      </c>
      <c r="D1961" s="159" t="s">
        <v>1186</v>
      </c>
      <c r="E1961" s="45">
        <f t="shared" si="155"/>
        <v>40876</v>
      </c>
      <c r="F1961" s="148" t="str">
        <f t="shared" si="152"/>
        <v>2011-12</v>
      </c>
      <c r="G1961" s="1"/>
      <c r="H1961" s="163"/>
      <c r="I1961" s="37"/>
      <c r="J1961" s="138">
        <f t="shared" si="156"/>
        <v>0.77968490742404351</v>
      </c>
      <c r="K1961" s="114"/>
      <c r="L1961" s="37">
        <v>14.0953697131</v>
      </c>
      <c r="M1961" s="37" t="s">
        <v>142</v>
      </c>
      <c r="N1961" s="37">
        <v>2042.4636684878049</v>
      </c>
      <c r="O1961" s="132">
        <f t="shared" si="153"/>
        <v>28789.280532910125</v>
      </c>
      <c r="P1961" s="134">
        <f t="shared" si="154"/>
        <v>22446.567527106847</v>
      </c>
      <c r="Q1961" s="261">
        <v>1</v>
      </c>
      <c r="R1961" s="94"/>
    </row>
    <row r="1962" spans="1:18" x14ac:dyDescent="0.25">
      <c r="A1962" s="367">
        <v>40876</v>
      </c>
      <c r="B1962" s="367" t="s">
        <v>279</v>
      </c>
      <c r="C1962" s="279" t="s">
        <v>686</v>
      </c>
      <c r="D1962" s="159" t="s">
        <v>1186</v>
      </c>
      <c r="E1962" s="45">
        <f t="shared" si="155"/>
        <v>40876</v>
      </c>
      <c r="F1962" s="148" t="str">
        <f t="shared" si="152"/>
        <v>2011-12</v>
      </c>
      <c r="G1962" s="1"/>
      <c r="H1962" s="163"/>
      <c r="I1962" s="37"/>
      <c r="J1962" s="138">
        <f t="shared" si="156"/>
        <v>0.77968490742404351</v>
      </c>
      <c r="K1962" s="114"/>
      <c r="L1962" s="37">
        <v>5.9998974724799998</v>
      </c>
      <c r="M1962" s="37" t="s">
        <v>142</v>
      </c>
      <c r="N1962" s="37">
        <v>2042.4636684878049</v>
      </c>
      <c r="O1962" s="132">
        <f t="shared" si="153"/>
        <v>12254.572602192209</v>
      </c>
      <c r="P1962" s="134">
        <f t="shared" si="154"/>
        <v>9554.7053048614525</v>
      </c>
      <c r="Q1962" s="261">
        <v>1</v>
      </c>
      <c r="R1962" s="94"/>
    </row>
    <row r="1963" spans="1:18" x14ac:dyDescent="0.25">
      <c r="A1963" s="367">
        <v>40876</v>
      </c>
      <c r="B1963" s="367" t="s">
        <v>279</v>
      </c>
      <c r="C1963" s="279" t="s">
        <v>686</v>
      </c>
      <c r="D1963" s="159" t="s">
        <v>1186</v>
      </c>
      <c r="E1963" s="45">
        <f t="shared" si="155"/>
        <v>40876</v>
      </c>
      <c r="F1963" s="148" t="str">
        <f t="shared" si="152"/>
        <v>2011-12</v>
      </c>
      <c r="G1963" s="1"/>
      <c r="H1963" s="163"/>
      <c r="I1963" s="37"/>
      <c r="J1963" s="138">
        <f t="shared" si="156"/>
        <v>0.77968490742404351</v>
      </c>
      <c r="K1963" s="114"/>
      <c r="L1963" s="37">
        <v>4.0002902554300004</v>
      </c>
      <c r="M1963" s="37" t="s">
        <v>142</v>
      </c>
      <c r="N1963" s="37">
        <v>1422.8419512195119</v>
      </c>
      <c r="O1963" s="132">
        <f t="shared" si="153"/>
        <v>5691.780792480421</v>
      </c>
      <c r="P1963" s="134">
        <f t="shared" si="154"/>
        <v>4437.7955802630458</v>
      </c>
      <c r="Q1963" s="261">
        <v>1</v>
      </c>
      <c r="R1963" s="94"/>
    </row>
    <row r="1964" spans="1:18" x14ac:dyDescent="0.25">
      <c r="A1964" s="367">
        <v>40876</v>
      </c>
      <c r="B1964" s="367" t="s">
        <v>279</v>
      </c>
      <c r="C1964" s="279" t="s">
        <v>686</v>
      </c>
      <c r="D1964" s="159" t="s">
        <v>1186</v>
      </c>
      <c r="E1964" s="45">
        <f t="shared" si="155"/>
        <v>40876</v>
      </c>
      <c r="F1964" s="148" t="str">
        <f t="shared" si="152"/>
        <v>2011-12</v>
      </c>
      <c r="G1964" s="1"/>
      <c r="H1964" s="163"/>
      <c r="I1964" s="37"/>
      <c r="J1964" s="138">
        <f t="shared" si="156"/>
        <v>0.77968490742404351</v>
      </c>
      <c r="K1964" s="114"/>
      <c r="L1964" s="37">
        <v>4.1236847600199997</v>
      </c>
      <c r="M1964" s="37" t="s">
        <v>142</v>
      </c>
      <c r="N1964" s="37">
        <v>1422.8419512195119</v>
      </c>
      <c r="O1964" s="132">
        <f t="shared" si="153"/>
        <v>5867.3516701610206</v>
      </c>
      <c r="P1964" s="134">
        <f t="shared" si="154"/>
        <v>4574.6855437738022</v>
      </c>
      <c r="Q1964" s="261">
        <v>1</v>
      </c>
      <c r="R1964" s="94"/>
    </row>
    <row r="1965" spans="1:18" x14ac:dyDescent="0.25">
      <c r="A1965" s="367">
        <v>40876</v>
      </c>
      <c r="B1965" s="367" t="s">
        <v>279</v>
      </c>
      <c r="C1965" s="279" t="s">
        <v>686</v>
      </c>
      <c r="D1965" s="159" t="s">
        <v>1186</v>
      </c>
      <c r="E1965" s="45">
        <f t="shared" si="155"/>
        <v>40876</v>
      </c>
      <c r="F1965" s="148" t="str">
        <f t="shared" si="152"/>
        <v>2011-12</v>
      </c>
      <c r="G1965" s="1"/>
      <c r="H1965" s="163"/>
      <c r="I1965" s="37"/>
      <c r="J1965" s="138">
        <f t="shared" si="156"/>
        <v>0.77968490742404351</v>
      </c>
      <c r="K1965" s="114"/>
      <c r="L1965" s="37">
        <v>2.0738071269999998</v>
      </c>
      <c r="M1965" s="37" t="s">
        <v>142</v>
      </c>
      <c r="N1965" s="37">
        <v>1422.8419512195119</v>
      </c>
      <c r="O1965" s="132">
        <f t="shared" si="153"/>
        <v>2950.69977903361</v>
      </c>
      <c r="P1965" s="134">
        <f t="shared" si="154"/>
        <v>2300.616084051966</v>
      </c>
      <c r="Q1965" s="261">
        <v>1</v>
      </c>
      <c r="R1965" s="94"/>
    </row>
    <row r="1966" spans="1:18" x14ac:dyDescent="0.25">
      <c r="A1966" s="367">
        <v>40876</v>
      </c>
      <c r="B1966" s="367" t="s">
        <v>279</v>
      </c>
      <c r="C1966" s="279" t="s">
        <v>686</v>
      </c>
      <c r="D1966" s="159" t="s">
        <v>1186</v>
      </c>
      <c r="E1966" s="45">
        <f t="shared" si="155"/>
        <v>40876</v>
      </c>
      <c r="F1966" s="148" t="str">
        <f t="shared" si="152"/>
        <v>2011-12</v>
      </c>
      <c r="G1966" s="1"/>
      <c r="H1966" s="163"/>
      <c r="I1966" s="37"/>
      <c r="J1966" s="138">
        <f t="shared" si="156"/>
        <v>0.77968490742404351</v>
      </c>
      <c r="K1966" s="114"/>
      <c r="L1966" s="37">
        <v>122.71179033200001</v>
      </c>
      <c r="M1966" s="37" t="s">
        <v>142</v>
      </c>
      <c r="N1966" s="37">
        <v>1422.8419512195119</v>
      </c>
      <c r="O1966" s="132">
        <f t="shared" si="153"/>
        <v>174599.48319362252</v>
      </c>
      <c r="P1966" s="134">
        <f t="shared" si="154"/>
        <v>136132.58189010542</v>
      </c>
      <c r="Q1966" s="261">
        <v>1</v>
      </c>
      <c r="R1966" s="94"/>
    </row>
    <row r="1967" spans="1:18" x14ac:dyDescent="0.25">
      <c r="A1967" s="367">
        <v>40876</v>
      </c>
      <c r="B1967" s="367" t="s">
        <v>279</v>
      </c>
      <c r="C1967" s="279" t="s">
        <v>686</v>
      </c>
      <c r="D1967" s="159" t="s">
        <v>1185</v>
      </c>
      <c r="E1967" s="45">
        <f t="shared" si="155"/>
        <v>40876</v>
      </c>
      <c r="F1967" s="148" t="str">
        <f t="shared" si="152"/>
        <v>2011-12</v>
      </c>
      <c r="G1967" s="1"/>
      <c r="H1967" s="163"/>
      <c r="I1967" s="37"/>
      <c r="J1967" s="138">
        <f t="shared" si="156"/>
        <v>0.77968490742404351</v>
      </c>
      <c r="K1967" s="114"/>
      <c r="L1967" s="37">
        <v>62.194606675599999</v>
      </c>
      <c r="M1967" s="37" t="s">
        <v>142</v>
      </c>
      <c r="N1967" s="37">
        <v>1422.8419512195119</v>
      </c>
      <c r="O1967" s="132">
        <f t="shared" si="153"/>
        <v>88493.095517640788</v>
      </c>
      <c r="P1967" s="134">
        <f t="shared" si="154"/>
        <v>68996.730986338793</v>
      </c>
      <c r="Q1967" s="261">
        <v>1</v>
      </c>
      <c r="R1967" s="94"/>
    </row>
    <row r="1968" spans="1:18" x14ac:dyDescent="0.25">
      <c r="A1968" s="367">
        <v>40876</v>
      </c>
      <c r="B1968" s="367" t="s">
        <v>279</v>
      </c>
      <c r="C1968" s="279" t="s">
        <v>686</v>
      </c>
      <c r="D1968" s="159" t="s">
        <v>1185</v>
      </c>
      <c r="E1968" s="45">
        <f t="shared" si="155"/>
        <v>40876</v>
      </c>
      <c r="F1968" s="148" t="str">
        <f t="shared" si="152"/>
        <v>2011-12</v>
      </c>
      <c r="G1968" s="1"/>
      <c r="H1968" s="163"/>
      <c r="I1968" s="37"/>
      <c r="J1968" s="138">
        <f t="shared" si="156"/>
        <v>0.77968490742404351</v>
      </c>
      <c r="K1968" s="114"/>
      <c r="L1968" s="37">
        <v>47.868011520800003</v>
      </c>
      <c r="M1968" s="37" t="s">
        <v>142</v>
      </c>
      <c r="N1968" s="37">
        <v>936.5640883902438</v>
      </c>
      <c r="O1968" s="132">
        <f t="shared" si="153"/>
        <v>44831.460573031742</v>
      </c>
      <c r="P1968" s="134">
        <f t="shared" si="154"/>
        <v>34954.413186568912</v>
      </c>
      <c r="Q1968" s="261">
        <v>1</v>
      </c>
      <c r="R1968" s="94"/>
    </row>
    <row r="1969" spans="1:18" x14ac:dyDescent="0.25">
      <c r="A1969" s="367">
        <v>40876</v>
      </c>
      <c r="B1969" s="367" t="s">
        <v>279</v>
      </c>
      <c r="C1969" s="279" t="s">
        <v>686</v>
      </c>
      <c r="D1969" s="159" t="s">
        <v>1186</v>
      </c>
      <c r="E1969" s="45">
        <f t="shared" si="155"/>
        <v>40876</v>
      </c>
      <c r="F1969" s="148" t="str">
        <f t="shared" si="152"/>
        <v>2011-12</v>
      </c>
      <c r="G1969" s="1"/>
      <c r="H1969" s="163"/>
      <c r="I1969" s="37"/>
      <c r="J1969" s="138">
        <f t="shared" si="156"/>
        <v>0.77968490742404351</v>
      </c>
      <c r="K1969" s="114"/>
      <c r="L1969" s="37">
        <v>2.1014832856800001</v>
      </c>
      <c r="M1969" s="37" t="s">
        <v>142</v>
      </c>
      <c r="N1969" s="37">
        <v>936.5640883902438</v>
      </c>
      <c r="O1969" s="132">
        <f t="shared" si="153"/>
        <v>1968.1737777202236</v>
      </c>
      <c r="P1969" s="134">
        <f t="shared" si="154"/>
        <v>1534.5553896762226</v>
      </c>
      <c r="Q1969" s="261">
        <v>1</v>
      </c>
      <c r="R1969" s="94"/>
    </row>
    <row r="1970" spans="1:18" x14ac:dyDescent="0.25">
      <c r="A1970" s="367">
        <v>40742</v>
      </c>
      <c r="B1970" s="367" t="s">
        <v>279</v>
      </c>
      <c r="C1970" s="279" t="s">
        <v>718</v>
      </c>
      <c r="D1970" s="159" t="s">
        <v>1186</v>
      </c>
      <c r="E1970" s="45">
        <f t="shared" si="155"/>
        <v>40742</v>
      </c>
      <c r="F1970" s="148" t="str">
        <f t="shared" si="152"/>
        <v>2011-12</v>
      </c>
      <c r="G1970" s="1"/>
      <c r="H1970" s="163"/>
      <c r="I1970" s="37"/>
      <c r="J1970" s="138">
        <f t="shared" si="156"/>
        <v>0.77968490742404351</v>
      </c>
      <c r="K1970" s="114"/>
      <c r="L1970" s="37">
        <v>66.674401665199994</v>
      </c>
      <c r="M1970" s="37" t="s">
        <v>142</v>
      </c>
      <c r="N1970" s="37">
        <v>2679.5507189268287</v>
      </c>
      <c r="O1970" s="132">
        <f t="shared" si="153"/>
        <v>178657.44091600279</v>
      </c>
      <c r="P1970" s="134">
        <f t="shared" si="154"/>
        <v>139296.51028121015</v>
      </c>
      <c r="Q1970" s="261">
        <v>1</v>
      </c>
      <c r="R1970" s="94"/>
    </row>
    <row r="1971" spans="1:18" x14ac:dyDescent="0.25">
      <c r="A1971" s="367">
        <v>40742</v>
      </c>
      <c r="B1971" s="367" t="s">
        <v>279</v>
      </c>
      <c r="C1971" s="279" t="s">
        <v>718</v>
      </c>
      <c r="D1971" s="159" t="s">
        <v>1186</v>
      </c>
      <c r="E1971" s="45">
        <f t="shared" si="155"/>
        <v>40742</v>
      </c>
      <c r="F1971" s="148" t="str">
        <f t="shared" si="152"/>
        <v>2011-12</v>
      </c>
      <c r="G1971" s="1"/>
      <c r="H1971" s="163"/>
      <c r="I1971" s="37"/>
      <c r="J1971" s="138">
        <f t="shared" si="156"/>
        <v>0.77968490742404351</v>
      </c>
      <c r="K1971" s="114"/>
      <c r="L1971" s="37">
        <v>115.461046934</v>
      </c>
      <c r="M1971" s="37" t="s">
        <v>142</v>
      </c>
      <c r="N1971" s="37">
        <v>2679.5507189268287</v>
      </c>
      <c r="O1971" s="132">
        <f t="shared" si="153"/>
        <v>309383.73132004403</v>
      </c>
      <c r="P1971" s="134">
        <f t="shared" si="154"/>
        <v>241221.82591277367</v>
      </c>
      <c r="Q1971" s="261">
        <v>1</v>
      </c>
      <c r="R1971" s="94"/>
    </row>
    <row r="1972" spans="1:18" x14ac:dyDescent="0.25">
      <c r="A1972" s="367">
        <v>40742</v>
      </c>
      <c r="B1972" s="367" t="s">
        <v>279</v>
      </c>
      <c r="C1972" s="279" t="s">
        <v>718</v>
      </c>
      <c r="D1972" s="159" t="s">
        <v>1186</v>
      </c>
      <c r="E1972" s="45">
        <f t="shared" si="155"/>
        <v>40742</v>
      </c>
      <c r="F1972" s="148" t="str">
        <f t="shared" si="152"/>
        <v>2011-12</v>
      </c>
      <c r="G1972" s="1"/>
      <c r="H1972" s="163"/>
      <c r="I1972" s="37"/>
      <c r="J1972" s="138">
        <f t="shared" si="156"/>
        <v>0.77968490742404351</v>
      </c>
      <c r="K1972" s="114"/>
      <c r="L1972" s="37">
        <v>17.276962377699999</v>
      </c>
      <c r="M1972" s="37" t="s">
        <v>142</v>
      </c>
      <c r="N1972" s="37">
        <v>2683.0915094634142</v>
      </c>
      <c r="O1972" s="132">
        <f t="shared" si="153"/>
        <v>46355.671064925707</v>
      </c>
      <c r="P1972" s="134">
        <f t="shared" si="154"/>
        <v>36142.817102836016</v>
      </c>
      <c r="Q1972" s="261">
        <v>1</v>
      </c>
      <c r="R1972" s="94"/>
    </row>
    <row r="1973" spans="1:18" x14ac:dyDescent="0.25">
      <c r="A1973" s="367">
        <v>40742</v>
      </c>
      <c r="B1973" s="367" t="s">
        <v>279</v>
      </c>
      <c r="C1973" s="279" t="s">
        <v>718</v>
      </c>
      <c r="D1973" s="159" t="s">
        <v>1186</v>
      </c>
      <c r="E1973" s="45">
        <f t="shared" si="155"/>
        <v>40742</v>
      </c>
      <c r="F1973" s="148" t="str">
        <f t="shared" si="152"/>
        <v>2011-12</v>
      </c>
      <c r="G1973" s="1"/>
      <c r="H1973" s="163"/>
      <c r="I1973" s="37"/>
      <c r="J1973" s="138">
        <f t="shared" si="156"/>
        <v>0.77968490742404351</v>
      </c>
      <c r="K1973" s="114"/>
      <c r="L1973" s="37">
        <v>40.185994817900003</v>
      </c>
      <c r="M1973" s="37" t="s">
        <v>142</v>
      </c>
      <c r="N1973" s="37">
        <v>3100.7755036097556</v>
      </c>
      <c r="O1973" s="132">
        <f t="shared" si="153"/>
        <v>124607.74831953291</v>
      </c>
      <c r="P1973" s="134">
        <f t="shared" si="154"/>
        <v>97154.780712833526</v>
      </c>
      <c r="Q1973" s="261">
        <v>1</v>
      </c>
      <c r="R1973" s="94"/>
    </row>
    <row r="1974" spans="1:18" x14ac:dyDescent="0.25">
      <c r="A1974" s="367">
        <v>40742</v>
      </c>
      <c r="B1974" s="367" t="s">
        <v>279</v>
      </c>
      <c r="C1974" s="279" t="s">
        <v>718</v>
      </c>
      <c r="D1974" s="159" t="s">
        <v>1186</v>
      </c>
      <c r="E1974" s="45">
        <f t="shared" si="155"/>
        <v>40742</v>
      </c>
      <c r="F1974" s="148" t="str">
        <f t="shared" si="152"/>
        <v>2011-12</v>
      </c>
      <c r="G1974" s="1"/>
      <c r="H1974" s="163"/>
      <c r="I1974" s="37"/>
      <c r="J1974" s="138">
        <f t="shared" si="156"/>
        <v>0.77968490742404351</v>
      </c>
      <c r="K1974" s="114"/>
      <c r="L1974" s="37">
        <v>2.4998321949700002</v>
      </c>
      <c r="M1974" s="37" t="s">
        <v>142</v>
      </c>
      <c r="N1974" s="37">
        <v>3100.7755036097556</v>
      </c>
      <c r="O1974" s="132">
        <f t="shared" si="153"/>
        <v>7751.418433297983</v>
      </c>
      <c r="P1974" s="134">
        <f t="shared" si="154"/>
        <v>6043.6639635709626</v>
      </c>
      <c r="Q1974" s="261">
        <v>1</v>
      </c>
      <c r="R1974" s="94"/>
    </row>
    <row r="1975" spans="1:18" x14ac:dyDescent="0.25">
      <c r="A1975" s="367">
        <v>40742</v>
      </c>
      <c r="B1975" s="367" t="s">
        <v>279</v>
      </c>
      <c r="C1975" s="279" t="s">
        <v>718</v>
      </c>
      <c r="D1975" s="159" t="s">
        <v>1186</v>
      </c>
      <c r="E1975" s="45">
        <f t="shared" si="155"/>
        <v>40742</v>
      </c>
      <c r="F1975" s="148" t="str">
        <f t="shared" si="152"/>
        <v>2011-12</v>
      </c>
      <c r="G1975" s="1"/>
      <c r="H1975" s="163"/>
      <c r="I1975" s="37"/>
      <c r="J1975" s="138">
        <f t="shared" si="156"/>
        <v>0.77968490742404351</v>
      </c>
      <c r="K1975" s="114"/>
      <c r="L1975" s="37">
        <v>2.47421084506</v>
      </c>
      <c r="M1975" s="37" t="s">
        <v>142</v>
      </c>
      <c r="N1975" s="37">
        <v>2683.0915094634142</v>
      </c>
      <c r="O1975" s="132">
        <f t="shared" si="153"/>
        <v>6638.5341110027848</v>
      </c>
      <c r="P1975" s="134">
        <f t="shared" si="154"/>
        <v>5175.9648537685616</v>
      </c>
      <c r="Q1975" s="261">
        <v>1</v>
      </c>
      <c r="R1975" s="94"/>
    </row>
    <row r="1976" spans="1:18" x14ac:dyDescent="0.25">
      <c r="A1976" s="367">
        <v>40098</v>
      </c>
      <c r="B1976" s="367" t="s">
        <v>279</v>
      </c>
      <c r="C1976" s="279" t="s">
        <v>290</v>
      </c>
      <c r="D1976" s="159" t="s">
        <v>1187</v>
      </c>
      <c r="E1976" s="45">
        <f t="shared" si="155"/>
        <v>40098</v>
      </c>
      <c r="F1976" s="148" t="str">
        <f t="shared" si="152"/>
        <v>2009-10</v>
      </c>
      <c r="G1976" s="1"/>
      <c r="H1976" s="163"/>
      <c r="I1976" s="37"/>
      <c r="J1976" s="138">
        <f t="shared" si="156"/>
        <v>0.77968490742404351</v>
      </c>
      <c r="K1976" s="114"/>
      <c r="L1976" s="37">
        <v>5.99729714354</v>
      </c>
      <c r="M1976" s="37" t="s">
        <v>142</v>
      </c>
      <c r="N1976" s="37">
        <v>2683.0915094634142</v>
      </c>
      <c r="O1976" s="132">
        <f t="shared" si="153"/>
        <v>16091.297045561361</v>
      </c>
      <c r="P1976" s="134">
        <f t="shared" si="154"/>
        <v>12546.141447301296</v>
      </c>
      <c r="Q1976" s="261">
        <v>1</v>
      </c>
      <c r="R1976" s="94"/>
    </row>
    <row r="1977" spans="1:18" x14ac:dyDescent="0.25">
      <c r="A1977" s="367">
        <v>40742</v>
      </c>
      <c r="B1977" s="367" t="s">
        <v>279</v>
      </c>
      <c r="C1977" s="279" t="s">
        <v>718</v>
      </c>
      <c r="D1977" s="159" t="s">
        <v>1186</v>
      </c>
      <c r="E1977" s="45">
        <f t="shared" si="155"/>
        <v>40742</v>
      </c>
      <c r="F1977" s="148" t="str">
        <f t="shared" si="152"/>
        <v>2011-12</v>
      </c>
      <c r="G1977" s="1"/>
      <c r="H1977" s="163"/>
      <c r="I1977" s="37"/>
      <c r="J1977" s="138">
        <f t="shared" si="156"/>
        <v>0.77968490742404351</v>
      </c>
      <c r="K1977" s="114"/>
      <c r="L1977" s="37">
        <v>63.902261354300002</v>
      </c>
      <c r="M1977" s="37" t="s">
        <v>142</v>
      </c>
      <c r="N1977" s="37">
        <v>2679.5507189268287</v>
      </c>
      <c r="O1977" s="132">
        <f t="shared" si="153"/>
        <v>171229.35035296468</v>
      </c>
      <c r="P1977" s="134">
        <f t="shared" si="154"/>
        <v>133504.94017823038</v>
      </c>
      <c r="Q1977" s="261">
        <v>1</v>
      </c>
      <c r="R1977" s="94"/>
    </row>
    <row r="1978" spans="1:18" x14ac:dyDescent="0.25">
      <c r="A1978" s="367">
        <v>40742</v>
      </c>
      <c r="B1978" s="367" t="s">
        <v>279</v>
      </c>
      <c r="C1978" s="279" t="s">
        <v>718</v>
      </c>
      <c r="D1978" s="159" t="s">
        <v>1186</v>
      </c>
      <c r="E1978" s="45">
        <f t="shared" si="155"/>
        <v>40742</v>
      </c>
      <c r="F1978" s="148" t="str">
        <f t="shared" si="152"/>
        <v>2011-12</v>
      </c>
      <c r="G1978" s="1"/>
      <c r="H1978" s="163"/>
      <c r="I1978" s="37"/>
      <c r="J1978" s="138">
        <f t="shared" si="156"/>
        <v>0.77968490742404351</v>
      </c>
      <c r="K1978" s="114"/>
      <c r="L1978" s="37">
        <v>131.99431021699999</v>
      </c>
      <c r="M1978" s="37" t="s">
        <v>142</v>
      </c>
      <c r="N1978" s="37">
        <v>2679.5507189268287</v>
      </c>
      <c r="O1978" s="132">
        <f t="shared" si="153"/>
        <v>353685.44883621321</v>
      </c>
      <c r="P1978" s="134">
        <f t="shared" si="154"/>
        <v>275763.20643309416</v>
      </c>
      <c r="Q1978" s="261">
        <v>1</v>
      </c>
      <c r="R1978" s="94"/>
    </row>
    <row r="1979" spans="1:18" x14ac:dyDescent="0.25">
      <c r="A1979" s="367">
        <v>40742</v>
      </c>
      <c r="B1979" s="367" t="s">
        <v>279</v>
      </c>
      <c r="C1979" s="279" t="s">
        <v>718</v>
      </c>
      <c r="D1979" s="159" t="s">
        <v>1186</v>
      </c>
      <c r="E1979" s="45">
        <f t="shared" si="155"/>
        <v>40742</v>
      </c>
      <c r="F1979" s="148" t="str">
        <f t="shared" si="152"/>
        <v>2011-12</v>
      </c>
      <c r="G1979" s="1"/>
      <c r="H1979" s="163"/>
      <c r="I1979" s="37"/>
      <c r="J1979" s="138">
        <f t="shared" si="156"/>
        <v>0.77968490742404351</v>
      </c>
      <c r="K1979" s="114"/>
      <c r="L1979" s="37">
        <v>95.936208472100006</v>
      </c>
      <c r="M1979" s="37" t="s">
        <v>142</v>
      </c>
      <c r="N1979" s="37">
        <v>2679.5507189268287</v>
      </c>
      <c r="O1979" s="132">
        <f t="shared" si="153"/>
        <v>257065.93638252968</v>
      </c>
      <c r="P1979" s="134">
        <f t="shared" si="154"/>
        <v>200430.43081028771</v>
      </c>
      <c r="Q1979" s="261">
        <v>1</v>
      </c>
      <c r="R1979" s="94"/>
    </row>
    <row r="1980" spans="1:18" x14ac:dyDescent="0.25">
      <c r="A1980" s="367">
        <v>40742</v>
      </c>
      <c r="B1980" s="367" t="s">
        <v>279</v>
      </c>
      <c r="C1980" s="279" t="s">
        <v>718</v>
      </c>
      <c r="D1980" s="159" t="s">
        <v>1186</v>
      </c>
      <c r="E1980" s="45">
        <f t="shared" si="155"/>
        <v>40742</v>
      </c>
      <c r="F1980" s="148" t="str">
        <f t="shared" si="152"/>
        <v>2011-12</v>
      </c>
      <c r="G1980" s="1"/>
      <c r="H1980" s="163"/>
      <c r="I1980" s="37"/>
      <c r="J1980" s="138">
        <f t="shared" si="156"/>
        <v>0.77968490742404351</v>
      </c>
      <c r="K1980" s="114"/>
      <c r="L1980" s="37">
        <v>7.2249214556999997</v>
      </c>
      <c r="M1980" s="37" t="s">
        <v>142</v>
      </c>
      <c r="N1980" s="37">
        <v>2683.0915094634142</v>
      </c>
      <c r="O1980" s="132">
        <f t="shared" si="153"/>
        <v>19385.125414328719</v>
      </c>
      <c r="P1980" s="134">
        <f t="shared" si="154"/>
        <v>15114.289714074361</v>
      </c>
      <c r="Q1980" s="261">
        <v>1</v>
      </c>
      <c r="R1980" s="94"/>
    </row>
    <row r="1981" spans="1:18" x14ac:dyDescent="0.25">
      <c r="A1981" s="367">
        <v>40742</v>
      </c>
      <c r="B1981" s="367" t="s">
        <v>279</v>
      </c>
      <c r="C1981" s="279" t="s">
        <v>718</v>
      </c>
      <c r="D1981" s="159" t="s">
        <v>1186</v>
      </c>
      <c r="E1981" s="45">
        <f t="shared" si="155"/>
        <v>40742</v>
      </c>
      <c r="F1981" s="148" t="str">
        <f t="shared" si="152"/>
        <v>2011-12</v>
      </c>
      <c r="G1981" s="1"/>
      <c r="H1981" s="163"/>
      <c r="I1981" s="37"/>
      <c r="J1981" s="138">
        <f t="shared" si="156"/>
        <v>0.77968490742404351</v>
      </c>
      <c r="K1981" s="114"/>
      <c r="L1981" s="37">
        <v>27.477690878200001</v>
      </c>
      <c r="M1981" s="37" t="s">
        <v>142</v>
      </c>
      <c r="N1981" s="37">
        <v>2679.5507189268287</v>
      </c>
      <c r="O1981" s="132">
        <f t="shared" si="153"/>
        <v>73627.866347129981</v>
      </c>
      <c r="P1981" s="134">
        <f t="shared" si="154"/>
        <v>57406.536156691887</v>
      </c>
      <c r="Q1981" s="261">
        <v>1</v>
      </c>
      <c r="R1981" s="94"/>
    </row>
    <row r="1982" spans="1:18" x14ac:dyDescent="0.25">
      <c r="A1982" s="367">
        <v>40742</v>
      </c>
      <c r="B1982" s="367" t="s">
        <v>279</v>
      </c>
      <c r="C1982" s="279" t="s">
        <v>718</v>
      </c>
      <c r="D1982" s="159" t="s">
        <v>1186</v>
      </c>
      <c r="E1982" s="45">
        <f t="shared" si="155"/>
        <v>40742</v>
      </c>
      <c r="F1982" s="148" t="str">
        <f t="shared" si="152"/>
        <v>2011-12</v>
      </c>
      <c r="G1982" s="1"/>
      <c r="H1982" s="163"/>
      <c r="I1982" s="37"/>
      <c r="J1982" s="138">
        <f t="shared" si="156"/>
        <v>0.77968490742404351</v>
      </c>
      <c r="K1982" s="114"/>
      <c r="L1982" s="37">
        <v>30.7550823443</v>
      </c>
      <c r="M1982" s="37" t="s">
        <v>142</v>
      </c>
      <c r="N1982" s="37">
        <v>2683.0915094634142</v>
      </c>
      <c r="O1982" s="132">
        <f t="shared" si="153"/>
        <v>82518.700310839486</v>
      </c>
      <c r="P1982" s="134">
        <f t="shared" si="154"/>
        <v>64338.585212609272</v>
      </c>
      <c r="Q1982" s="261">
        <v>1</v>
      </c>
      <c r="R1982" s="94"/>
    </row>
    <row r="1983" spans="1:18" x14ac:dyDescent="0.25">
      <c r="A1983" s="367">
        <v>40742</v>
      </c>
      <c r="B1983" s="367" t="s">
        <v>279</v>
      </c>
      <c r="C1983" s="279" t="s">
        <v>718</v>
      </c>
      <c r="D1983" s="159" t="s">
        <v>1186</v>
      </c>
      <c r="E1983" s="45">
        <f t="shared" si="155"/>
        <v>40742</v>
      </c>
      <c r="F1983" s="148" t="str">
        <f t="shared" si="152"/>
        <v>2011-12</v>
      </c>
      <c r="G1983" s="1"/>
      <c r="H1983" s="163"/>
      <c r="I1983" s="37"/>
      <c r="J1983" s="138">
        <f t="shared" si="156"/>
        <v>0.77968490742404351</v>
      </c>
      <c r="K1983" s="114"/>
      <c r="L1983" s="37">
        <v>2.9997939918799998</v>
      </c>
      <c r="M1983" s="37" t="s">
        <v>142</v>
      </c>
      <c r="N1983" s="37">
        <v>2679.5507189268287</v>
      </c>
      <c r="O1983" s="132">
        <f t="shared" si="153"/>
        <v>8038.1001475744351</v>
      </c>
      <c r="P1983" s="134">
        <f t="shared" si="154"/>
        <v>6267.1853694267638</v>
      </c>
      <c r="Q1983" s="261">
        <v>1</v>
      </c>
      <c r="R1983" s="94"/>
    </row>
    <row r="1984" spans="1:18" x14ac:dyDescent="0.25">
      <c r="A1984" s="367">
        <v>40876</v>
      </c>
      <c r="B1984" s="367" t="s">
        <v>279</v>
      </c>
      <c r="C1984" s="279" t="s">
        <v>686</v>
      </c>
      <c r="D1984" s="159" t="s">
        <v>1184</v>
      </c>
      <c r="E1984" s="45">
        <f t="shared" si="155"/>
        <v>40876</v>
      </c>
      <c r="F1984" s="148" t="str">
        <f t="shared" si="152"/>
        <v>2011-12</v>
      </c>
      <c r="G1984" s="1"/>
      <c r="H1984" s="163"/>
      <c r="I1984" s="37"/>
      <c r="J1984" s="138">
        <f t="shared" si="156"/>
        <v>0.77968490742404351</v>
      </c>
      <c r="K1984" s="114"/>
      <c r="L1984" s="37">
        <v>316.93196150799997</v>
      </c>
      <c r="M1984" s="37" t="s">
        <v>142</v>
      </c>
      <c r="N1984" s="37">
        <v>1422.8419512195119</v>
      </c>
      <c r="O1984" s="132">
        <f t="shared" si="153"/>
        <v>450944.0905158699</v>
      </c>
      <c r="P1984" s="134">
        <f t="shared" si="154"/>
        <v>351594.30146728549</v>
      </c>
      <c r="Q1984" s="261">
        <v>1</v>
      </c>
      <c r="R1984" s="94"/>
    </row>
    <row r="1985" spans="1:18" x14ac:dyDescent="0.25">
      <c r="A1985" s="367">
        <v>40876</v>
      </c>
      <c r="B1985" s="367" t="s">
        <v>279</v>
      </c>
      <c r="C1985" s="279" t="s">
        <v>686</v>
      </c>
      <c r="D1985" s="159" t="s">
        <v>1184</v>
      </c>
      <c r="E1985" s="45">
        <f t="shared" si="155"/>
        <v>40876</v>
      </c>
      <c r="F1985" s="148" t="str">
        <f t="shared" si="152"/>
        <v>2011-12</v>
      </c>
      <c r="G1985" s="1"/>
      <c r="H1985" s="163"/>
      <c r="I1985" s="37"/>
      <c r="J1985" s="138">
        <f t="shared" si="156"/>
        <v>0.77968490742404351</v>
      </c>
      <c r="K1985" s="114"/>
      <c r="L1985" s="37">
        <v>102.62500980599999</v>
      </c>
      <c r="M1985" s="37" t="s">
        <v>142</v>
      </c>
      <c r="N1985" s="37">
        <v>1422.8419512195119</v>
      </c>
      <c r="O1985" s="132">
        <f t="shared" si="153"/>
        <v>146019.16919629058</v>
      </c>
      <c r="P1985" s="134">
        <f t="shared" si="154"/>
        <v>113848.94241694556</v>
      </c>
      <c r="Q1985" s="261">
        <v>1</v>
      </c>
      <c r="R1985" s="94"/>
    </row>
    <row r="1986" spans="1:18" x14ac:dyDescent="0.25">
      <c r="A1986" s="367">
        <v>40876</v>
      </c>
      <c r="B1986" s="367" t="s">
        <v>279</v>
      </c>
      <c r="C1986" s="279" t="s">
        <v>686</v>
      </c>
      <c r="D1986" s="159" t="s">
        <v>1184</v>
      </c>
      <c r="E1986" s="45">
        <f t="shared" si="155"/>
        <v>40876</v>
      </c>
      <c r="F1986" s="148" t="str">
        <f t="shared" si="152"/>
        <v>2011-12</v>
      </c>
      <c r="G1986" s="1"/>
      <c r="H1986" s="163"/>
      <c r="I1986" s="37"/>
      <c r="J1986" s="138">
        <f t="shared" si="156"/>
        <v>0.77968490742404351</v>
      </c>
      <c r="K1986" s="114"/>
      <c r="L1986" s="37">
        <v>2.9719104063300001</v>
      </c>
      <c r="M1986" s="37" t="s">
        <v>142</v>
      </c>
      <c r="N1986" s="37">
        <v>1422.8419512195119</v>
      </c>
      <c r="O1986" s="132">
        <f t="shared" si="153"/>
        <v>4228.5588013921497</v>
      </c>
      <c r="P1986" s="134">
        <f t="shared" si="154"/>
        <v>3296.9434776005628</v>
      </c>
      <c r="Q1986" s="261">
        <v>1</v>
      </c>
      <c r="R1986" s="94"/>
    </row>
    <row r="1987" spans="1:18" x14ac:dyDescent="0.25">
      <c r="A1987" s="367">
        <v>40876</v>
      </c>
      <c r="B1987" s="367" t="s">
        <v>279</v>
      </c>
      <c r="C1987" s="279" t="s">
        <v>686</v>
      </c>
      <c r="D1987" s="159" t="s">
        <v>1184</v>
      </c>
      <c r="E1987" s="45">
        <f t="shared" si="155"/>
        <v>40876</v>
      </c>
      <c r="F1987" s="148" t="str">
        <f t="shared" si="152"/>
        <v>2011-12</v>
      </c>
      <c r="G1987" s="1"/>
      <c r="H1987" s="163"/>
      <c r="I1987" s="37"/>
      <c r="J1987" s="138">
        <f t="shared" si="156"/>
        <v>0.77968490742404351</v>
      </c>
      <c r="K1987" s="114"/>
      <c r="L1987" s="37">
        <v>21.584421927499999</v>
      </c>
      <c r="M1987" s="37" t="s">
        <v>142</v>
      </c>
      <c r="N1987" s="37">
        <v>2042.4636684878049</v>
      </c>
      <c r="O1987" s="132">
        <f t="shared" si="153"/>
        <v>44085.397592230263</v>
      </c>
      <c r="P1987" s="134">
        <f t="shared" si="154"/>
        <v>34372.719140450201</v>
      </c>
      <c r="Q1987" s="261">
        <v>1</v>
      </c>
      <c r="R1987" s="94"/>
    </row>
    <row r="1988" spans="1:18" x14ac:dyDescent="0.25">
      <c r="A1988" s="367">
        <v>40876</v>
      </c>
      <c r="B1988" s="367" t="s">
        <v>279</v>
      </c>
      <c r="C1988" s="279" t="s">
        <v>686</v>
      </c>
      <c r="D1988" s="159" t="s">
        <v>1186</v>
      </c>
      <c r="E1988" s="45">
        <f t="shared" si="155"/>
        <v>40876</v>
      </c>
      <c r="F1988" s="148" t="str">
        <f t="shared" si="152"/>
        <v>2011-12</v>
      </c>
      <c r="G1988" s="1"/>
      <c r="H1988" s="163"/>
      <c r="I1988" s="37"/>
      <c r="J1988" s="138">
        <f t="shared" si="156"/>
        <v>0.77968490742404351</v>
      </c>
      <c r="K1988" s="114"/>
      <c r="L1988" s="37">
        <v>303.44737032900002</v>
      </c>
      <c r="M1988" s="37" t="s">
        <v>142</v>
      </c>
      <c r="N1988" s="37">
        <v>1422.8419512195119</v>
      </c>
      <c r="O1988" s="132">
        <f t="shared" si="153"/>
        <v>431757.64849134418</v>
      </c>
      <c r="P1988" s="134">
        <f t="shared" si="154"/>
        <v>336634.92219359643</v>
      </c>
      <c r="Q1988" s="261">
        <v>1</v>
      </c>
      <c r="R1988" s="94"/>
    </row>
    <row r="1989" spans="1:18" x14ac:dyDescent="0.25">
      <c r="A1989" s="367">
        <v>40156</v>
      </c>
      <c r="B1989" s="367" t="s">
        <v>279</v>
      </c>
      <c r="C1989" s="279" t="s">
        <v>716</v>
      </c>
      <c r="D1989" s="159" t="s">
        <v>1184</v>
      </c>
      <c r="E1989" s="45">
        <f t="shared" si="155"/>
        <v>40156</v>
      </c>
      <c r="F1989" s="148" t="str">
        <f t="shared" si="152"/>
        <v>2009-10</v>
      </c>
      <c r="G1989" s="1"/>
      <c r="H1989" s="163"/>
      <c r="I1989" s="37"/>
      <c r="J1989" s="138">
        <f t="shared" si="156"/>
        <v>0.77968490742404351</v>
      </c>
      <c r="K1989" s="114"/>
      <c r="L1989" s="37">
        <v>15.9334426547</v>
      </c>
      <c r="M1989" s="37" t="s">
        <v>142</v>
      </c>
      <c r="N1989" s="37">
        <v>696.6467060487804</v>
      </c>
      <c r="O1989" s="132">
        <f t="shared" si="153"/>
        <v>11099.98034141389</v>
      </c>
      <c r="P1989" s="134">
        <f t="shared" si="154"/>
        <v>8654.4871449039911</v>
      </c>
      <c r="Q1989" s="261">
        <v>1</v>
      </c>
      <c r="R1989" s="94"/>
    </row>
    <row r="1990" spans="1:18" x14ac:dyDescent="0.25">
      <c r="A1990" s="367">
        <v>40742</v>
      </c>
      <c r="B1990" s="367" t="s">
        <v>279</v>
      </c>
      <c r="C1990" s="279" t="s">
        <v>718</v>
      </c>
      <c r="D1990" s="159" t="s">
        <v>1186</v>
      </c>
      <c r="E1990" s="45">
        <f t="shared" si="155"/>
        <v>40742</v>
      </c>
      <c r="F1990" s="148" t="str">
        <f t="shared" si="152"/>
        <v>2011-12</v>
      </c>
      <c r="G1990" s="1"/>
      <c r="H1990" s="163"/>
      <c r="I1990" s="37"/>
      <c r="J1990" s="138">
        <f t="shared" si="156"/>
        <v>0.77968490742404351</v>
      </c>
      <c r="K1990" s="114"/>
      <c r="L1990" s="37">
        <v>64.740608851600001</v>
      </c>
      <c r="M1990" s="37" t="s">
        <v>142</v>
      </c>
      <c r="N1990" s="37">
        <v>2679.5507189268287</v>
      </c>
      <c r="O1990" s="132">
        <f t="shared" si="153"/>
        <v>173475.74499206539</v>
      </c>
      <c r="P1990" s="134">
        <f t="shared" si="154"/>
        <v>135256.42017445547</v>
      </c>
      <c r="Q1990" s="261">
        <v>1</v>
      </c>
      <c r="R1990" s="94"/>
    </row>
    <row r="1991" spans="1:18" x14ac:dyDescent="0.25">
      <c r="A1991" s="367">
        <v>42688</v>
      </c>
      <c r="B1991" s="367" t="s">
        <v>279</v>
      </c>
      <c r="C1991" s="279" t="s">
        <v>719</v>
      </c>
      <c r="D1991" s="159" t="s">
        <v>1186</v>
      </c>
      <c r="E1991" s="45">
        <f t="shared" si="155"/>
        <v>42688</v>
      </c>
      <c r="F1991" s="148" t="str">
        <f t="shared" si="152"/>
        <v>2016-17</v>
      </c>
      <c r="G1991" s="1"/>
      <c r="H1991" s="163"/>
      <c r="I1991" s="37"/>
      <c r="J1991" s="138">
        <f t="shared" si="156"/>
        <v>0.77968490742404351</v>
      </c>
      <c r="K1991" s="114"/>
      <c r="L1991" s="37">
        <v>71.653678501599998</v>
      </c>
      <c r="M1991" s="37" t="s">
        <v>142</v>
      </c>
      <c r="N1991" s="37">
        <v>1003.0093919999996</v>
      </c>
      <c r="O1991" s="132">
        <f t="shared" si="153"/>
        <v>71869.312508453251</v>
      </c>
      <c r="P1991" s="134">
        <f t="shared" si="154"/>
        <v>56035.418269783026</v>
      </c>
      <c r="Q1991" s="261">
        <v>1</v>
      </c>
      <c r="R1991" s="94"/>
    </row>
    <row r="1992" spans="1:18" x14ac:dyDescent="0.25">
      <c r="A1992" s="367">
        <v>42688</v>
      </c>
      <c r="B1992" s="367" t="s">
        <v>279</v>
      </c>
      <c r="C1992" s="279" t="s">
        <v>720</v>
      </c>
      <c r="D1992" s="159" t="s">
        <v>1186</v>
      </c>
      <c r="E1992" s="45">
        <f t="shared" si="155"/>
        <v>42688</v>
      </c>
      <c r="F1992" s="148" t="str">
        <f t="shared" si="152"/>
        <v>2016-17</v>
      </c>
      <c r="G1992" s="1"/>
      <c r="H1992" s="163"/>
      <c r="I1992" s="37"/>
      <c r="J1992" s="138">
        <f t="shared" si="156"/>
        <v>0.77968490742404351</v>
      </c>
      <c r="K1992" s="114"/>
      <c r="L1992" s="37">
        <v>143.54002237200001</v>
      </c>
      <c r="M1992" s="37" t="s">
        <v>142</v>
      </c>
      <c r="N1992" s="37">
        <v>936.5640883902438</v>
      </c>
      <c r="O1992" s="132">
        <f t="shared" si="153"/>
        <v>134434.43020034739</v>
      </c>
      <c r="P1992" s="134">
        <f t="shared" si="154"/>
        <v>104816.49626536189</v>
      </c>
      <c r="Q1992" s="261">
        <v>1</v>
      </c>
      <c r="R1992" s="94"/>
    </row>
    <row r="1993" spans="1:18" x14ac:dyDescent="0.25">
      <c r="A1993" s="367">
        <v>39600</v>
      </c>
      <c r="B1993" s="367" t="s">
        <v>279</v>
      </c>
      <c r="C1993" s="279" t="s">
        <v>721</v>
      </c>
      <c r="D1993" s="159" t="s">
        <v>1186</v>
      </c>
      <c r="E1993" s="45">
        <f t="shared" si="155"/>
        <v>39600</v>
      </c>
      <c r="F1993" s="148" t="str">
        <f t="shared" si="152"/>
        <v>2007-08</v>
      </c>
      <c r="G1993" s="1"/>
      <c r="H1993" s="163"/>
      <c r="I1993" s="37"/>
      <c r="J1993" s="138">
        <f t="shared" si="156"/>
        <v>0.77968490742404351</v>
      </c>
      <c r="K1993" s="114"/>
      <c r="L1993" s="37">
        <v>73.718587111299996</v>
      </c>
      <c r="M1993" s="37" t="s">
        <v>142</v>
      </c>
      <c r="N1993" s="37">
        <v>1385.4167692682922</v>
      </c>
      <c r="O1993" s="132">
        <f t="shared" si="153"/>
        <v>102130.9667907604</v>
      </c>
      <c r="P1993" s="134">
        <f t="shared" si="154"/>
        <v>79629.973387382081</v>
      </c>
      <c r="Q1993" s="261">
        <v>1</v>
      </c>
      <c r="R1993" s="94"/>
    </row>
    <row r="1994" spans="1:18" x14ac:dyDescent="0.25">
      <c r="A1994" s="367">
        <v>42688</v>
      </c>
      <c r="B1994" s="367" t="s">
        <v>279</v>
      </c>
      <c r="C1994" s="279" t="s">
        <v>720</v>
      </c>
      <c r="D1994" s="159" t="s">
        <v>1186</v>
      </c>
      <c r="E1994" s="45">
        <f t="shared" si="155"/>
        <v>42688</v>
      </c>
      <c r="F1994" s="148" t="str">
        <f t="shared" si="152"/>
        <v>2016-17</v>
      </c>
      <c r="G1994" s="1"/>
      <c r="H1994" s="163"/>
      <c r="I1994" s="37"/>
      <c r="J1994" s="138">
        <f t="shared" si="156"/>
        <v>0.77968490742404351</v>
      </c>
      <c r="K1994" s="114"/>
      <c r="L1994" s="37">
        <v>62.7612575498</v>
      </c>
      <c r="M1994" s="37" t="s">
        <v>142</v>
      </c>
      <c r="N1994" s="37">
        <v>696.6467060487804</v>
      </c>
      <c r="O1994" s="132">
        <f t="shared" si="153"/>
        <v>43722.42333954732</v>
      </c>
      <c r="P1994" s="134">
        <f t="shared" si="154"/>
        <v>34089.713593849789</v>
      </c>
      <c r="Q1994" s="261">
        <v>1</v>
      </c>
      <c r="R1994" s="94"/>
    </row>
    <row r="1995" spans="1:18" x14ac:dyDescent="0.25">
      <c r="A1995" s="367">
        <v>39600</v>
      </c>
      <c r="B1995" s="367" t="s">
        <v>279</v>
      </c>
      <c r="C1995" s="279" t="s">
        <v>721</v>
      </c>
      <c r="D1995" s="159" t="s">
        <v>1186</v>
      </c>
      <c r="E1995" s="45">
        <f t="shared" si="155"/>
        <v>39600</v>
      </c>
      <c r="F1995" s="148" t="str">
        <f t="shared" si="152"/>
        <v>2007-08</v>
      </c>
      <c r="G1995" s="1"/>
      <c r="H1995" s="163"/>
      <c r="I1995" s="37"/>
      <c r="J1995" s="138">
        <f t="shared" si="156"/>
        <v>0.77968490742404351</v>
      </c>
      <c r="K1995" s="114"/>
      <c r="L1995" s="37">
        <v>1.59977661351</v>
      </c>
      <c r="M1995" s="37" t="s">
        <v>142</v>
      </c>
      <c r="N1995" s="37">
        <v>1128.7084557073169</v>
      </c>
      <c r="O1995" s="132">
        <f t="shared" si="153"/>
        <v>1805.6813909115533</v>
      </c>
      <c r="P1995" s="134">
        <f t="shared" si="154"/>
        <v>1407.8625281101924</v>
      </c>
      <c r="Q1995" s="261">
        <v>1</v>
      </c>
      <c r="R1995" s="94"/>
    </row>
    <row r="1996" spans="1:18" x14ac:dyDescent="0.25">
      <c r="A1996" s="367">
        <v>39600</v>
      </c>
      <c r="B1996" s="367" t="s">
        <v>279</v>
      </c>
      <c r="C1996" s="279" t="s">
        <v>721</v>
      </c>
      <c r="D1996" s="159" t="s">
        <v>1186</v>
      </c>
      <c r="E1996" s="45">
        <f t="shared" si="155"/>
        <v>39600</v>
      </c>
      <c r="F1996" s="148" t="str">
        <f t="shared" si="152"/>
        <v>2007-08</v>
      </c>
      <c r="G1996" s="1"/>
      <c r="H1996" s="163"/>
      <c r="I1996" s="37"/>
      <c r="J1996" s="138">
        <f t="shared" si="156"/>
        <v>0.77968490742404351</v>
      </c>
      <c r="K1996" s="114"/>
      <c r="L1996" s="37">
        <v>1.00002849959</v>
      </c>
      <c r="M1996" s="37" t="s">
        <v>142</v>
      </c>
      <c r="N1996" s="37">
        <v>1128.7084557073169</v>
      </c>
      <c r="O1996" s="132">
        <f t="shared" si="153"/>
        <v>1128.7406234355342</v>
      </c>
      <c r="P1996" s="134">
        <f t="shared" si="154"/>
        <v>880.06202848909163</v>
      </c>
      <c r="Q1996" s="261">
        <v>1</v>
      </c>
      <c r="R1996" s="94"/>
    </row>
    <row r="1997" spans="1:18" x14ac:dyDescent="0.25">
      <c r="A1997" s="367">
        <v>39600</v>
      </c>
      <c r="B1997" s="367" t="s">
        <v>279</v>
      </c>
      <c r="C1997" s="279" t="s">
        <v>721</v>
      </c>
      <c r="D1997" s="159" t="s">
        <v>1186</v>
      </c>
      <c r="E1997" s="45">
        <f t="shared" si="155"/>
        <v>39600</v>
      </c>
      <c r="F1997" s="148" t="str">
        <f t="shared" si="152"/>
        <v>2007-08</v>
      </c>
      <c r="G1997" s="1"/>
      <c r="H1997" s="163"/>
      <c r="I1997" s="37"/>
      <c r="J1997" s="138">
        <f t="shared" si="156"/>
        <v>0.77968490742404351</v>
      </c>
      <c r="K1997" s="114"/>
      <c r="L1997" s="37">
        <v>3.5593939594899999</v>
      </c>
      <c r="M1997" s="37" t="s">
        <v>142</v>
      </c>
      <c r="N1997" s="37">
        <v>1272.2340968780488</v>
      </c>
      <c r="O1997" s="132">
        <f t="shared" si="153"/>
        <v>4528.3823594849428</v>
      </c>
      <c r="P1997" s="134">
        <f t="shared" si="154"/>
        <v>3530.7113807356891</v>
      </c>
      <c r="Q1997" s="261">
        <v>1</v>
      </c>
      <c r="R1997" s="94"/>
    </row>
    <row r="1998" spans="1:18" x14ac:dyDescent="0.25">
      <c r="A1998" s="367">
        <v>39600</v>
      </c>
      <c r="B1998" s="367" t="s">
        <v>279</v>
      </c>
      <c r="C1998" s="279" t="s">
        <v>721</v>
      </c>
      <c r="D1998" s="159" t="s">
        <v>1186</v>
      </c>
      <c r="E1998" s="45">
        <f t="shared" si="155"/>
        <v>39600</v>
      </c>
      <c r="F1998" s="148" t="str">
        <f t="shared" si="152"/>
        <v>2007-08</v>
      </c>
      <c r="G1998" s="1"/>
      <c r="H1998" s="163"/>
      <c r="I1998" s="37"/>
      <c r="J1998" s="138">
        <f t="shared" si="156"/>
        <v>0.77968490742404351</v>
      </c>
      <c r="K1998" s="114"/>
      <c r="L1998" s="37">
        <v>1.8994275942700001</v>
      </c>
      <c r="M1998" s="37" t="s">
        <v>142</v>
      </c>
      <c r="N1998" s="37">
        <v>1385.4167692682922</v>
      </c>
      <c r="O1998" s="132">
        <f t="shared" si="153"/>
        <v>2631.4988411125883</v>
      </c>
      <c r="P1998" s="134">
        <f t="shared" si="154"/>
        <v>2051.7399303193461</v>
      </c>
      <c r="Q1998" s="261">
        <v>1</v>
      </c>
      <c r="R1998" s="94"/>
    </row>
    <row r="1999" spans="1:18" x14ac:dyDescent="0.25">
      <c r="A1999" s="367">
        <v>42688</v>
      </c>
      <c r="B1999" s="367" t="s">
        <v>279</v>
      </c>
      <c r="C1999" s="279" t="s">
        <v>719</v>
      </c>
      <c r="D1999" s="159" t="s">
        <v>1186</v>
      </c>
      <c r="E1999" s="45">
        <f t="shared" si="155"/>
        <v>42688</v>
      </c>
      <c r="F1999" s="148" t="str">
        <f t="shared" si="152"/>
        <v>2016-17</v>
      </c>
      <c r="G1999" s="1"/>
      <c r="H1999" s="163"/>
      <c r="I1999" s="37"/>
      <c r="J1999" s="138">
        <f t="shared" si="156"/>
        <v>0.77968490742404351</v>
      </c>
      <c r="K1999" s="114"/>
      <c r="L1999" s="37">
        <v>22.618364632399999</v>
      </c>
      <c r="M1999" s="37" t="s">
        <v>142</v>
      </c>
      <c r="N1999" s="37">
        <v>1003.0093919999996</v>
      </c>
      <c r="O1999" s="132">
        <f t="shared" si="153"/>
        <v>22686.432157977815</v>
      </c>
      <c r="P1999" s="134">
        <f t="shared" si="154"/>
        <v>17688.268756874775</v>
      </c>
      <c r="Q1999" s="261">
        <v>1</v>
      </c>
      <c r="R1999" s="94"/>
    </row>
    <row r="2000" spans="1:18" x14ac:dyDescent="0.25">
      <c r="A2000" s="367">
        <v>42688</v>
      </c>
      <c r="B2000" s="367" t="s">
        <v>279</v>
      </c>
      <c r="C2000" s="279" t="s">
        <v>720</v>
      </c>
      <c r="D2000" s="159" t="s">
        <v>1186</v>
      </c>
      <c r="E2000" s="45">
        <f t="shared" si="155"/>
        <v>42688</v>
      </c>
      <c r="F2000" s="148" t="str">
        <f t="shared" si="152"/>
        <v>2016-17</v>
      </c>
      <c r="G2000" s="1"/>
      <c r="H2000" s="163"/>
      <c r="I2000" s="37"/>
      <c r="J2000" s="138">
        <f t="shared" si="156"/>
        <v>0.77968490742404351</v>
      </c>
      <c r="K2000" s="114"/>
      <c r="L2000" s="37">
        <v>17.4507377125</v>
      </c>
      <c r="M2000" s="37" t="s">
        <v>142</v>
      </c>
      <c r="N2000" s="37">
        <v>696.6467060487804</v>
      </c>
      <c r="O2000" s="132">
        <f t="shared" si="153"/>
        <v>12156.998945534355</v>
      </c>
      <c r="P2000" s="134">
        <f t="shared" si="154"/>
        <v>9478.6285974031471</v>
      </c>
      <c r="Q2000" s="261">
        <v>1</v>
      </c>
      <c r="R2000" s="94"/>
    </row>
    <row r="2001" spans="1:18" x14ac:dyDescent="0.25">
      <c r="A2001" s="367">
        <v>42688</v>
      </c>
      <c r="B2001" s="367" t="s">
        <v>279</v>
      </c>
      <c r="C2001" s="279" t="s">
        <v>720</v>
      </c>
      <c r="D2001" s="159" t="s">
        <v>1186</v>
      </c>
      <c r="E2001" s="45">
        <f t="shared" si="155"/>
        <v>42688</v>
      </c>
      <c r="F2001" s="148" t="str">
        <f t="shared" si="152"/>
        <v>2016-17</v>
      </c>
      <c r="G2001" s="1"/>
      <c r="H2001" s="163"/>
      <c r="I2001" s="37"/>
      <c r="J2001" s="138">
        <f t="shared" si="156"/>
        <v>0.77968490742404351</v>
      </c>
      <c r="K2001" s="114"/>
      <c r="L2001" s="37">
        <v>3.7303775948300002</v>
      </c>
      <c r="M2001" s="37" t="s">
        <v>142</v>
      </c>
      <c r="N2001" s="37">
        <v>696.6467060487804</v>
      </c>
      <c r="O2001" s="132">
        <f t="shared" si="153"/>
        <v>2598.7552637564918</v>
      </c>
      <c r="P2001" s="134">
        <f t="shared" si="154"/>
        <v>2026.2102572397262</v>
      </c>
      <c r="Q2001" s="261">
        <v>1</v>
      </c>
      <c r="R2001" s="94"/>
    </row>
    <row r="2002" spans="1:18" x14ac:dyDescent="0.25">
      <c r="A2002" s="367">
        <v>42688</v>
      </c>
      <c r="B2002" s="367" t="s">
        <v>279</v>
      </c>
      <c r="C2002" s="279" t="s">
        <v>719</v>
      </c>
      <c r="D2002" s="159" t="s">
        <v>1186</v>
      </c>
      <c r="E2002" s="45">
        <f t="shared" si="155"/>
        <v>42688</v>
      </c>
      <c r="F2002" s="148" t="str">
        <f t="shared" ref="F2002:F2065" si="157">IF(E2002="","-",IF(OR(E2002&lt;$E$15,E2002&gt;$E$16),"ERROR - date outside of range",IF(MONTH(E2002)&gt;=7,YEAR(E2002)&amp;"-"&amp;IF(YEAR(E2002)=1999,"00",IF(AND(YEAR(E2002)&gt;=2000,YEAR(E2002)&lt;2009),"0","")&amp;RIGHT(YEAR(E2002),2)+1),RIGHT(YEAR(E2002),4)-1&amp;"-"&amp;RIGHT(YEAR(E2002),2))))</f>
        <v>2016-17</v>
      </c>
      <c r="G2002" s="1"/>
      <c r="H2002" s="163"/>
      <c r="I2002" s="37"/>
      <c r="J2002" s="138">
        <f t="shared" si="156"/>
        <v>0.77968490742404351</v>
      </c>
      <c r="K2002" s="114"/>
      <c r="L2002" s="37">
        <v>5.5731938290900001</v>
      </c>
      <c r="M2002" s="37" t="s">
        <v>142</v>
      </c>
      <c r="N2002" s="37">
        <v>696.6467060487804</v>
      </c>
      <c r="O2002" s="132">
        <f t="shared" ref="O2002:O2065" si="158">IF(N2002="","-",L2002*N2002)</f>
        <v>3882.5471232069381</v>
      </c>
      <c r="P2002" s="134">
        <f t="shared" ref="P2002:P2065" si="159">IF(O2002="-","-",IF(OR(E2002&lt;$E$15,E2002&gt;$E$16),0,O2002*J2002))*Q2002</f>
        <v>3027.1633943270881</v>
      </c>
      <c r="Q2002" s="261">
        <v>1</v>
      </c>
      <c r="R2002" s="94"/>
    </row>
    <row r="2003" spans="1:18" x14ac:dyDescent="0.25">
      <c r="A2003" s="367">
        <v>39600</v>
      </c>
      <c r="B2003" s="367" t="s">
        <v>279</v>
      </c>
      <c r="C2003" s="279" t="s">
        <v>721</v>
      </c>
      <c r="D2003" s="159" t="s">
        <v>1186</v>
      </c>
      <c r="E2003" s="45">
        <f t="shared" si="155"/>
        <v>39600</v>
      </c>
      <c r="F2003" s="148" t="str">
        <f t="shared" si="157"/>
        <v>2007-08</v>
      </c>
      <c r="G2003" s="1"/>
      <c r="H2003" s="163"/>
      <c r="I2003" s="37"/>
      <c r="J2003" s="138">
        <f t="shared" si="156"/>
        <v>0.77968490742404351</v>
      </c>
      <c r="K2003" s="114"/>
      <c r="L2003" s="37">
        <v>3.10973182123</v>
      </c>
      <c r="M2003" s="37" t="s">
        <v>142</v>
      </c>
      <c r="N2003" s="37">
        <v>1272.2340968780488</v>
      </c>
      <c r="O2003" s="132">
        <f t="shared" si="158"/>
        <v>3956.3068551154793</v>
      </c>
      <c r="P2003" s="134">
        <f t="shared" si="159"/>
        <v>3084.6727440718209</v>
      </c>
      <c r="Q2003" s="261">
        <v>1</v>
      </c>
      <c r="R2003" s="94"/>
    </row>
    <row r="2004" spans="1:18" x14ac:dyDescent="0.25">
      <c r="A2004" s="367">
        <v>42688</v>
      </c>
      <c r="B2004" s="367" t="s">
        <v>279</v>
      </c>
      <c r="C2004" s="279" t="s">
        <v>720</v>
      </c>
      <c r="D2004" s="159" t="s">
        <v>1186</v>
      </c>
      <c r="E2004" s="45">
        <f t="shared" si="155"/>
        <v>42688</v>
      </c>
      <c r="F2004" s="148" t="str">
        <f t="shared" si="157"/>
        <v>2016-17</v>
      </c>
      <c r="G2004" s="1"/>
      <c r="H2004" s="163"/>
      <c r="I2004" s="37"/>
      <c r="J2004" s="138">
        <f t="shared" si="156"/>
        <v>0.77968490742404351</v>
      </c>
      <c r="K2004" s="114"/>
      <c r="L2004" s="37">
        <v>2.2557923289100001</v>
      </c>
      <c r="M2004" s="37" t="s">
        <v>142</v>
      </c>
      <c r="N2004" s="37">
        <v>696.6467060487804</v>
      </c>
      <c r="O2004" s="132">
        <f t="shared" si="158"/>
        <v>1571.4902954652587</v>
      </c>
      <c r="P2004" s="134">
        <f t="shared" si="159"/>
        <v>1225.267265537613</v>
      </c>
      <c r="Q2004" s="261">
        <v>1</v>
      </c>
      <c r="R2004" s="94"/>
    </row>
    <row r="2005" spans="1:18" x14ac:dyDescent="0.25">
      <c r="A2005" s="367">
        <v>42688</v>
      </c>
      <c r="B2005" s="367" t="s">
        <v>279</v>
      </c>
      <c r="C2005" s="279" t="s">
        <v>719</v>
      </c>
      <c r="D2005" s="159" t="s">
        <v>1186</v>
      </c>
      <c r="E2005" s="45">
        <f t="shared" si="155"/>
        <v>42688</v>
      </c>
      <c r="F2005" s="148" t="str">
        <f t="shared" si="157"/>
        <v>2016-17</v>
      </c>
      <c r="G2005" s="1"/>
      <c r="H2005" s="163"/>
      <c r="I2005" s="37"/>
      <c r="J2005" s="138">
        <f t="shared" si="156"/>
        <v>0.77968490742404351</v>
      </c>
      <c r="K2005" s="114"/>
      <c r="L2005" s="37">
        <v>1.7503520773900001</v>
      </c>
      <c r="M2005" s="37" t="s">
        <v>142</v>
      </c>
      <c r="N2005" s="37">
        <v>936.5640883902438</v>
      </c>
      <c r="O2005" s="132">
        <f t="shared" si="158"/>
        <v>1639.3168977227349</v>
      </c>
      <c r="P2005" s="134">
        <f t="shared" si="159"/>
        <v>1278.1506436396207</v>
      </c>
      <c r="Q2005" s="261">
        <v>1</v>
      </c>
      <c r="R2005" s="94"/>
    </row>
    <row r="2006" spans="1:18" x14ac:dyDescent="0.25">
      <c r="A2006" s="367">
        <v>39600</v>
      </c>
      <c r="B2006" s="367" t="s">
        <v>279</v>
      </c>
      <c r="C2006" s="279" t="s">
        <v>721</v>
      </c>
      <c r="D2006" s="159" t="s">
        <v>1186</v>
      </c>
      <c r="E2006" s="45">
        <f t="shared" si="155"/>
        <v>39600</v>
      </c>
      <c r="F2006" s="148" t="str">
        <f t="shared" si="157"/>
        <v>2007-08</v>
      </c>
      <c r="G2006" s="1"/>
      <c r="H2006" s="163"/>
      <c r="I2006" s="37"/>
      <c r="J2006" s="138">
        <f t="shared" si="156"/>
        <v>0.77968490742404351</v>
      </c>
      <c r="K2006" s="114"/>
      <c r="L2006" s="37">
        <v>0.812145922849</v>
      </c>
      <c r="M2006" s="37" t="s">
        <v>142</v>
      </c>
      <c r="N2006" s="37">
        <v>1272.2340968780488</v>
      </c>
      <c r="O2006" s="132">
        <f t="shared" si="158"/>
        <v>1033.239734688987</v>
      </c>
      <c r="P2006" s="134">
        <f t="shared" si="159"/>
        <v>805.60142688782616</v>
      </c>
      <c r="Q2006" s="261">
        <v>1</v>
      </c>
      <c r="R2006" s="94"/>
    </row>
    <row r="2007" spans="1:18" x14ac:dyDescent="0.25">
      <c r="A2007" s="367">
        <v>42688</v>
      </c>
      <c r="B2007" s="367" t="s">
        <v>279</v>
      </c>
      <c r="C2007" s="279" t="s">
        <v>719</v>
      </c>
      <c r="D2007" s="159" t="s">
        <v>1186</v>
      </c>
      <c r="E2007" s="45">
        <f t="shared" ref="E2007:E2070" si="160">IF(A2007&lt;2022,DATEVALUE("30 Jun "&amp;A2007),A2007)</f>
        <v>42688</v>
      </c>
      <c r="F2007" s="148" t="str">
        <f t="shared" si="157"/>
        <v>2016-17</v>
      </c>
      <c r="G2007" s="1"/>
      <c r="H2007" s="163"/>
      <c r="I2007" s="37"/>
      <c r="J2007" s="138">
        <f t="shared" si="156"/>
        <v>0.77968490742404351</v>
      </c>
      <c r="K2007" s="114"/>
      <c r="L2007" s="37">
        <v>11.398106202299999</v>
      </c>
      <c r="M2007" s="37" t="s">
        <v>142</v>
      </c>
      <c r="N2007" s="37">
        <v>1003.0093919999996</v>
      </c>
      <c r="O2007" s="132">
        <f t="shared" si="158"/>
        <v>11432.407571920347</v>
      </c>
      <c r="P2007" s="134">
        <f t="shared" si="159"/>
        <v>8913.6756393466494</v>
      </c>
      <c r="Q2007" s="261">
        <v>1</v>
      </c>
      <c r="R2007" s="94"/>
    </row>
    <row r="2008" spans="1:18" x14ac:dyDescent="0.25">
      <c r="A2008" s="367">
        <v>42688</v>
      </c>
      <c r="B2008" s="367" t="s">
        <v>279</v>
      </c>
      <c r="C2008" s="279" t="s">
        <v>719</v>
      </c>
      <c r="D2008" s="159" t="s">
        <v>1186</v>
      </c>
      <c r="E2008" s="45">
        <f t="shared" si="160"/>
        <v>42688</v>
      </c>
      <c r="F2008" s="148" t="str">
        <f t="shared" si="157"/>
        <v>2016-17</v>
      </c>
      <c r="G2008" s="1"/>
      <c r="H2008" s="163"/>
      <c r="I2008" s="37"/>
      <c r="J2008" s="138">
        <f t="shared" ref="J2008:J2071" si="161">J2007</f>
        <v>0.77968490742404351</v>
      </c>
      <c r="K2008" s="114"/>
      <c r="L2008" s="37">
        <v>5.0990376543</v>
      </c>
      <c r="M2008" s="37" t="s">
        <v>142</v>
      </c>
      <c r="N2008" s="37">
        <v>1003.0093919999996</v>
      </c>
      <c r="O2008" s="132">
        <f t="shared" si="158"/>
        <v>5114.3826574245468</v>
      </c>
      <c r="P2008" s="134">
        <f t="shared" si="159"/>
        <v>3987.6069687851914</v>
      </c>
      <c r="Q2008" s="261">
        <v>1</v>
      </c>
      <c r="R2008" s="94"/>
    </row>
    <row r="2009" spans="1:18" x14ac:dyDescent="0.25">
      <c r="A2009" s="367">
        <v>40742</v>
      </c>
      <c r="B2009" s="367" t="s">
        <v>279</v>
      </c>
      <c r="C2009" s="279" t="s">
        <v>718</v>
      </c>
      <c r="D2009" s="159" t="s">
        <v>1186</v>
      </c>
      <c r="E2009" s="45">
        <f t="shared" si="160"/>
        <v>40742</v>
      </c>
      <c r="F2009" s="148" t="str">
        <f t="shared" si="157"/>
        <v>2011-12</v>
      </c>
      <c r="G2009" s="1"/>
      <c r="H2009" s="163"/>
      <c r="I2009" s="37"/>
      <c r="J2009" s="138">
        <f t="shared" si="161"/>
        <v>0.77968490742404351</v>
      </c>
      <c r="K2009" s="114"/>
      <c r="L2009" s="37">
        <v>4.5278109501200001</v>
      </c>
      <c r="M2009" s="37" t="s">
        <v>142</v>
      </c>
      <c r="N2009" s="37">
        <v>2679.5507189268287</v>
      </c>
      <c r="O2009" s="132">
        <f t="shared" si="158"/>
        <v>12132.499086558813</v>
      </c>
      <c r="P2009" s="134">
        <f t="shared" si="159"/>
        <v>9459.5264271259002</v>
      </c>
      <c r="Q2009" s="261">
        <v>1</v>
      </c>
      <c r="R2009" s="94"/>
    </row>
    <row r="2010" spans="1:18" x14ac:dyDescent="0.25">
      <c r="A2010" s="367">
        <v>40742</v>
      </c>
      <c r="B2010" s="367" t="s">
        <v>279</v>
      </c>
      <c r="C2010" s="279" t="s">
        <v>718</v>
      </c>
      <c r="D2010" s="159" t="s">
        <v>1186</v>
      </c>
      <c r="E2010" s="45">
        <f t="shared" si="160"/>
        <v>40742</v>
      </c>
      <c r="F2010" s="148" t="str">
        <f t="shared" si="157"/>
        <v>2011-12</v>
      </c>
      <c r="G2010" s="1"/>
      <c r="H2010" s="163"/>
      <c r="I2010" s="37"/>
      <c r="J2010" s="138">
        <f t="shared" si="161"/>
        <v>0.77968490742404351</v>
      </c>
      <c r="K2010" s="114"/>
      <c r="L2010" s="37">
        <v>9.9752935813800008</v>
      </c>
      <c r="M2010" s="37" t="s">
        <v>142</v>
      </c>
      <c r="N2010" s="37">
        <v>2679.5507189268287</v>
      </c>
      <c r="O2010" s="132">
        <f t="shared" si="158"/>
        <v>26729.305087492961</v>
      </c>
      <c r="P2010" s="134">
        <f t="shared" si="159"/>
        <v>20840.435762650966</v>
      </c>
      <c r="Q2010" s="261">
        <v>1</v>
      </c>
      <c r="R2010" s="94"/>
    </row>
    <row r="2011" spans="1:18" x14ac:dyDescent="0.25">
      <c r="A2011" s="367">
        <v>40742</v>
      </c>
      <c r="B2011" s="367" t="s">
        <v>279</v>
      </c>
      <c r="C2011" s="279" t="s">
        <v>718</v>
      </c>
      <c r="D2011" s="159" t="s">
        <v>1186</v>
      </c>
      <c r="E2011" s="45">
        <f t="shared" si="160"/>
        <v>40742</v>
      </c>
      <c r="F2011" s="148" t="str">
        <f t="shared" si="157"/>
        <v>2011-12</v>
      </c>
      <c r="G2011" s="1"/>
      <c r="H2011" s="163"/>
      <c r="I2011" s="37"/>
      <c r="J2011" s="138">
        <f t="shared" si="161"/>
        <v>0.77968490742404351</v>
      </c>
      <c r="K2011" s="114"/>
      <c r="L2011" s="37">
        <v>50.3721704218</v>
      </c>
      <c r="M2011" s="37" t="s">
        <v>142</v>
      </c>
      <c r="N2011" s="37">
        <v>2679.5507189268287</v>
      </c>
      <c r="O2011" s="132">
        <f t="shared" si="158"/>
        <v>134974.78546763893</v>
      </c>
      <c r="P2011" s="134">
        <f t="shared" si="159"/>
        <v>105237.80311191619</v>
      </c>
      <c r="Q2011" s="261">
        <v>1</v>
      </c>
      <c r="R2011" s="94"/>
    </row>
    <row r="2012" spans="1:18" x14ac:dyDescent="0.25">
      <c r="A2012" s="367">
        <v>40742</v>
      </c>
      <c r="B2012" s="367" t="s">
        <v>279</v>
      </c>
      <c r="C2012" s="279" t="s">
        <v>718</v>
      </c>
      <c r="D2012" s="159" t="s">
        <v>1186</v>
      </c>
      <c r="E2012" s="45">
        <f t="shared" si="160"/>
        <v>40742</v>
      </c>
      <c r="F2012" s="148" t="str">
        <f t="shared" si="157"/>
        <v>2011-12</v>
      </c>
      <c r="G2012" s="1"/>
      <c r="H2012" s="163"/>
      <c r="I2012" s="37"/>
      <c r="J2012" s="138">
        <f t="shared" si="161"/>
        <v>0.77968490742404351</v>
      </c>
      <c r="K2012" s="114"/>
      <c r="L2012" s="37">
        <v>33.640182052599997</v>
      </c>
      <c r="M2012" s="37" t="s">
        <v>142</v>
      </c>
      <c r="N2012" s="37">
        <v>2679.5507189268287</v>
      </c>
      <c r="O2012" s="132">
        <f t="shared" si="158"/>
        <v>90140.574003873728</v>
      </c>
      <c r="P2012" s="134">
        <f t="shared" si="159"/>
        <v>70281.245097360428</v>
      </c>
      <c r="Q2012" s="261">
        <v>1</v>
      </c>
      <c r="R2012" s="94"/>
    </row>
    <row r="2013" spans="1:18" x14ac:dyDescent="0.25">
      <c r="A2013" s="367">
        <v>40742</v>
      </c>
      <c r="B2013" s="367" t="s">
        <v>279</v>
      </c>
      <c r="C2013" s="279" t="s">
        <v>718</v>
      </c>
      <c r="D2013" s="159" t="s">
        <v>1186</v>
      </c>
      <c r="E2013" s="45">
        <f t="shared" si="160"/>
        <v>40742</v>
      </c>
      <c r="F2013" s="148" t="str">
        <f t="shared" si="157"/>
        <v>2011-12</v>
      </c>
      <c r="G2013" s="1"/>
      <c r="H2013" s="163"/>
      <c r="I2013" s="37"/>
      <c r="J2013" s="138">
        <f t="shared" si="161"/>
        <v>0.77968490742404351</v>
      </c>
      <c r="K2013" s="114"/>
      <c r="L2013" s="37">
        <v>46.825994382899999</v>
      </c>
      <c r="M2013" s="37" t="s">
        <v>142</v>
      </c>
      <c r="N2013" s="37">
        <v>2679.5507189268287</v>
      </c>
      <c r="O2013" s="132">
        <f t="shared" si="158"/>
        <v>125472.62691316333</v>
      </c>
      <c r="P2013" s="134">
        <f t="shared" si="159"/>
        <v>97829.113499041297</v>
      </c>
      <c r="Q2013" s="261">
        <v>1</v>
      </c>
      <c r="R2013" s="94"/>
    </row>
    <row r="2014" spans="1:18" x14ac:dyDescent="0.25">
      <c r="A2014" s="367">
        <v>40742</v>
      </c>
      <c r="B2014" s="367" t="s">
        <v>279</v>
      </c>
      <c r="C2014" s="279" t="s">
        <v>718</v>
      </c>
      <c r="D2014" s="159" t="s">
        <v>1186</v>
      </c>
      <c r="E2014" s="45">
        <f t="shared" si="160"/>
        <v>40742</v>
      </c>
      <c r="F2014" s="148" t="str">
        <f t="shared" si="157"/>
        <v>2011-12</v>
      </c>
      <c r="G2014" s="1"/>
      <c r="H2014" s="163"/>
      <c r="I2014" s="37"/>
      <c r="J2014" s="138">
        <f t="shared" si="161"/>
        <v>0.77968490742404351</v>
      </c>
      <c r="K2014" s="114"/>
      <c r="L2014" s="37">
        <v>8.3480686389100001</v>
      </c>
      <c r="M2014" s="37" t="s">
        <v>142</v>
      </c>
      <c r="N2014" s="37">
        <v>2683.0915094634142</v>
      </c>
      <c r="O2014" s="132">
        <f t="shared" si="158"/>
        <v>22398.632085477224</v>
      </c>
      <c r="P2014" s="134">
        <f t="shared" si="159"/>
        <v>17463.875383990518</v>
      </c>
      <c r="Q2014" s="261">
        <v>1</v>
      </c>
      <c r="R2014" s="94"/>
    </row>
    <row r="2015" spans="1:18" x14ac:dyDescent="0.25">
      <c r="A2015" s="367">
        <v>40742</v>
      </c>
      <c r="B2015" s="367" t="s">
        <v>279</v>
      </c>
      <c r="C2015" s="279" t="s">
        <v>718</v>
      </c>
      <c r="D2015" s="159" t="s">
        <v>1186</v>
      </c>
      <c r="E2015" s="45">
        <f t="shared" si="160"/>
        <v>40742</v>
      </c>
      <c r="F2015" s="148" t="str">
        <f t="shared" si="157"/>
        <v>2011-12</v>
      </c>
      <c r="G2015" s="1"/>
      <c r="H2015" s="163"/>
      <c r="I2015" s="37"/>
      <c r="J2015" s="138">
        <f t="shared" si="161"/>
        <v>0.77968490742404351</v>
      </c>
      <c r="K2015" s="114"/>
      <c r="L2015" s="37">
        <v>8.9386056301300005</v>
      </c>
      <c r="M2015" s="37" t="s">
        <v>142</v>
      </c>
      <c r="N2015" s="37">
        <v>2683.0915094634142</v>
      </c>
      <c r="O2015" s="132">
        <f t="shared" si="158"/>
        <v>23983.096872643677</v>
      </c>
      <c r="P2015" s="134">
        <f t="shared" si="159"/>
        <v>18699.258664889054</v>
      </c>
      <c r="Q2015" s="261">
        <v>1</v>
      </c>
      <c r="R2015" s="94"/>
    </row>
    <row r="2016" spans="1:18" x14ac:dyDescent="0.25">
      <c r="A2016" s="367">
        <v>42688</v>
      </c>
      <c r="B2016" s="367" t="s">
        <v>279</v>
      </c>
      <c r="C2016" s="279" t="s">
        <v>720</v>
      </c>
      <c r="D2016" s="159" t="s">
        <v>1186</v>
      </c>
      <c r="E2016" s="45">
        <f t="shared" si="160"/>
        <v>42688</v>
      </c>
      <c r="F2016" s="148" t="str">
        <f t="shared" si="157"/>
        <v>2016-17</v>
      </c>
      <c r="G2016" s="1"/>
      <c r="H2016" s="163"/>
      <c r="I2016" s="37"/>
      <c r="J2016" s="138">
        <f t="shared" si="161"/>
        <v>0.77968490742404351</v>
      </c>
      <c r="K2016" s="114"/>
      <c r="L2016" s="37">
        <v>0.598769571705</v>
      </c>
      <c r="M2016" s="37" t="s">
        <v>142</v>
      </c>
      <c r="N2016" s="37">
        <v>1181.2618378536583</v>
      </c>
      <c r="O2016" s="132">
        <f t="shared" si="158"/>
        <v>707.30364472309611</v>
      </c>
      <c r="P2016" s="134">
        <f t="shared" si="159"/>
        <v>551.4739767566158</v>
      </c>
      <c r="Q2016" s="261">
        <v>1</v>
      </c>
      <c r="R2016" s="94"/>
    </row>
    <row r="2017" spans="1:18" x14ac:dyDescent="0.25">
      <c r="A2017" s="367">
        <v>42688</v>
      </c>
      <c r="B2017" s="367" t="s">
        <v>279</v>
      </c>
      <c r="C2017" s="279" t="s">
        <v>720</v>
      </c>
      <c r="D2017" s="159" t="s">
        <v>1186</v>
      </c>
      <c r="E2017" s="45">
        <f t="shared" si="160"/>
        <v>42688</v>
      </c>
      <c r="F2017" s="148" t="str">
        <f t="shared" si="157"/>
        <v>2016-17</v>
      </c>
      <c r="G2017" s="1"/>
      <c r="H2017" s="163"/>
      <c r="I2017" s="37"/>
      <c r="J2017" s="138">
        <f t="shared" si="161"/>
        <v>0.77968490742404351</v>
      </c>
      <c r="K2017" s="114"/>
      <c r="L2017" s="37">
        <v>1.1997020463400001</v>
      </c>
      <c r="M2017" s="37" t="s">
        <v>142</v>
      </c>
      <c r="N2017" s="37">
        <v>1181.2618378536583</v>
      </c>
      <c r="O2017" s="132">
        <f t="shared" si="158"/>
        <v>1417.1622441363834</v>
      </c>
      <c r="P2017" s="134">
        <f t="shared" si="159"/>
        <v>1104.9400131243258</v>
      </c>
      <c r="Q2017" s="261">
        <v>1</v>
      </c>
      <c r="R2017" s="94"/>
    </row>
    <row r="2018" spans="1:18" x14ac:dyDescent="0.25">
      <c r="A2018" s="367">
        <v>40742</v>
      </c>
      <c r="B2018" s="367" t="s">
        <v>279</v>
      </c>
      <c r="C2018" s="279" t="s">
        <v>718</v>
      </c>
      <c r="D2018" s="159" t="s">
        <v>1186</v>
      </c>
      <c r="E2018" s="45">
        <f t="shared" si="160"/>
        <v>40742</v>
      </c>
      <c r="F2018" s="148" t="str">
        <f t="shared" si="157"/>
        <v>2011-12</v>
      </c>
      <c r="G2018" s="1"/>
      <c r="H2018" s="163"/>
      <c r="I2018" s="37"/>
      <c r="J2018" s="138">
        <f t="shared" si="161"/>
        <v>0.77968490742404351</v>
      </c>
      <c r="K2018" s="114"/>
      <c r="L2018" s="37">
        <v>64.616979602900003</v>
      </c>
      <c r="M2018" s="37" t="s">
        <v>142</v>
      </c>
      <c r="N2018" s="37">
        <v>2679.5507189268287</v>
      </c>
      <c r="O2018" s="132">
        <f t="shared" si="158"/>
        <v>173144.47414983093</v>
      </c>
      <c r="P2018" s="134">
        <f t="shared" si="159"/>
        <v>134998.13329849561</v>
      </c>
      <c r="Q2018" s="261">
        <v>1</v>
      </c>
      <c r="R2018" s="94"/>
    </row>
    <row r="2019" spans="1:18" x14ac:dyDescent="0.25">
      <c r="A2019" s="367">
        <v>40742</v>
      </c>
      <c r="B2019" s="367" t="s">
        <v>279</v>
      </c>
      <c r="C2019" s="279" t="s">
        <v>718</v>
      </c>
      <c r="D2019" s="159" t="s">
        <v>1186</v>
      </c>
      <c r="E2019" s="45">
        <f t="shared" si="160"/>
        <v>40742</v>
      </c>
      <c r="F2019" s="148" t="str">
        <f t="shared" si="157"/>
        <v>2011-12</v>
      </c>
      <c r="G2019" s="1"/>
      <c r="H2019" s="163"/>
      <c r="I2019" s="37"/>
      <c r="J2019" s="138">
        <f t="shared" si="161"/>
        <v>0.77968490742404351</v>
      </c>
      <c r="K2019" s="114"/>
      <c r="L2019" s="37">
        <v>8.2249016791899994</v>
      </c>
      <c r="M2019" s="37" t="s">
        <v>142</v>
      </c>
      <c r="N2019" s="37">
        <v>2683.0915094634142</v>
      </c>
      <c r="O2019" s="132">
        <f t="shared" si="158"/>
        <v>22068.163861606066</v>
      </c>
      <c r="P2019" s="134">
        <f t="shared" si="159"/>
        <v>17206.21429745495</v>
      </c>
      <c r="Q2019" s="261">
        <v>1</v>
      </c>
      <c r="R2019" s="94"/>
    </row>
    <row r="2020" spans="1:18" x14ac:dyDescent="0.25">
      <c r="A2020" s="367">
        <v>42688</v>
      </c>
      <c r="B2020" s="367" t="s">
        <v>279</v>
      </c>
      <c r="C2020" s="279" t="s">
        <v>719</v>
      </c>
      <c r="D2020" s="159" t="s">
        <v>1186</v>
      </c>
      <c r="E2020" s="45">
        <f t="shared" si="160"/>
        <v>42688</v>
      </c>
      <c r="F2020" s="148" t="str">
        <f t="shared" si="157"/>
        <v>2016-17</v>
      </c>
      <c r="G2020" s="1"/>
      <c r="H2020" s="163"/>
      <c r="I2020" s="37"/>
      <c r="J2020" s="138">
        <f t="shared" si="161"/>
        <v>0.77968490742404351</v>
      </c>
      <c r="K2020" s="114"/>
      <c r="L2020" s="37">
        <v>17.7769415255</v>
      </c>
      <c r="M2020" s="37" t="s">
        <v>142</v>
      </c>
      <c r="N2020" s="37">
        <v>1003.0093919999996</v>
      </c>
      <c r="O2020" s="132">
        <f t="shared" si="158"/>
        <v>17830.439311111299</v>
      </c>
      <c r="P2020" s="134">
        <f t="shared" si="159"/>
        <v>13902.124423613839</v>
      </c>
      <c r="Q2020" s="261">
        <v>1</v>
      </c>
      <c r="R2020" s="94"/>
    </row>
    <row r="2021" spans="1:18" x14ac:dyDescent="0.25">
      <c r="A2021" s="367">
        <v>42688</v>
      </c>
      <c r="B2021" s="367" t="s">
        <v>279</v>
      </c>
      <c r="C2021" s="279" t="s">
        <v>719</v>
      </c>
      <c r="D2021" s="159" t="s">
        <v>1186</v>
      </c>
      <c r="E2021" s="45">
        <f t="shared" si="160"/>
        <v>42688</v>
      </c>
      <c r="F2021" s="148" t="str">
        <f t="shared" si="157"/>
        <v>2016-17</v>
      </c>
      <c r="G2021" s="1"/>
      <c r="H2021" s="163"/>
      <c r="I2021" s="37"/>
      <c r="J2021" s="138">
        <f t="shared" si="161"/>
        <v>0.77968490742404351</v>
      </c>
      <c r="K2021" s="114"/>
      <c r="L2021" s="37">
        <v>6.7758313263299996</v>
      </c>
      <c r="M2021" s="37" t="s">
        <v>142</v>
      </c>
      <c r="N2021" s="37">
        <v>1003.0093919999996</v>
      </c>
      <c r="O2021" s="132">
        <f t="shared" si="158"/>
        <v>6796.2224589168036</v>
      </c>
      <c r="P2021" s="134">
        <f t="shared" si="159"/>
        <v>5298.9120787137535</v>
      </c>
      <c r="Q2021" s="261">
        <v>1</v>
      </c>
      <c r="R2021" s="94"/>
    </row>
    <row r="2022" spans="1:18" x14ac:dyDescent="0.25">
      <c r="A2022" s="367">
        <v>42688</v>
      </c>
      <c r="B2022" s="367" t="s">
        <v>279</v>
      </c>
      <c r="C2022" s="279" t="s">
        <v>719</v>
      </c>
      <c r="D2022" s="159" t="s">
        <v>1186</v>
      </c>
      <c r="E2022" s="45">
        <f t="shared" si="160"/>
        <v>42688</v>
      </c>
      <c r="F2022" s="148" t="str">
        <f t="shared" si="157"/>
        <v>2016-17</v>
      </c>
      <c r="G2022" s="1"/>
      <c r="H2022" s="163"/>
      <c r="I2022" s="37"/>
      <c r="J2022" s="138">
        <f t="shared" si="161"/>
        <v>0.77968490742404351</v>
      </c>
      <c r="K2022" s="114"/>
      <c r="L2022" s="37">
        <v>1.3596359811000001</v>
      </c>
      <c r="M2022" s="37" t="s">
        <v>142</v>
      </c>
      <c r="N2022" s="37">
        <v>1003.0093919999996</v>
      </c>
      <c r="O2022" s="132">
        <f t="shared" si="158"/>
        <v>1363.7276587444339</v>
      </c>
      <c r="P2022" s="134">
        <f t="shared" si="159"/>
        <v>1063.2778733597615</v>
      </c>
      <c r="Q2022" s="261">
        <v>1</v>
      </c>
      <c r="R2022" s="94"/>
    </row>
    <row r="2023" spans="1:18" x14ac:dyDescent="0.25">
      <c r="A2023" s="367">
        <v>42688</v>
      </c>
      <c r="B2023" s="367" t="s">
        <v>279</v>
      </c>
      <c r="C2023" s="279" t="s">
        <v>720</v>
      </c>
      <c r="D2023" s="159" t="s">
        <v>1186</v>
      </c>
      <c r="E2023" s="45">
        <f t="shared" si="160"/>
        <v>42688</v>
      </c>
      <c r="F2023" s="148" t="str">
        <f t="shared" si="157"/>
        <v>2016-17</v>
      </c>
      <c r="G2023" s="1"/>
      <c r="H2023" s="163"/>
      <c r="I2023" s="37"/>
      <c r="J2023" s="138">
        <f t="shared" si="161"/>
        <v>0.77968490742404351</v>
      </c>
      <c r="K2023" s="114"/>
      <c r="L2023" s="37">
        <v>0.457919124623</v>
      </c>
      <c r="M2023" s="37" t="s">
        <v>142</v>
      </c>
      <c r="N2023" s="37">
        <v>936.5640883902438</v>
      </c>
      <c r="O2023" s="132">
        <f t="shared" si="158"/>
        <v>428.87060750899843</v>
      </c>
      <c r="P2023" s="134">
        <f t="shared" si="159"/>
        <v>334.38393991254674</v>
      </c>
      <c r="Q2023" s="261">
        <v>1</v>
      </c>
      <c r="R2023" s="94"/>
    </row>
    <row r="2024" spans="1:18" x14ac:dyDescent="0.25">
      <c r="A2024" s="367">
        <v>42688</v>
      </c>
      <c r="B2024" s="367" t="s">
        <v>279</v>
      </c>
      <c r="C2024" s="279" t="s">
        <v>719</v>
      </c>
      <c r="D2024" s="159" t="s">
        <v>1186</v>
      </c>
      <c r="E2024" s="45">
        <f t="shared" si="160"/>
        <v>42688</v>
      </c>
      <c r="F2024" s="148" t="str">
        <f t="shared" si="157"/>
        <v>2016-17</v>
      </c>
      <c r="G2024" s="1"/>
      <c r="H2024" s="163"/>
      <c r="I2024" s="37"/>
      <c r="J2024" s="138">
        <f t="shared" si="161"/>
        <v>0.77968490742404351</v>
      </c>
      <c r="K2024" s="114"/>
      <c r="L2024" s="37">
        <v>4.2335746002099999</v>
      </c>
      <c r="M2024" s="37" t="s">
        <v>142</v>
      </c>
      <c r="N2024" s="37">
        <v>1003.0093919999996</v>
      </c>
      <c r="O2024" s="132">
        <f t="shared" si="158"/>
        <v>4246.3150857432729</v>
      </c>
      <c r="P2024" s="134">
        <f t="shared" si="159"/>
        <v>3310.7877845210633</v>
      </c>
      <c r="Q2024" s="261">
        <v>1</v>
      </c>
      <c r="R2024" s="94"/>
    </row>
    <row r="2025" spans="1:18" x14ac:dyDescent="0.25">
      <c r="A2025" s="367">
        <v>42688</v>
      </c>
      <c r="B2025" s="367" t="s">
        <v>279</v>
      </c>
      <c r="C2025" s="279" t="s">
        <v>719</v>
      </c>
      <c r="D2025" s="159" t="s">
        <v>1186</v>
      </c>
      <c r="E2025" s="45">
        <f t="shared" si="160"/>
        <v>42688</v>
      </c>
      <c r="F2025" s="148" t="str">
        <f t="shared" si="157"/>
        <v>2016-17</v>
      </c>
      <c r="G2025" s="1"/>
      <c r="H2025" s="163"/>
      <c r="I2025" s="37"/>
      <c r="J2025" s="138">
        <f t="shared" si="161"/>
        <v>0.77968490742404351</v>
      </c>
      <c r="K2025" s="114"/>
      <c r="L2025" s="37">
        <v>7.1366378973</v>
      </c>
      <c r="M2025" s="37" t="s">
        <v>142</v>
      </c>
      <c r="N2025" s="37">
        <v>1003.0093919999996</v>
      </c>
      <c r="O2025" s="132">
        <f t="shared" si="158"/>
        <v>7158.1148382950287</v>
      </c>
      <c r="P2025" s="134">
        <f t="shared" si="159"/>
        <v>5581.0741050267316</v>
      </c>
      <c r="Q2025" s="261">
        <v>1</v>
      </c>
      <c r="R2025" s="94"/>
    </row>
    <row r="2026" spans="1:18" x14ac:dyDescent="0.25">
      <c r="A2026" s="367">
        <v>42688</v>
      </c>
      <c r="B2026" s="367" t="s">
        <v>279</v>
      </c>
      <c r="C2026" s="279" t="s">
        <v>719</v>
      </c>
      <c r="D2026" s="159" t="s">
        <v>1186</v>
      </c>
      <c r="E2026" s="45">
        <f t="shared" si="160"/>
        <v>42688</v>
      </c>
      <c r="F2026" s="148" t="str">
        <f t="shared" si="157"/>
        <v>2016-17</v>
      </c>
      <c r="G2026" s="1"/>
      <c r="H2026" s="163"/>
      <c r="I2026" s="37"/>
      <c r="J2026" s="138">
        <f t="shared" si="161"/>
        <v>0.77968490742404351</v>
      </c>
      <c r="K2026" s="114"/>
      <c r="L2026" s="37">
        <v>19.019264554599999</v>
      </c>
      <c r="M2026" s="37" t="s">
        <v>142</v>
      </c>
      <c r="N2026" s="37">
        <v>1003.0093919999996</v>
      </c>
      <c r="O2026" s="132">
        <f t="shared" si="158"/>
        <v>19076.500977196487</v>
      </c>
      <c r="P2026" s="134">
        <f t="shared" si="159"/>
        <v>14873.659898380118</v>
      </c>
      <c r="Q2026" s="261">
        <v>1</v>
      </c>
      <c r="R2026" s="94"/>
    </row>
    <row r="2027" spans="1:18" x14ac:dyDescent="0.25">
      <c r="A2027" s="367">
        <v>41316</v>
      </c>
      <c r="B2027" s="367" t="s">
        <v>279</v>
      </c>
      <c r="C2027" s="279" t="s">
        <v>722</v>
      </c>
      <c r="D2027" s="159" t="s">
        <v>1186</v>
      </c>
      <c r="E2027" s="45">
        <f t="shared" si="160"/>
        <v>41316</v>
      </c>
      <c r="F2027" s="148" t="str">
        <f t="shared" si="157"/>
        <v>2012-13</v>
      </c>
      <c r="G2027" s="1"/>
      <c r="H2027" s="163"/>
      <c r="I2027" s="37"/>
      <c r="J2027" s="138">
        <f t="shared" si="161"/>
        <v>0.77968490742404351</v>
      </c>
      <c r="K2027" s="114"/>
      <c r="L2027" s="37">
        <v>74.419300181799997</v>
      </c>
      <c r="M2027" s="37" t="s">
        <v>142</v>
      </c>
      <c r="N2027" s="37">
        <v>696.6467060487804</v>
      </c>
      <c r="O2027" s="132">
        <f t="shared" si="158"/>
        <v>51843.960338106372</v>
      </c>
      <c r="P2027" s="134">
        <f t="shared" si="159"/>
        <v>40421.953416712247</v>
      </c>
      <c r="Q2027" s="261">
        <v>1</v>
      </c>
      <c r="R2027" s="94"/>
    </row>
    <row r="2028" spans="1:18" x14ac:dyDescent="0.25">
      <c r="A2028" s="367">
        <v>40876</v>
      </c>
      <c r="B2028" s="367" t="s">
        <v>279</v>
      </c>
      <c r="C2028" s="279" t="s">
        <v>686</v>
      </c>
      <c r="D2028" s="159" t="s">
        <v>1184</v>
      </c>
      <c r="E2028" s="45">
        <f t="shared" si="160"/>
        <v>40876</v>
      </c>
      <c r="F2028" s="148" t="str">
        <f t="shared" si="157"/>
        <v>2011-12</v>
      </c>
      <c r="G2028" s="1"/>
      <c r="H2028" s="163"/>
      <c r="I2028" s="37"/>
      <c r="J2028" s="138">
        <f t="shared" si="161"/>
        <v>0.77968490742404351</v>
      </c>
      <c r="K2028" s="114"/>
      <c r="L2028" s="37">
        <v>230.76103824200001</v>
      </c>
      <c r="M2028" s="37" t="s">
        <v>142</v>
      </c>
      <c r="N2028" s="37">
        <v>1422.8419512195119</v>
      </c>
      <c r="O2028" s="132">
        <f t="shared" si="158"/>
        <v>328336.48591768771</v>
      </c>
      <c r="P2028" s="134">
        <f t="shared" si="159"/>
        <v>255999.00262666811</v>
      </c>
      <c r="Q2028" s="261">
        <v>1</v>
      </c>
      <c r="R2028" s="94"/>
    </row>
    <row r="2029" spans="1:18" x14ac:dyDescent="0.25">
      <c r="A2029" s="367">
        <v>40876</v>
      </c>
      <c r="B2029" s="367" t="s">
        <v>279</v>
      </c>
      <c r="C2029" s="279" t="s">
        <v>686</v>
      </c>
      <c r="D2029" s="159" t="s">
        <v>1184</v>
      </c>
      <c r="E2029" s="45">
        <f t="shared" si="160"/>
        <v>40876</v>
      </c>
      <c r="F2029" s="148" t="str">
        <f t="shared" si="157"/>
        <v>2011-12</v>
      </c>
      <c r="G2029" s="1"/>
      <c r="H2029" s="163"/>
      <c r="I2029" s="37"/>
      <c r="J2029" s="138">
        <f t="shared" si="161"/>
        <v>0.77968490742404351</v>
      </c>
      <c r="K2029" s="114"/>
      <c r="L2029" s="37">
        <v>62.151425105599998</v>
      </c>
      <c r="M2029" s="37" t="s">
        <v>142</v>
      </c>
      <c r="N2029" s="37">
        <v>2042.4636684878049</v>
      </c>
      <c r="O2029" s="132">
        <f t="shared" si="158"/>
        <v>126942.02772292882</v>
      </c>
      <c r="P2029" s="134">
        <f t="shared" si="159"/>
        <v>98974.783133372126</v>
      </c>
      <c r="Q2029" s="261">
        <v>1</v>
      </c>
      <c r="R2029" s="94"/>
    </row>
    <row r="2030" spans="1:18" x14ac:dyDescent="0.25">
      <c r="A2030" s="367">
        <v>40876</v>
      </c>
      <c r="B2030" s="367" t="s">
        <v>279</v>
      </c>
      <c r="C2030" s="279" t="s">
        <v>686</v>
      </c>
      <c r="D2030" s="159" t="s">
        <v>1184</v>
      </c>
      <c r="E2030" s="45">
        <f t="shared" si="160"/>
        <v>40876</v>
      </c>
      <c r="F2030" s="148" t="str">
        <f t="shared" si="157"/>
        <v>2011-12</v>
      </c>
      <c r="G2030" s="1"/>
      <c r="H2030" s="163"/>
      <c r="I2030" s="37"/>
      <c r="J2030" s="138">
        <f t="shared" si="161"/>
        <v>0.77968490742404351</v>
      </c>
      <c r="K2030" s="114"/>
      <c r="L2030" s="37">
        <v>10.267153911699999</v>
      </c>
      <c r="M2030" s="37" t="s">
        <v>142</v>
      </c>
      <c r="N2030" s="37">
        <v>2042.4636684878049</v>
      </c>
      <c r="O2030" s="132">
        <f t="shared" si="158"/>
        <v>20970.288843419698</v>
      </c>
      <c r="P2030" s="134">
        <f t="shared" si="159"/>
        <v>16350.217715537139</v>
      </c>
      <c r="Q2030" s="261">
        <v>1</v>
      </c>
      <c r="R2030" s="94"/>
    </row>
    <row r="2031" spans="1:18" x14ac:dyDescent="0.25">
      <c r="A2031" s="367">
        <v>40876</v>
      </c>
      <c r="B2031" s="367" t="s">
        <v>279</v>
      </c>
      <c r="C2031" s="279" t="s">
        <v>686</v>
      </c>
      <c r="D2031" s="159" t="s">
        <v>1184</v>
      </c>
      <c r="E2031" s="45">
        <f t="shared" si="160"/>
        <v>40876</v>
      </c>
      <c r="F2031" s="148" t="str">
        <f t="shared" si="157"/>
        <v>2011-12</v>
      </c>
      <c r="G2031" s="1"/>
      <c r="H2031" s="163"/>
      <c r="I2031" s="37"/>
      <c r="J2031" s="138">
        <f t="shared" si="161"/>
        <v>0.77968490742404351</v>
      </c>
      <c r="K2031" s="114"/>
      <c r="L2031" s="37">
        <v>31.265181163800001</v>
      </c>
      <c r="M2031" s="37" t="s">
        <v>142</v>
      </c>
      <c r="N2031" s="37">
        <v>1422.8419512195119</v>
      </c>
      <c r="O2031" s="132">
        <f t="shared" si="158"/>
        <v>44485.411372332725</v>
      </c>
      <c r="P2031" s="134">
        <f t="shared" si="159"/>
        <v>34684.60384755773</v>
      </c>
      <c r="Q2031" s="261">
        <v>1</v>
      </c>
      <c r="R2031" s="94"/>
    </row>
    <row r="2032" spans="1:18" x14ac:dyDescent="0.25">
      <c r="A2032" s="367">
        <v>40876</v>
      </c>
      <c r="B2032" s="367" t="s">
        <v>279</v>
      </c>
      <c r="C2032" s="279" t="s">
        <v>686</v>
      </c>
      <c r="D2032" s="159" t="s">
        <v>1184</v>
      </c>
      <c r="E2032" s="45">
        <f t="shared" si="160"/>
        <v>40876</v>
      </c>
      <c r="F2032" s="148" t="str">
        <f t="shared" si="157"/>
        <v>2011-12</v>
      </c>
      <c r="G2032" s="1"/>
      <c r="H2032" s="163"/>
      <c r="I2032" s="37"/>
      <c r="J2032" s="138">
        <f t="shared" si="161"/>
        <v>0.77968490742404351</v>
      </c>
      <c r="K2032" s="114"/>
      <c r="L2032" s="37">
        <v>176.509314878</v>
      </c>
      <c r="M2032" s="37" t="s">
        <v>142</v>
      </c>
      <c r="N2032" s="37">
        <v>1422.8419512195119</v>
      </c>
      <c r="O2032" s="132">
        <f t="shared" si="158"/>
        <v>251144.85798943273</v>
      </c>
      <c r="P2032" s="134">
        <f t="shared" si="159"/>
        <v>195813.85535151541</v>
      </c>
      <c r="Q2032" s="261">
        <v>1</v>
      </c>
      <c r="R2032" s="94"/>
    </row>
    <row r="2033" spans="1:18" x14ac:dyDescent="0.25">
      <c r="A2033" s="367">
        <v>40419</v>
      </c>
      <c r="B2033" s="367" t="s">
        <v>279</v>
      </c>
      <c r="C2033" s="279" t="s">
        <v>723</v>
      </c>
      <c r="D2033" s="159" t="s">
        <v>1188</v>
      </c>
      <c r="E2033" s="45">
        <f t="shared" si="160"/>
        <v>40419</v>
      </c>
      <c r="F2033" s="148" t="str">
        <f t="shared" si="157"/>
        <v>2010-11</v>
      </c>
      <c r="G2033" s="1"/>
      <c r="H2033" s="163"/>
      <c r="I2033" s="37"/>
      <c r="J2033" s="138">
        <f t="shared" si="161"/>
        <v>0.77968490742404351</v>
      </c>
      <c r="K2033" s="114"/>
      <c r="L2033" s="37">
        <v>178.72400823000001</v>
      </c>
      <c r="M2033" s="37" t="s">
        <v>142</v>
      </c>
      <c r="N2033" s="37">
        <v>696.6467060487804</v>
      </c>
      <c r="O2033" s="132">
        <f t="shared" si="158"/>
        <v>124507.49162526462</v>
      </c>
      <c r="P2033" s="134">
        <f t="shared" si="159"/>
        <v>97076.612081444313</v>
      </c>
      <c r="Q2033" s="261">
        <v>1</v>
      </c>
      <c r="R2033" s="94"/>
    </row>
    <row r="2034" spans="1:18" x14ac:dyDescent="0.25">
      <c r="A2034" s="367">
        <v>40419</v>
      </c>
      <c r="B2034" s="367" t="s">
        <v>279</v>
      </c>
      <c r="C2034" s="279" t="s">
        <v>723</v>
      </c>
      <c r="D2034" s="159" t="s">
        <v>1188</v>
      </c>
      <c r="E2034" s="45">
        <f t="shared" si="160"/>
        <v>40419</v>
      </c>
      <c r="F2034" s="148" t="str">
        <f t="shared" si="157"/>
        <v>2010-11</v>
      </c>
      <c r="G2034" s="1"/>
      <c r="H2034" s="163"/>
      <c r="I2034" s="37"/>
      <c r="J2034" s="138">
        <f t="shared" si="161"/>
        <v>0.77968490742404351</v>
      </c>
      <c r="K2034" s="114"/>
      <c r="L2034" s="37">
        <v>5.1994547791099999</v>
      </c>
      <c r="M2034" s="37" t="s">
        <v>142</v>
      </c>
      <c r="N2034" s="37">
        <v>696.6467060487804</v>
      </c>
      <c r="O2034" s="132">
        <f t="shared" si="158"/>
        <v>3622.1830451165706</v>
      </c>
      <c r="P2034" s="134">
        <f t="shared" si="159"/>
        <v>2824.1614522046534</v>
      </c>
      <c r="Q2034" s="261">
        <v>1</v>
      </c>
      <c r="R2034" s="94"/>
    </row>
    <row r="2035" spans="1:18" x14ac:dyDescent="0.25">
      <c r="A2035" s="367">
        <v>40419</v>
      </c>
      <c r="B2035" s="367" t="s">
        <v>279</v>
      </c>
      <c r="C2035" s="279" t="s">
        <v>723</v>
      </c>
      <c r="D2035" s="159" t="s">
        <v>1188</v>
      </c>
      <c r="E2035" s="45">
        <f t="shared" si="160"/>
        <v>40419</v>
      </c>
      <c r="F2035" s="148" t="str">
        <f t="shared" si="157"/>
        <v>2010-11</v>
      </c>
      <c r="G2035" s="1"/>
      <c r="H2035" s="163"/>
      <c r="I2035" s="37"/>
      <c r="J2035" s="138">
        <f t="shared" si="161"/>
        <v>0.77968490742404351</v>
      </c>
      <c r="K2035" s="114"/>
      <c r="L2035" s="37">
        <v>1.9995021880499999</v>
      </c>
      <c r="M2035" s="37" t="s">
        <v>142</v>
      </c>
      <c r="N2035" s="37">
        <v>1003.0093919999996</v>
      </c>
      <c r="O2035" s="132">
        <f t="shared" si="158"/>
        <v>2005.5194739386993</v>
      </c>
      <c r="P2035" s="134">
        <f t="shared" si="159"/>
        <v>1563.6732653750112</v>
      </c>
      <c r="Q2035" s="261">
        <v>1</v>
      </c>
      <c r="R2035" s="94"/>
    </row>
    <row r="2036" spans="1:18" x14ac:dyDescent="0.25">
      <c r="A2036" s="367">
        <v>40419</v>
      </c>
      <c r="B2036" s="367" t="s">
        <v>279</v>
      </c>
      <c r="C2036" s="279" t="s">
        <v>723</v>
      </c>
      <c r="D2036" s="159" t="s">
        <v>1188</v>
      </c>
      <c r="E2036" s="45">
        <f t="shared" si="160"/>
        <v>40419</v>
      </c>
      <c r="F2036" s="148" t="str">
        <f t="shared" si="157"/>
        <v>2010-11</v>
      </c>
      <c r="G2036" s="1"/>
      <c r="H2036" s="163"/>
      <c r="I2036" s="37"/>
      <c r="J2036" s="138">
        <f t="shared" si="161"/>
        <v>0.77968490742404351</v>
      </c>
      <c r="K2036" s="114"/>
      <c r="L2036" s="37">
        <v>3.2660527368399999</v>
      </c>
      <c r="M2036" s="37" t="s">
        <v>142</v>
      </c>
      <c r="N2036" s="37">
        <v>696.6467060487804</v>
      </c>
      <c r="O2036" s="132">
        <f t="shared" si="158"/>
        <v>2275.2848809011903</v>
      </c>
      <c r="P2036" s="134">
        <f t="shared" si="159"/>
        <v>1774.0052817287703</v>
      </c>
      <c r="Q2036" s="261">
        <v>1</v>
      </c>
      <c r="R2036" s="94"/>
    </row>
    <row r="2037" spans="1:18" x14ac:dyDescent="0.25">
      <c r="A2037" s="367">
        <v>40419</v>
      </c>
      <c r="B2037" s="367" t="s">
        <v>279</v>
      </c>
      <c r="C2037" s="279" t="s">
        <v>723</v>
      </c>
      <c r="D2037" s="159" t="s">
        <v>1188</v>
      </c>
      <c r="E2037" s="45">
        <f t="shared" si="160"/>
        <v>40419</v>
      </c>
      <c r="F2037" s="148" t="str">
        <f t="shared" si="157"/>
        <v>2010-11</v>
      </c>
      <c r="G2037" s="1"/>
      <c r="H2037" s="163"/>
      <c r="I2037" s="37"/>
      <c r="J2037" s="138">
        <f t="shared" si="161"/>
        <v>0.77968490742404351</v>
      </c>
      <c r="K2037" s="114"/>
      <c r="L2037" s="37">
        <v>7.7983663032699999</v>
      </c>
      <c r="M2037" s="37" t="s">
        <v>142</v>
      </c>
      <c r="N2037" s="37">
        <v>696.6467060487804</v>
      </c>
      <c r="O2037" s="132">
        <f t="shared" si="158"/>
        <v>5432.7061977348503</v>
      </c>
      <c r="P2037" s="134">
        <f t="shared" si="159"/>
        <v>4235.7990288429246</v>
      </c>
      <c r="Q2037" s="261">
        <v>1</v>
      </c>
      <c r="R2037" s="94"/>
    </row>
    <row r="2038" spans="1:18" x14ac:dyDescent="0.25">
      <c r="A2038" s="367">
        <v>40419</v>
      </c>
      <c r="B2038" s="367" t="s">
        <v>279</v>
      </c>
      <c r="C2038" s="279" t="s">
        <v>723</v>
      </c>
      <c r="D2038" s="159" t="s">
        <v>1188</v>
      </c>
      <c r="E2038" s="45">
        <f t="shared" si="160"/>
        <v>40419</v>
      </c>
      <c r="F2038" s="148" t="str">
        <f t="shared" si="157"/>
        <v>2010-11</v>
      </c>
      <c r="G2038" s="1"/>
      <c r="H2038" s="163"/>
      <c r="I2038" s="37"/>
      <c r="J2038" s="138">
        <f t="shared" si="161"/>
        <v>0.77968490742404351</v>
      </c>
      <c r="K2038" s="114"/>
      <c r="L2038" s="37">
        <v>1.7006554837600001</v>
      </c>
      <c r="M2038" s="37" t="s">
        <v>142</v>
      </c>
      <c r="N2038" s="37">
        <v>696.6467060487804</v>
      </c>
      <c r="O2038" s="132">
        <f t="shared" si="158"/>
        <v>1184.7560408851991</v>
      </c>
      <c r="P2038" s="134">
        <f t="shared" si="159"/>
        <v>923.73640405765275</v>
      </c>
      <c r="Q2038" s="261">
        <v>1</v>
      </c>
      <c r="R2038" s="94"/>
    </row>
    <row r="2039" spans="1:18" x14ac:dyDescent="0.25">
      <c r="A2039" s="367">
        <v>39164</v>
      </c>
      <c r="B2039" s="367" t="s">
        <v>279</v>
      </c>
      <c r="C2039" s="279" t="s">
        <v>724</v>
      </c>
      <c r="D2039" s="159" t="s">
        <v>1188</v>
      </c>
      <c r="E2039" s="45">
        <f t="shared" si="160"/>
        <v>39164</v>
      </c>
      <c r="F2039" s="148" t="str">
        <f t="shared" si="157"/>
        <v>2006-07</v>
      </c>
      <c r="G2039" s="1"/>
      <c r="H2039" s="163"/>
      <c r="I2039" s="37"/>
      <c r="J2039" s="138">
        <f t="shared" si="161"/>
        <v>0.77968490742404351</v>
      </c>
      <c r="K2039" s="114"/>
      <c r="L2039" s="37">
        <v>4.0000813109199997</v>
      </c>
      <c r="M2039" s="37" t="s">
        <v>142</v>
      </c>
      <c r="N2039" s="37">
        <v>696.6467060487804</v>
      </c>
      <c r="O2039" s="132">
        <f t="shared" si="158"/>
        <v>2786.6434691797053</v>
      </c>
      <c r="P2039" s="134">
        <f t="shared" si="159"/>
        <v>2172.703855291194</v>
      </c>
      <c r="Q2039" s="261">
        <v>1</v>
      </c>
      <c r="R2039" s="94"/>
    </row>
    <row r="2040" spans="1:18" x14ac:dyDescent="0.25">
      <c r="A2040" s="367">
        <v>40192</v>
      </c>
      <c r="B2040" s="367" t="s">
        <v>279</v>
      </c>
      <c r="C2040" s="279" t="s">
        <v>299</v>
      </c>
      <c r="D2040" s="159" t="s">
        <v>1189</v>
      </c>
      <c r="E2040" s="45">
        <f t="shared" si="160"/>
        <v>40192</v>
      </c>
      <c r="F2040" s="148" t="str">
        <f t="shared" si="157"/>
        <v>2009-10</v>
      </c>
      <c r="G2040" s="1"/>
      <c r="H2040" s="163"/>
      <c r="I2040" s="37"/>
      <c r="J2040" s="138">
        <f t="shared" si="161"/>
        <v>0.77968490742404351</v>
      </c>
      <c r="K2040" s="114"/>
      <c r="L2040" s="37">
        <v>5.1989833621599999</v>
      </c>
      <c r="M2040" s="37" t="s">
        <v>142</v>
      </c>
      <c r="N2040" s="37">
        <v>2042.4636684878049</v>
      </c>
      <c r="O2040" s="132">
        <f t="shared" si="158"/>
        <v>10618.734630284374</v>
      </c>
      <c r="P2040" s="134">
        <f t="shared" si="159"/>
        <v>8279.2671271737581</v>
      </c>
      <c r="Q2040" s="261">
        <v>1</v>
      </c>
      <c r="R2040" s="94"/>
    </row>
    <row r="2041" spans="1:18" x14ac:dyDescent="0.25">
      <c r="A2041" s="367">
        <v>41308</v>
      </c>
      <c r="B2041" s="367" t="s">
        <v>279</v>
      </c>
      <c r="C2041" s="279" t="s">
        <v>297</v>
      </c>
      <c r="D2041" s="159" t="s">
        <v>1190</v>
      </c>
      <c r="E2041" s="45">
        <f t="shared" si="160"/>
        <v>41308</v>
      </c>
      <c r="F2041" s="148" t="str">
        <f t="shared" si="157"/>
        <v>2012-13</v>
      </c>
      <c r="G2041" s="1"/>
      <c r="H2041" s="163"/>
      <c r="I2041" s="37"/>
      <c r="J2041" s="138">
        <f t="shared" si="161"/>
        <v>0.77968490742404351</v>
      </c>
      <c r="K2041" s="114"/>
      <c r="L2041" s="37">
        <v>10.542060639500001</v>
      </c>
      <c r="M2041" s="37" t="s">
        <v>142</v>
      </c>
      <c r="N2041" s="37">
        <v>771.6404230243902</v>
      </c>
      <c r="O2041" s="132">
        <f t="shared" si="158"/>
        <v>8134.6801314125541</v>
      </c>
      <c r="P2041" s="134">
        <f t="shared" si="159"/>
        <v>6342.4873251846029</v>
      </c>
      <c r="Q2041" s="261">
        <v>1</v>
      </c>
      <c r="R2041" s="94"/>
    </row>
    <row r="2042" spans="1:18" x14ac:dyDescent="0.25">
      <c r="A2042" s="367">
        <v>41308</v>
      </c>
      <c r="B2042" s="367" t="s">
        <v>279</v>
      </c>
      <c r="C2042" s="279" t="s">
        <v>297</v>
      </c>
      <c r="D2042" s="159" t="s">
        <v>1190</v>
      </c>
      <c r="E2042" s="45">
        <f t="shared" si="160"/>
        <v>41308</v>
      </c>
      <c r="F2042" s="148" t="str">
        <f t="shared" si="157"/>
        <v>2012-13</v>
      </c>
      <c r="G2042" s="1"/>
      <c r="H2042" s="163"/>
      <c r="I2042" s="37"/>
      <c r="J2042" s="138">
        <f t="shared" si="161"/>
        <v>0.77968490742404351</v>
      </c>
      <c r="K2042" s="114"/>
      <c r="L2042" s="37">
        <v>1.4999786665099999</v>
      </c>
      <c r="M2042" s="37" t="s">
        <v>142</v>
      </c>
      <c r="N2042" s="37">
        <v>771.6404230243902</v>
      </c>
      <c r="O2042" s="132">
        <f t="shared" si="158"/>
        <v>1157.4441727533369</v>
      </c>
      <c r="P2042" s="134">
        <f t="shared" si="159"/>
        <v>902.44175268168408</v>
      </c>
      <c r="Q2042" s="261">
        <v>1</v>
      </c>
      <c r="R2042" s="94"/>
    </row>
    <row r="2043" spans="1:18" x14ac:dyDescent="0.25">
      <c r="A2043" s="367">
        <v>41308</v>
      </c>
      <c r="B2043" s="367" t="s">
        <v>279</v>
      </c>
      <c r="C2043" s="279" t="s">
        <v>297</v>
      </c>
      <c r="D2043" s="159" t="s">
        <v>1190</v>
      </c>
      <c r="E2043" s="45">
        <f t="shared" si="160"/>
        <v>41308</v>
      </c>
      <c r="F2043" s="148" t="str">
        <f t="shared" si="157"/>
        <v>2012-13</v>
      </c>
      <c r="G2043" s="1"/>
      <c r="H2043" s="163"/>
      <c r="I2043" s="37"/>
      <c r="J2043" s="138">
        <f t="shared" si="161"/>
        <v>0.77968490742404351</v>
      </c>
      <c r="K2043" s="114"/>
      <c r="L2043" s="37">
        <v>41.102568853400001</v>
      </c>
      <c r="M2043" s="37" t="s">
        <v>142</v>
      </c>
      <c r="N2043" s="37">
        <v>771.6404230243902</v>
      </c>
      <c r="O2043" s="132">
        <f t="shared" si="158"/>
        <v>31716.403617426702</v>
      </c>
      <c r="P2043" s="134">
        <f t="shared" si="159"/>
        <v>24728.801218276938</v>
      </c>
      <c r="Q2043" s="261">
        <v>1</v>
      </c>
      <c r="R2043" s="94"/>
    </row>
    <row r="2044" spans="1:18" x14ac:dyDescent="0.25">
      <c r="A2044" s="367">
        <v>41308</v>
      </c>
      <c r="B2044" s="367" t="s">
        <v>279</v>
      </c>
      <c r="C2044" s="279" t="s">
        <v>297</v>
      </c>
      <c r="D2044" s="159" t="s">
        <v>1190</v>
      </c>
      <c r="E2044" s="45">
        <f t="shared" si="160"/>
        <v>41308</v>
      </c>
      <c r="F2044" s="148" t="str">
        <f t="shared" si="157"/>
        <v>2012-13</v>
      </c>
      <c r="G2044" s="1"/>
      <c r="H2044" s="163"/>
      <c r="I2044" s="37"/>
      <c r="J2044" s="138">
        <f t="shared" si="161"/>
        <v>0.77968490742404351</v>
      </c>
      <c r="K2044" s="114"/>
      <c r="L2044" s="37">
        <v>11.255198141899999</v>
      </c>
      <c r="M2044" s="37" t="s">
        <v>142</v>
      </c>
      <c r="N2044" s="37">
        <v>771.6404230243902</v>
      </c>
      <c r="O2044" s="132">
        <f t="shared" si="158"/>
        <v>8684.9658554390462</v>
      </c>
      <c r="P2044" s="134">
        <f t="shared" si="159"/>
        <v>6771.536798978972</v>
      </c>
      <c r="Q2044" s="261">
        <v>1</v>
      </c>
      <c r="R2044" s="94"/>
    </row>
    <row r="2045" spans="1:18" x14ac:dyDescent="0.25">
      <c r="A2045" s="367">
        <v>41308</v>
      </c>
      <c r="B2045" s="367" t="s">
        <v>279</v>
      </c>
      <c r="C2045" s="279" t="s">
        <v>297</v>
      </c>
      <c r="D2045" s="159" t="s">
        <v>1190</v>
      </c>
      <c r="E2045" s="45">
        <f t="shared" si="160"/>
        <v>41308</v>
      </c>
      <c r="F2045" s="148" t="str">
        <f t="shared" si="157"/>
        <v>2012-13</v>
      </c>
      <c r="G2045" s="1"/>
      <c r="H2045" s="163"/>
      <c r="I2045" s="37"/>
      <c r="J2045" s="138">
        <f t="shared" si="161"/>
        <v>0.77968490742404351</v>
      </c>
      <c r="K2045" s="114"/>
      <c r="L2045" s="37">
        <v>3.5000471653399998</v>
      </c>
      <c r="M2045" s="37" t="s">
        <v>142</v>
      </c>
      <c r="N2045" s="37">
        <v>771.6404230243902</v>
      </c>
      <c r="O2045" s="132">
        <f t="shared" si="158"/>
        <v>2700.7778752682752</v>
      </c>
      <c r="P2045" s="134">
        <f t="shared" si="159"/>
        <v>2105.7557476514503</v>
      </c>
      <c r="Q2045" s="261">
        <v>1</v>
      </c>
      <c r="R2045" s="94"/>
    </row>
    <row r="2046" spans="1:18" x14ac:dyDescent="0.25">
      <c r="A2046" s="367">
        <v>41308</v>
      </c>
      <c r="B2046" s="367" t="s">
        <v>279</v>
      </c>
      <c r="C2046" s="279" t="s">
        <v>297</v>
      </c>
      <c r="D2046" s="159" t="s">
        <v>1190</v>
      </c>
      <c r="E2046" s="45">
        <f t="shared" si="160"/>
        <v>41308</v>
      </c>
      <c r="F2046" s="148" t="str">
        <f t="shared" si="157"/>
        <v>2012-13</v>
      </c>
      <c r="G2046" s="1"/>
      <c r="H2046" s="163"/>
      <c r="I2046" s="37"/>
      <c r="J2046" s="138">
        <f t="shared" si="161"/>
        <v>0.77968490742404351</v>
      </c>
      <c r="K2046" s="114"/>
      <c r="L2046" s="37">
        <v>2.09963523489</v>
      </c>
      <c r="M2046" s="37" t="s">
        <v>142</v>
      </c>
      <c r="N2046" s="37">
        <v>771.6404230243902</v>
      </c>
      <c r="O2046" s="132">
        <f t="shared" si="158"/>
        <v>1620.1634208474345</v>
      </c>
      <c r="P2046" s="134">
        <f t="shared" si="159"/>
        <v>1263.2169667952537</v>
      </c>
      <c r="Q2046" s="261">
        <v>1</v>
      </c>
      <c r="R2046" s="94"/>
    </row>
    <row r="2047" spans="1:18" x14ac:dyDescent="0.25">
      <c r="A2047" s="367">
        <v>41308</v>
      </c>
      <c r="B2047" s="367" t="s">
        <v>279</v>
      </c>
      <c r="C2047" s="279" t="s">
        <v>297</v>
      </c>
      <c r="D2047" s="159" t="s">
        <v>1190</v>
      </c>
      <c r="E2047" s="45">
        <f t="shared" si="160"/>
        <v>41308</v>
      </c>
      <c r="F2047" s="148" t="str">
        <f t="shared" si="157"/>
        <v>2012-13</v>
      </c>
      <c r="G2047" s="1"/>
      <c r="H2047" s="163"/>
      <c r="I2047" s="37"/>
      <c r="J2047" s="138">
        <f t="shared" si="161"/>
        <v>0.77968490742404351</v>
      </c>
      <c r="K2047" s="114"/>
      <c r="L2047" s="37">
        <v>2.2422107394299999</v>
      </c>
      <c r="M2047" s="37" t="s">
        <v>142</v>
      </c>
      <c r="N2047" s="37">
        <v>771.6404230243902</v>
      </c>
      <c r="O2047" s="132">
        <f t="shared" si="158"/>
        <v>1730.1804434835958</v>
      </c>
      <c r="P2047" s="134">
        <f t="shared" si="159"/>
        <v>1348.9955789043979</v>
      </c>
      <c r="Q2047" s="261">
        <v>1</v>
      </c>
      <c r="R2047" s="94"/>
    </row>
    <row r="2048" spans="1:18" x14ac:dyDescent="0.25">
      <c r="A2048" s="367">
        <v>41308</v>
      </c>
      <c r="B2048" s="367" t="s">
        <v>279</v>
      </c>
      <c r="C2048" s="279" t="s">
        <v>297</v>
      </c>
      <c r="D2048" s="159" t="s">
        <v>1190</v>
      </c>
      <c r="E2048" s="45">
        <f t="shared" si="160"/>
        <v>41308</v>
      </c>
      <c r="F2048" s="148" t="str">
        <f t="shared" si="157"/>
        <v>2012-13</v>
      </c>
      <c r="G2048" s="1"/>
      <c r="H2048" s="163"/>
      <c r="I2048" s="37"/>
      <c r="J2048" s="138">
        <f t="shared" si="161"/>
        <v>0.77968490742404351</v>
      </c>
      <c r="K2048" s="114"/>
      <c r="L2048" s="37">
        <v>1.50023631472</v>
      </c>
      <c r="M2048" s="37" t="s">
        <v>142</v>
      </c>
      <c r="N2048" s="37">
        <v>771.6404230243902</v>
      </c>
      <c r="O2048" s="132">
        <f t="shared" si="158"/>
        <v>1157.6429845270929</v>
      </c>
      <c r="P2048" s="134">
        <f t="shared" si="159"/>
        <v>902.59676322109988</v>
      </c>
      <c r="Q2048" s="261">
        <v>1</v>
      </c>
      <c r="R2048" s="94"/>
    </row>
    <row r="2049" spans="1:18" x14ac:dyDescent="0.25">
      <c r="A2049" s="367">
        <v>41308</v>
      </c>
      <c r="B2049" s="367" t="s">
        <v>279</v>
      </c>
      <c r="C2049" s="279" t="s">
        <v>297</v>
      </c>
      <c r="D2049" s="159" t="s">
        <v>1190</v>
      </c>
      <c r="E2049" s="45">
        <f t="shared" si="160"/>
        <v>41308</v>
      </c>
      <c r="F2049" s="148" t="str">
        <f t="shared" si="157"/>
        <v>2012-13</v>
      </c>
      <c r="G2049" s="1"/>
      <c r="H2049" s="163"/>
      <c r="I2049" s="37"/>
      <c r="J2049" s="138">
        <f t="shared" si="161"/>
        <v>0.77968490742404351</v>
      </c>
      <c r="K2049" s="114"/>
      <c r="L2049" s="37">
        <v>2.49940173829</v>
      </c>
      <c r="M2049" s="37" t="s">
        <v>142</v>
      </c>
      <c r="N2049" s="37">
        <v>771.6404230243902</v>
      </c>
      <c r="O2049" s="132">
        <f t="shared" si="158"/>
        <v>1928.6394146419918</v>
      </c>
      <c r="P2049" s="134">
        <f t="shared" si="159"/>
        <v>1503.7310434595029</v>
      </c>
      <c r="Q2049" s="261">
        <v>1</v>
      </c>
      <c r="R2049" s="94"/>
    </row>
    <row r="2050" spans="1:18" x14ac:dyDescent="0.25">
      <c r="A2050" s="367">
        <v>40760</v>
      </c>
      <c r="B2050" s="367" t="s">
        <v>279</v>
      </c>
      <c r="C2050" s="279" t="s">
        <v>725</v>
      </c>
      <c r="D2050" s="159" t="s">
        <v>1191</v>
      </c>
      <c r="E2050" s="45">
        <f t="shared" si="160"/>
        <v>40760</v>
      </c>
      <c r="F2050" s="148" t="str">
        <f t="shared" si="157"/>
        <v>2011-12</v>
      </c>
      <c r="G2050" s="1"/>
      <c r="H2050" s="163"/>
      <c r="I2050" s="37"/>
      <c r="J2050" s="138">
        <f t="shared" si="161"/>
        <v>0.77968490742404351</v>
      </c>
      <c r="K2050" s="114"/>
      <c r="L2050" s="37">
        <v>5.0494058857399997</v>
      </c>
      <c r="M2050" s="37" t="s">
        <v>142</v>
      </c>
      <c r="N2050" s="37">
        <v>696.6467060487804</v>
      </c>
      <c r="O2050" s="132">
        <f t="shared" si="158"/>
        <v>3517.6519778040952</v>
      </c>
      <c r="P2050" s="134">
        <f t="shared" si="159"/>
        <v>2742.6601566641893</v>
      </c>
      <c r="Q2050" s="261">
        <v>1</v>
      </c>
      <c r="R2050" s="94"/>
    </row>
    <row r="2051" spans="1:18" x14ac:dyDescent="0.25">
      <c r="A2051" s="367">
        <v>43385</v>
      </c>
      <c r="B2051" s="367" t="s">
        <v>279</v>
      </c>
      <c r="C2051" s="279" t="s">
        <v>301</v>
      </c>
      <c r="D2051" s="159" t="s">
        <v>1191</v>
      </c>
      <c r="E2051" s="45">
        <f t="shared" si="160"/>
        <v>43385</v>
      </c>
      <c r="F2051" s="148" t="str">
        <f t="shared" si="157"/>
        <v>2018-19</v>
      </c>
      <c r="G2051" s="1"/>
      <c r="H2051" s="163"/>
      <c r="I2051" s="37"/>
      <c r="J2051" s="138">
        <f t="shared" si="161"/>
        <v>0.77968490742404351</v>
      </c>
      <c r="K2051" s="114"/>
      <c r="L2051" s="37">
        <v>5.3910123397599996</v>
      </c>
      <c r="M2051" s="37" t="s">
        <v>142</v>
      </c>
      <c r="N2051" s="37">
        <v>1422.8419512195119</v>
      </c>
      <c r="O2051" s="132">
        <f t="shared" si="158"/>
        <v>7670.5585165525836</v>
      </c>
      <c r="P2051" s="134">
        <f t="shared" si="159"/>
        <v>5980.6187068690097</v>
      </c>
      <c r="Q2051" s="261">
        <v>1</v>
      </c>
      <c r="R2051" s="94"/>
    </row>
    <row r="2052" spans="1:18" x14ac:dyDescent="0.25">
      <c r="A2052" s="367">
        <v>43385</v>
      </c>
      <c r="B2052" s="367" t="s">
        <v>279</v>
      </c>
      <c r="C2052" s="279" t="s">
        <v>301</v>
      </c>
      <c r="D2052" s="159" t="s">
        <v>1191</v>
      </c>
      <c r="E2052" s="45">
        <f t="shared" si="160"/>
        <v>43385</v>
      </c>
      <c r="F2052" s="148" t="str">
        <f t="shared" si="157"/>
        <v>2018-19</v>
      </c>
      <c r="G2052" s="1"/>
      <c r="H2052" s="163"/>
      <c r="I2052" s="37"/>
      <c r="J2052" s="138">
        <f t="shared" si="161"/>
        <v>0.77968490742404351</v>
      </c>
      <c r="K2052" s="114"/>
      <c r="L2052" s="37">
        <v>2.6916419066600001</v>
      </c>
      <c r="M2052" s="37" t="s">
        <v>142</v>
      </c>
      <c r="N2052" s="37">
        <v>1422.8419512195119</v>
      </c>
      <c r="O2052" s="132">
        <f t="shared" si="158"/>
        <v>3829.7810224563218</v>
      </c>
      <c r="P2052" s="134">
        <f t="shared" si="159"/>
        <v>2986.022461948216</v>
      </c>
      <c r="Q2052" s="261">
        <v>1</v>
      </c>
      <c r="R2052" s="94"/>
    </row>
    <row r="2053" spans="1:18" x14ac:dyDescent="0.25">
      <c r="A2053" s="367">
        <v>40355</v>
      </c>
      <c r="B2053" s="367" t="s">
        <v>279</v>
      </c>
      <c r="C2053" s="279" t="s">
        <v>614</v>
      </c>
      <c r="D2053" s="159" t="s">
        <v>1192</v>
      </c>
      <c r="E2053" s="45">
        <f t="shared" si="160"/>
        <v>40355</v>
      </c>
      <c r="F2053" s="148" t="str">
        <f t="shared" si="157"/>
        <v>2009-10</v>
      </c>
      <c r="G2053" s="1"/>
      <c r="H2053" s="163"/>
      <c r="I2053" s="37"/>
      <c r="J2053" s="138">
        <f t="shared" si="161"/>
        <v>0.77968490742404351</v>
      </c>
      <c r="K2053" s="114"/>
      <c r="L2053" s="37">
        <v>0.99912811991299999</v>
      </c>
      <c r="M2053" s="37" t="s">
        <v>142</v>
      </c>
      <c r="N2053" s="37">
        <v>1422.8466506341463</v>
      </c>
      <c r="O2053" s="132">
        <f t="shared" si="158"/>
        <v>1421.6060989726036</v>
      </c>
      <c r="P2053" s="134">
        <f t="shared" si="159"/>
        <v>1108.40481967091</v>
      </c>
      <c r="Q2053" s="261">
        <v>1</v>
      </c>
      <c r="R2053" s="94"/>
    </row>
    <row r="2054" spans="1:18" x14ac:dyDescent="0.25">
      <c r="A2054" s="367">
        <v>40355</v>
      </c>
      <c r="B2054" s="367" t="s">
        <v>279</v>
      </c>
      <c r="C2054" s="279" t="s">
        <v>614</v>
      </c>
      <c r="D2054" s="159" t="s">
        <v>1192</v>
      </c>
      <c r="E2054" s="45">
        <f t="shared" si="160"/>
        <v>40355</v>
      </c>
      <c r="F2054" s="148" t="str">
        <f t="shared" si="157"/>
        <v>2009-10</v>
      </c>
      <c r="G2054" s="1"/>
      <c r="H2054" s="163"/>
      <c r="I2054" s="37"/>
      <c r="J2054" s="138">
        <f t="shared" si="161"/>
        <v>0.77968490742404351</v>
      </c>
      <c r="K2054" s="114"/>
      <c r="L2054" s="37">
        <v>1.00020447909</v>
      </c>
      <c r="M2054" s="37" t="s">
        <v>142</v>
      </c>
      <c r="N2054" s="37">
        <v>1422.8466506341463</v>
      </c>
      <c r="O2054" s="132">
        <f t="shared" si="158"/>
        <v>1423.1375930224774</v>
      </c>
      <c r="P2054" s="134">
        <f t="shared" si="159"/>
        <v>1109.5989024674063</v>
      </c>
      <c r="Q2054" s="261">
        <v>1</v>
      </c>
      <c r="R2054" s="94"/>
    </row>
    <row r="2055" spans="1:18" x14ac:dyDescent="0.25">
      <c r="A2055" s="367">
        <v>43539</v>
      </c>
      <c r="B2055" s="367" t="s">
        <v>279</v>
      </c>
      <c r="C2055" s="279" t="s">
        <v>726</v>
      </c>
      <c r="D2055" s="159" t="s">
        <v>1192</v>
      </c>
      <c r="E2055" s="45">
        <f t="shared" si="160"/>
        <v>43539</v>
      </c>
      <c r="F2055" s="148" t="str">
        <f t="shared" si="157"/>
        <v>2018-19</v>
      </c>
      <c r="G2055" s="1"/>
      <c r="H2055" s="163"/>
      <c r="I2055" s="37"/>
      <c r="J2055" s="138">
        <f t="shared" si="161"/>
        <v>0.77968490742404351</v>
      </c>
      <c r="K2055" s="114"/>
      <c r="L2055" s="37">
        <v>4.1995549266500003</v>
      </c>
      <c r="M2055" s="37" t="s">
        <v>142</v>
      </c>
      <c r="N2055" s="37">
        <v>696.6467060487804</v>
      </c>
      <c r="O2055" s="132">
        <f t="shared" si="158"/>
        <v>2925.6061065216504</v>
      </c>
      <c r="P2055" s="134">
        <f t="shared" si="159"/>
        <v>2281.0509263225495</v>
      </c>
      <c r="Q2055" s="261">
        <v>1</v>
      </c>
      <c r="R2055" s="94"/>
    </row>
    <row r="2056" spans="1:18" x14ac:dyDescent="0.25">
      <c r="A2056" s="367">
        <v>43799</v>
      </c>
      <c r="B2056" s="367" t="s">
        <v>279</v>
      </c>
      <c r="C2056" s="279" t="s">
        <v>727</v>
      </c>
      <c r="D2056" s="159" t="s">
        <v>1149</v>
      </c>
      <c r="E2056" s="45">
        <f t="shared" si="160"/>
        <v>43799</v>
      </c>
      <c r="F2056" s="148" t="str">
        <f t="shared" si="157"/>
        <v>2019-20</v>
      </c>
      <c r="G2056" s="1"/>
      <c r="H2056" s="163"/>
      <c r="I2056" s="37"/>
      <c r="J2056" s="138">
        <f t="shared" si="161"/>
        <v>0.77968490742404351</v>
      </c>
      <c r="K2056" s="114"/>
      <c r="L2056" s="37">
        <v>76.523008692999994</v>
      </c>
      <c r="M2056" s="37" t="s">
        <v>142</v>
      </c>
      <c r="N2056" s="37">
        <v>916.51999999999987</v>
      </c>
      <c r="O2056" s="132">
        <f t="shared" si="158"/>
        <v>70134.86792730834</v>
      </c>
      <c r="P2056" s="134">
        <f t="shared" si="159"/>
        <v>54683.098007100918</v>
      </c>
      <c r="Q2056" s="261">
        <v>1</v>
      </c>
      <c r="R2056" s="94"/>
    </row>
    <row r="2057" spans="1:18" x14ac:dyDescent="0.25">
      <c r="A2057" s="367">
        <v>43799</v>
      </c>
      <c r="B2057" s="367" t="s">
        <v>279</v>
      </c>
      <c r="C2057" s="279" t="s">
        <v>727</v>
      </c>
      <c r="D2057" s="159" t="s">
        <v>1149</v>
      </c>
      <c r="E2057" s="45">
        <f t="shared" si="160"/>
        <v>43799</v>
      </c>
      <c r="F2057" s="148" t="str">
        <f t="shared" si="157"/>
        <v>2019-20</v>
      </c>
      <c r="G2057" s="1"/>
      <c r="H2057" s="163"/>
      <c r="I2057" s="37"/>
      <c r="J2057" s="138">
        <f t="shared" si="161"/>
        <v>0.77968490742404351</v>
      </c>
      <c r="K2057" s="114"/>
      <c r="L2057" s="37">
        <v>1.6000499992199999</v>
      </c>
      <c r="M2057" s="37" t="s">
        <v>142</v>
      </c>
      <c r="N2057" s="37">
        <v>916.51999999999987</v>
      </c>
      <c r="O2057" s="132">
        <f t="shared" si="158"/>
        <v>1466.477825285114</v>
      </c>
      <c r="P2057" s="134">
        <f t="shared" si="159"/>
        <v>1143.3906274468368</v>
      </c>
      <c r="Q2057" s="261">
        <v>1</v>
      </c>
      <c r="R2057" s="94"/>
    </row>
    <row r="2058" spans="1:18" x14ac:dyDescent="0.25">
      <c r="A2058" s="367">
        <v>43799</v>
      </c>
      <c r="B2058" s="367" t="s">
        <v>279</v>
      </c>
      <c r="C2058" s="279" t="s">
        <v>727</v>
      </c>
      <c r="D2058" s="159" t="s">
        <v>1149</v>
      </c>
      <c r="E2058" s="45">
        <f t="shared" si="160"/>
        <v>43799</v>
      </c>
      <c r="F2058" s="148" t="str">
        <f t="shared" si="157"/>
        <v>2019-20</v>
      </c>
      <c r="G2058" s="1"/>
      <c r="H2058" s="163"/>
      <c r="I2058" s="37"/>
      <c r="J2058" s="138">
        <f t="shared" si="161"/>
        <v>0.77968490742404351</v>
      </c>
      <c r="K2058" s="114"/>
      <c r="L2058" s="37">
        <v>3.99938691917</v>
      </c>
      <c r="M2058" s="37" t="s">
        <v>142</v>
      </c>
      <c r="N2058" s="37">
        <v>696.6467060487804</v>
      </c>
      <c r="O2058" s="132">
        <f t="shared" si="158"/>
        <v>2786.1597234543606</v>
      </c>
      <c r="P2058" s="134">
        <f t="shared" si="159"/>
        <v>2172.3266860501117</v>
      </c>
      <c r="Q2058" s="261">
        <v>1</v>
      </c>
      <c r="R2058" s="94"/>
    </row>
    <row r="2059" spans="1:18" x14ac:dyDescent="0.25">
      <c r="A2059" s="367">
        <v>43799</v>
      </c>
      <c r="B2059" s="367" t="s">
        <v>279</v>
      </c>
      <c r="C2059" s="279" t="s">
        <v>727</v>
      </c>
      <c r="D2059" s="159" t="s">
        <v>1149</v>
      </c>
      <c r="E2059" s="45">
        <f t="shared" si="160"/>
        <v>43799</v>
      </c>
      <c r="F2059" s="148" t="str">
        <f t="shared" si="157"/>
        <v>2019-20</v>
      </c>
      <c r="G2059" s="1"/>
      <c r="H2059" s="163"/>
      <c r="I2059" s="37"/>
      <c r="J2059" s="138">
        <f t="shared" si="161"/>
        <v>0.77968490742404351</v>
      </c>
      <c r="K2059" s="114"/>
      <c r="L2059" s="37">
        <v>4.0656183696800001</v>
      </c>
      <c r="M2059" s="37" t="s">
        <v>142</v>
      </c>
      <c r="N2059" s="37">
        <v>696.6467060487804</v>
      </c>
      <c r="O2059" s="132">
        <f t="shared" si="158"/>
        <v>2832.2996452889847</v>
      </c>
      <c r="P2059" s="134">
        <f t="shared" si="159"/>
        <v>2208.3012867342932</v>
      </c>
      <c r="Q2059" s="261">
        <v>1</v>
      </c>
      <c r="R2059" s="94"/>
    </row>
    <row r="2060" spans="1:18" x14ac:dyDescent="0.25">
      <c r="A2060" s="367">
        <v>41047</v>
      </c>
      <c r="B2060" s="367" t="s">
        <v>279</v>
      </c>
      <c r="C2060" s="279" t="s">
        <v>728</v>
      </c>
      <c r="D2060" s="159" t="s">
        <v>1149</v>
      </c>
      <c r="E2060" s="45">
        <f t="shared" si="160"/>
        <v>41047</v>
      </c>
      <c r="F2060" s="148" t="str">
        <f t="shared" si="157"/>
        <v>2011-12</v>
      </c>
      <c r="G2060" s="1"/>
      <c r="H2060" s="163"/>
      <c r="I2060" s="37"/>
      <c r="J2060" s="138">
        <f t="shared" si="161"/>
        <v>0.77968490742404351</v>
      </c>
      <c r="K2060" s="114"/>
      <c r="L2060" s="37">
        <v>1.5163765371</v>
      </c>
      <c r="M2060" s="37" t="s">
        <v>142</v>
      </c>
      <c r="N2060" s="37">
        <v>1128.7084557073169</v>
      </c>
      <c r="O2060" s="132">
        <f t="shared" si="158"/>
        <v>1711.54701946095</v>
      </c>
      <c r="P2060" s="134">
        <f t="shared" si="159"/>
        <v>1334.4673794203084</v>
      </c>
      <c r="Q2060" s="261">
        <v>1</v>
      </c>
      <c r="R2060" s="94"/>
    </row>
    <row r="2061" spans="1:18" x14ac:dyDescent="0.25">
      <c r="A2061" s="367">
        <v>41047</v>
      </c>
      <c r="B2061" s="367" t="s">
        <v>279</v>
      </c>
      <c r="C2061" s="279" t="s">
        <v>728</v>
      </c>
      <c r="D2061" s="159" t="s">
        <v>1149</v>
      </c>
      <c r="E2061" s="45">
        <f t="shared" si="160"/>
        <v>41047</v>
      </c>
      <c r="F2061" s="148" t="str">
        <f t="shared" si="157"/>
        <v>2011-12</v>
      </c>
      <c r="G2061" s="1"/>
      <c r="H2061" s="163"/>
      <c r="I2061" s="37"/>
      <c r="J2061" s="138">
        <f t="shared" si="161"/>
        <v>0.77968490742404351</v>
      </c>
      <c r="K2061" s="114"/>
      <c r="L2061" s="37">
        <v>31.320046232500001</v>
      </c>
      <c r="M2061" s="37" t="s">
        <v>142</v>
      </c>
      <c r="N2061" s="37">
        <v>916.51999999999987</v>
      </c>
      <c r="O2061" s="132">
        <f t="shared" si="158"/>
        <v>28705.448773010896</v>
      </c>
      <c r="P2061" s="134">
        <f t="shared" si="159"/>
        <v>22381.205169150624</v>
      </c>
      <c r="Q2061" s="261">
        <v>1</v>
      </c>
      <c r="R2061" s="94"/>
    </row>
    <row r="2062" spans="1:18" x14ac:dyDescent="0.25">
      <c r="A2062" s="367">
        <v>41047</v>
      </c>
      <c r="B2062" s="367" t="s">
        <v>279</v>
      </c>
      <c r="C2062" s="279" t="s">
        <v>728</v>
      </c>
      <c r="D2062" s="159" t="s">
        <v>1149</v>
      </c>
      <c r="E2062" s="45">
        <f t="shared" si="160"/>
        <v>41047</v>
      </c>
      <c r="F2062" s="148" t="str">
        <f t="shared" si="157"/>
        <v>2011-12</v>
      </c>
      <c r="G2062" s="1"/>
      <c r="H2062" s="163"/>
      <c r="I2062" s="37"/>
      <c r="J2062" s="138">
        <f t="shared" si="161"/>
        <v>0.77968490742404351</v>
      </c>
      <c r="K2062" s="114"/>
      <c r="L2062" s="37">
        <v>27.493895904199999</v>
      </c>
      <c r="M2062" s="37" t="s">
        <v>142</v>
      </c>
      <c r="N2062" s="37">
        <v>916.51999999999987</v>
      </c>
      <c r="O2062" s="132">
        <f t="shared" si="158"/>
        <v>25198.705474117378</v>
      </c>
      <c r="P2062" s="134">
        <f t="shared" si="159"/>
        <v>19647.050344792948</v>
      </c>
      <c r="Q2062" s="261">
        <v>1</v>
      </c>
      <c r="R2062" s="94"/>
    </row>
    <row r="2063" spans="1:18" x14ac:dyDescent="0.25">
      <c r="A2063" s="367">
        <v>41047</v>
      </c>
      <c r="B2063" s="367" t="s">
        <v>279</v>
      </c>
      <c r="C2063" s="279" t="s">
        <v>728</v>
      </c>
      <c r="D2063" s="159" t="s">
        <v>1149</v>
      </c>
      <c r="E2063" s="45">
        <f t="shared" si="160"/>
        <v>41047</v>
      </c>
      <c r="F2063" s="148" t="str">
        <f t="shared" si="157"/>
        <v>2011-12</v>
      </c>
      <c r="G2063" s="1"/>
      <c r="H2063" s="163"/>
      <c r="I2063" s="37"/>
      <c r="J2063" s="138">
        <f t="shared" si="161"/>
        <v>0.77968490742404351</v>
      </c>
      <c r="K2063" s="114"/>
      <c r="L2063" s="37">
        <v>100.953166615</v>
      </c>
      <c r="M2063" s="37" t="s">
        <v>142</v>
      </c>
      <c r="N2063" s="37">
        <v>916.51999999999987</v>
      </c>
      <c r="O2063" s="132">
        <f t="shared" si="158"/>
        <v>92525.596265979781</v>
      </c>
      <c r="P2063" s="134">
        <f t="shared" si="159"/>
        <v>72140.810958994873</v>
      </c>
      <c r="Q2063" s="261">
        <v>1</v>
      </c>
      <c r="R2063" s="94"/>
    </row>
    <row r="2064" spans="1:18" x14ac:dyDescent="0.25">
      <c r="A2064" s="367">
        <v>41514</v>
      </c>
      <c r="B2064" s="367" t="s">
        <v>279</v>
      </c>
      <c r="C2064" s="279" t="s">
        <v>729</v>
      </c>
      <c r="D2064" s="159" t="s">
        <v>1193</v>
      </c>
      <c r="E2064" s="45">
        <f t="shared" si="160"/>
        <v>41514</v>
      </c>
      <c r="F2064" s="148" t="str">
        <f t="shared" si="157"/>
        <v>2013-14</v>
      </c>
      <c r="G2064" s="1"/>
      <c r="H2064" s="163"/>
      <c r="I2064" s="37"/>
      <c r="J2064" s="138">
        <f t="shared" si="161"/>
        <v>0.77968490742404351</v>
      </c>
      <c r="K2064" s="114"/>
      <c r="L2064" s="37">
        <v>102.47757347700001</v>
      </c>
      <c r="M2064" s="37" t="s">
        <v>142</v>
      </c>
      <c r="N2064" s="37">
        <v>2042.4585365853657</v>
      </c>
      <c r="O2064" s="132">
        <f t="shared" si="158"/>
        <v>209306.19475665272</v>
      </c>
      <c r="P2064" s="134">
        <f t="shared" si="159"/>
        <v>163192.88108211959</v>
      </c>
      <c r="Q2064" s="261">
        <v>1</v>
      </c>
      <c r="R2064" s="94"/>
    </row>
    <row r="2065" spans="1:18" x14ac:dyDescent="0.25">
      <c r="A2065" s="367">
        <v>41514</v>
      </c>
      <c r="B2065" s="367" t="s">
        <v>279</v>
      </c>
      <c r="C2065" s="279" t="s">
        <v>729</v>
      </c>
      <c r="D2065" s="159" t="s">
        <v>1149</v>
      </c>
      <c r="E2065" s="45">
        <f t="shared" si="160"/>
        <v>41514</v>
      </c>
      <c r="F2065" s="148" t="str">
        <f t="shared" si="157"/>
        <v>2013-14</v>
      </c>
      <c r="G2065" s="1"/>
      <c r="H2065" s="163"/>
      <c r="I2065" s="37"/>
      <c r="J2065" s="138">
        <f t="shared" si="161"/>
        <v>0.77968490742404351</v>
      </c>
      <c r="K2065" s="114"/>
      <c r="L2065" s="37">
        <v>13.250066947500001</v>
      </c>
      <c r="M2065" s="37" t="s">
        <v>142</v>
      </c>
      <c r="N2065" s="37">
        <v>2042.4585365853657</v>
      </c>
      <c r="O2065" s="132">
        <f t="shared" si="158"/>
        <v>27062.712347248973</v>
      </c>
      <c r="P2065" s="134">
        <f t="shared" si="159"/>
        <v>21100.388371108336</v>
      </c>
      <c r="Q2065" s="261">
        <v>1</v>
      </c>
      <c r="R2065" s="94"/>
    </row>
    <row r="2066" spans="1:18" x14ac:dyDescent="0.25">
      <c r="A2066" s="367">
        <v>41514</v>
      </c>
      <c r="B2066" s="367" t="s">
        <v>279</v>
      </c>
      <c r="C2066" s="279" t="s">
        <v>729</v>
      </c>
      <c r="D2066" s="159" t="s">
        <v>1149</v>
      </c>
      <c r="E2066" s="45">
        <f t="shared" si="160"/>
        <v>41514</v>
      </c>
      <c r="F2066" s="148" t="str">
        <f t="shared" ref="F2066:F2129" si="162">IF(E2066="","-",IF(OR(E2066&lt;$E$15,E2066&gt;$E$16),"ERROR - date outside of range",IF(MONTH(E2066)&gt;=7,YEAR(E2066)&amp;"-"&amp;IF(YEAR(E2066)=1999,"00",IF(AND(YEAR(E2066)&gt;=2000,YEAR(E2066)&lt;2009),"0","")&amp;RIGHT(YEAR(E2066),2)+1),RIGHT(YEAR(E2066),4)-1&amp;"-"&amp;RIGHT(YEAR(E2066),2))))</f>
        <v>2013-14</v>
      </c>
      <c r="G2066" s="1"/>
      <c r="H2066" s="163"/>
      <c r="I2066" s="37"/>
      <c r="J2066" s="138">
        <f t="shared" si="161"/>
        <v>0.77968490742404351</v>
      </c>
      <c r="K2066" s="114"/>
      <c r="L2066" s="37">
        <v>2.4511704911500001</v>
      </c>
      <c r="M2066" s="37" t="s">
        <v>142</v>
      </c>
      <c r="N2066" s="37">
        <v>2042.4636684878049</v>
      </c>
      <c r="O2066" s="132">
        <f t="shared" ref="O2066:O2129" si="163">IF(N2066="","-",L2066*N2066)</f>
        <v>5006.4266734432831</v>
      </c>
      <c r="P2066" s="134">
        <f t="shared" ref="P2066:P2129" si="164">IF(O2066="-","-",IF(OR(E2066&lt;$E$15,E2066&gt;$E$16),0,O2066*J2066))*Q2066</f>
        <v>3903.4353174088883</v>
      </c>
      <c r="Q2066" s="261">
        <v>1</v>
      </c>
      <c r="R2066" s="94"/>
    </row>
    <row r="2067" spans="1:18" x14ac:dyDescent="0.25">
      <c r="A2067" s="367">
        <v>41514</v>
      </c>
      <c r="B2067" s="367" t="s">
        <v>279</v>
      </c>
      <c r="C2067" s="279" t="s">
        <v>729</v>
      </c>
      <c r="D2067" s="159" t="s">
        <v>1149</v>
      </c>
      <c r="E2067" s="45">
        <f t="shared" si="160"/>
        <v>41514</v>
      </c>
      <c r="F2067" s="148" t="str">
        <f t="shared" si="162"/>
        <v>2013-14</v>
      </c>
      <c r="G2067" s="1"/>
      <c r="H2067" s="163"/>
      <c r="I2067" s="37"/>
      <c r="J2067" s="138">
        <f t="shared" si="161"/>
        <v>0.77968490742404351</v>
      </c>
      <c r="K2067" s="114"/>
      <c r="L2067" s="37">
        <v>13.003199911899999</v>
      </c>
      <c r="M2067" s="37" t="s">
        <v>142</v>
      </c>
      <c r="N2067" s="37">
        <v>2042.4636684878049</v>
      </c>
      <c r="O2067" s="132">
        <f t="shared" si="163"/>
        <v>26558.563394139575</v>
      </c>
      <c r="P2067" s="134">
        <f t="shared" si="164"/>
        <v>20707.311041275305</v>
      </c>
      <c r="Q2067" s="261">
        <v>1</v>
      </c>
      <c r="R2067" s="94"/>
    </row>
    <row r="2068" spans="1:18" x14ac:dyDescent="0.25">
      <c r="A2068" s="367">
        <v>41514</v>
      </c>
      <c r="B2068" s="367" t="s">
        <v>279</v>
      </c>
      <c r="C2068" s="279" t="s">
        <v>729</v>
      </c>
      <c r="D2068" s="159" t="s">
        <v>1149</v>
      </c>
      <c r="E2068" s="45">
        <f t="shared" si="160"/>
        <v>41514</v>
      </c>
      <c r="F2068" s="148" t="str">
        <f t="shared" si="162"/>
        <v>2013-14</v>
      </c>
      <c r="G2068" s="1"/>
      <c r="H2068" s="163"/>
      <c r="I2068" s="37"/>
      <c r="J2068" s="138">
        <f t="shared" si="161"/>
        <v>0.77968490742404351</v>
      </c>
      <c r="K2068" s="114"/>
      <c r="L2068" s="37">
        <v>3.02653764054</v>
      </c>
      <c r="M2068" s="37" t="s">
        <v>142</v>
      </c>
      <c r="N2068" s="37">
        <v>1422.8466506341463</v>
      </c>
      <c r="O2068" s="132">
        <f t="shared" si="163"/>
        <v>4306.2989448605103</v>
      </c>
      <c r="P2068" s="134">
        <f t="shared" si="164"/>
        <v>3357.5562941638232</v>
      </c>
      <c r="Q2068" s="261">
        <v>1</v>
      </c>
      <c r="R2068" s="94"/>
    </row>
    <row r="2069" spans="1:18" x14ac:dyDescent="0.25">
      <c r="A2069" s="367">
        <v>41514</v>
      </c>
      <c r="B2069" s="367" t="s">
        <v>279</v>
      </c>
      <c r="C2069" s="279" t="s">
        <v>729</v>
      </c>
      <c r="D2069" s="159" t="s">
        <v>1149</v>
      </c>
      <c r="E2069" s="45">
        <f t="shared" si="160"/>
        <v>41514</v>
      </c>
      <c r="F2069" s="148" t="str">
        <f t="shared" si="162"/>
        <v>2013-14</v>
      </c>
      <c r="G2069" s="1"/>
      <c r="H2069" s="163"/>
      <c r="I2069" s="37"/>
      <c r="J2069" s="138">
        <f t="shared" si="161"/>
        <v>0.77968490742404351</v>
      </c>
      <c r="K2069" s="114"/>
      <c r="L2069" s="37">
        <v>2.4993441139599999</v>
      </c>
      <c r="M2069" s="37" t="s">
        <v>142</v>
      </c>
      <c r="N2069" s="37">
        <v>1422.8466506341463</v>
      </c>
      <c r="O2069" s="132">
        <f t="shared" si="163"/>
        <v>3556.1834013301536</v>
      </c>
      <c r="P2069" s="134">
        <f t="shared" si="164"/>
        <v>2772.7025260490209</v>
      </c>
      <c r="Q2069" s="261">
        <v>1</v>
      </c>
      <c r="R2069" s="94"/>
    </row>
    <row r="2070" spans="1:18" x14ac:dyDescent="0.25">
      <c r="A2070" s="367">
        <v>41514</v>
      </c>
      <c r="B2070" s="367" t="s">
        <v>279</v>
      </c>
      <c r="C2070" s="279" t="s">
        <v>729</v>
      </c>
      <c r="D2070" s="159" t="s">
        <v>1193</v>
      </c>
      <c r="E2070" s="45">
        <f t="shared" si="160"/>
        <v>41514</v>
      </c>
      <c r="F2070" s="148" t="str">
        <f t="shared" si="162"/>
        <v>2013-14</v>
      </c>
      <c r="G2070" s="1"/>
      <c r="H2070" s="163"/>
      <c r="I2070" s="37"/>
      <c r="J2070" s="138">
        <f t="shared" si="161"/>
        <v>0.77968490742404351</v>
      </c>
      <c r="K2070" s="114"/>
      <c r="L2070" s="37">
        <v>17.562424780600001</v>
      </c>
      <c r="M2070" s="37" t="s">
        <v>142</v>
      </c>
      <c r="N2070" s="37">
        <v>1512.3320841951218</v>
      </c>
      <c r="O2070" s="132">
        <f t="shared" si="163"/>
        <v>26560.218471964854</v>
      </c>
      <c r="P2070" s="134">
        <f t="shared" si="164"/>
        <v>20708.601480476289</v>
      </c>
      <c r="Q2070" s="261">
        <v>1</v>
      </c>
      <c r="R2070" s="94"/>
    </row>
    <row r="2071" spans="1:18" x14ac:dyDescent="0.25">
      <c r="A2071" s="367">
        <v>41514</v>
      </c>
      <c r="B2071" s="367" t="s">
        <v>279</v>
      </c>
      <c r="C2071" s="279" t="s">
        <v>729</v>
      </c>
      <c r="D2071" s="159" t="s">
        <v>1193</v>
      </c>
      <c r="E2071" s="45">
        <f t="shared" ref="E2071:E2134" si="165">IF(A2071&lt;2022,DATEVALUE("30 Jun "&amp;A2071),A2071)</f>
        <v>41514</v>
      </c>
      <c r="F2071" s="148" t="str">
        <f t="shared" si="162"/>
        <v>2013-14</v>
      </c>
      <c r="G2071" s="1"/>
      <c r="H2071" s="163"/>
      <c r="I2071" s="37"/>
      <c r="J2071" s="138">
        <f t="shared" si="161"/>
        <v>0.77968490742404351</v>
      </c>
      <c r="K2071" s="114"/>
      <c r="L2071" s="37">
        <v>1.9998592450499999</v>
      </c>
      <c r="M2071" s="37" t="s">
        <v>142</v>
      </c>
      <c r="N2071" s="37">
        <v>1422.8466506341463</v>
      </c>
      <c r="O2071" s="132">
        <f t="shared" si="163"/>
        <v>2845.4930285591249</v>
      </c>
      <c r="P2071" s="134">
        <f t="shared" si="164"/>
        <v>2218.5879685478826</v>
      </c>
      <c r="Q2071" s="261">
        <v>1</v>
      </c>
      <c r="R2071" s="94"/>
    </row>
    <row r="2072" spans="1:18" x14ac:dyDescent="0.25">
      <c r="A2072" s="367">
        <v>41514</v>
      </c>
      <c r="B2072" s="367" t="s">
        <v>279</v>
      </c>
      <c r="C2072" s="279" t="s">
        <v>729</v>
      </c>
      <c r="D2072" s="159" t="s">
        <v>1193</v>
      </c>
      <c r="E2072" s="45">
        <f t="shared" si="165"/>
        <v>41514</v>
      </c>
      <c r="F2072" s="148" t="str">
        <f t="shared" si="162"/>
        <v>2013-14</v>
      </c>
      <c r="G2072" s="1"/>
      <c r="H2072" s="163"/>
      <c r="I2072" s="37"/>
      <c r="J2072" s="138">
        <f t="shared" ref="J2072:J2135" si="166">J2071</f>
        <v>0.77968490742404351</v>
      </c>
      <c r="K2072" s="114"/>
      <c r="L2072" s="37">
        <v>3.1484131003</v>
      </c>
      <c r="M2072" s="37" t="s">
        <v>142</v>
      </c>
      <c r="N2072" s="37">
        <v>1422.8466506341463</v>
      </c>
      <c r="O2072" s="132">
        <f t="shared" si="163"/>
        <v>4479.7090345745237</v>
      </c>
      <c r="P2072" s="134">
        <f t="shared" si="164"/>
        <v>3492.7615239088886</v>
      </c>
      <c r="Q2072" s="261">
        <v>1</v>
      </c>
      <c r="R2072" s="94"/>
    </row>
    <row r="2073" spans="1:18" x14ac:dyDescent="0.25">
      <c r="A2073" s="367">
        <v>40473</v>
      </c>
      <c r="B2073" s="367" t="s">
        <v>279</v>
      </c>
      <c r="C2073" s="279" t="s">
        <v>730</v>
      </c>
      <c r="D2073" s="159" t="s">
        <v>1194</v>
      </c>
      <c r="E2073" s="45">
        <f t="shared" si="165"/>
        <v>40473</v>
      </c>
      <c r="F2073" s="148" t="str">
        <f t="shared" si="162"/>
        <v>2010-11</v>
      </c>
      <c r="G2073" s="1"/>
      <c r="H2073" s="163"/>
      <c r="I2073" s="37"/>
      <c r="J2073" s="138">
        <f t="shared" si="166"/>
        <v>0.77968490742404351</v>
      </c>
      <c r="K2073" s="114"/>
      <c r="L2073" s="37">
        <v>104.36444949200001</v>
      </c>
      <c r="M2073" s="37" t="s">
        <v>142</v>
      </c>
      <c r="N2073" s="37">
        <v>1512.3336585365851</v>
      </c>
      <c r="O2073" s="132">
        <f t="shared" si="163"/>
        <v>157833.86972139301</v>
      </c>
      <c r="P2073" s="134">
        <f t="shared" si="164"/>
        <v>123060.68610210286</v>
      </c>
      <c r="Q2073" s="261">
        <v>1</v>
      </c>
      <c r="R2073" s="94"/>
    </row>
    <row r="2074" spans="1:18" x14ac:dyDescent="0.25">
      <c r="A2074" s="367">
        <v>40473</v>
      </c>
      <c r="B2074" s="367" t="s">
        <v>279</v>
      </c>
      <c r="C2074" s="279" t="s">
        <v>730</v>
      </c>
      <c r="D2074" s="159" t="s">
        <v>1194</v>
      </c>
      <c r="E2074" s="45">
        <f t="shared" si="165"/>
        <v>40473</v>
      </c>
      <c r="F2074" s="148" t="str">
        <f t="shared" si="162"/>
        <v>2010-11</v>
      </c>
      <c r="G2074" s="1"/>
      <c r="H2074" s="163"/>
      <c r="I2074" s="37"/>
      <c r="J2074" s="138">
        <f t="shared" si="166"/>
        <v>0.77968490742404351</v>
      </c>
      <c r="K2074" s="114"/>
      <c r="L2074" s="37">
        <v>5.49934978887</v>
      </c>
      <c r="M2074" s="37" t="s">
        <v>142</v>
      </c>
      <c r="N2074" s="37">
        <v>1422.8466506341463</v>
      </c>
      <c r="O2074" s="132">
        <f t="shared" si="163"/>
        <v>7824.7314277592786</v>
      </c>
      <c r="P2074" s="134">
        <f t="shared" si="164"/>
        <v>6100.8249988704965</v>
      </c>
      <c r="Q2074" s="261">
        <v>1</v>
      </c>
      <c r="R2074" s="94"/>
    </row>
    <row r="2075" spans="1:18" x14ac:dyDescent="0.25">
      <c r="A2075" s="367">
        <v>40473</v>
      </c>
      <c r="B2075" s="367" t="s">
        <v>279</v>
      </c>
      <c r="C2075" s="279" t="s">
        <v>730</v>
      </c>
      <c r="D2075" s="159" t="s">
        <v>1194</v>
      </c>
      <c r="E2075" s="45">
        <f t="shared" si="165"/>
        <v>40473</v>
      </c>
      <c r="F2075" s="148" t="str">
        <f t="shared" si="162"/>
        <v>2010-11</v>
      </c>
      <c r="G2075" s="1"/>
      <c r="H2075" s="163"/>
      <c r="I2075" s="37"/>
      <c r="J2075" s="138">
        <f t="shared" si="166"/>
        <v>0.77968490742404351</v>
      </c>
      <c r="K2075" s="114"/>
      <c r="L2075" s="37">
        <v>1.7002349837099999</v>
      </c>
      <c r="M2075" s="37" t="s">
        <v>142</v>
      </c>
      <c r="N2075" s="37">
        <v>2679.5507189268287</v>
      </c>
      <c r="O2075" s="132">
        <f t="shared" si="163"/>
        <v>4555.8658729446752</v>
      </c>
      <c r="P2075" s="134">
        <f t="shared" si="164"/>
        <v>3552.1398613832284</v>
      </c>
      <c r="Q2075" s="261">
        <v>1</v>
      </c>
      <c r="R2075" s="94"/>
    </row>
    <row r="2076" spans="1:18" x14ac:dyDescent="0.25">
      <c r="A2076" s="367">
        <v>42688</v>
      </c>
      <c r="B2076" s="367" t="s">
        <v>279</v>
      </c>
      <c r="C2076" s="279" t="s">
        <v>720</v>
      </c>
      <c r="D2076" s="159" t="s">
        <v>1186</v>
      </c>
      <c r="E2076" s="45">
        <f t="shared" si="165"/>
        <v>42688</v>
      </c>
      <c r="F2076" s="148" t="str">
        <f t="shared" si="162"/>
        <v>2016-17</v>
      </c>
      <c r="G2076" s="1"/>
      <c r="H2076" s="163"/>
      <c r="I2076" s="37"/>
      <c r="J2076" s="138">
        <f t="shared" si="166"/>
        <v>0.77968490742404351</v>
      </c>
      <c r="K2076" s="114"/>
      <c r="L2076" s="37">
        <v>361.41733172099998</v>
      </c>
      <c r="M2076" s="37" t="s">
        <v>142</v>
      </c>
      <c r="N2076" s="37">
        <v>1385.4167692682922</v>
      </c>
      <c r="O2076" s="132">
        <f t="shared" si="163"/>
        <v>500713.63207047444</v>
      </c>
      <c r="P2076" s="134">
        <f t="shared" si="164"/>
        <v>390398.86186682445</v>
      </c>
      <c r="Q2076" s="261">
        <v>1</v>
      </c>
      <c r="R2076" s="94"/>
    </row>
    <row r="2077" spans="1:18" x14ac:dyDescent="0.25">
      <c r="A2077" s="367">
        <v>40742</v>
      </c>
      <c r="B2077" s="367" t="s">
        <v>279</v>
      </c>
      <c r="C2077" s="279" t="s">
        <v>718</v>
      </c>
      <c r="D2077" s="159" t="s">
        <v>1186</v>
      </c>
      <c r="E2077" s="45">
        <f t="shared" si="165"/>
        <v>40742</v>
      </c>
      <c r="F2077" s="148" t="str">
        <f t="shared" si="162"/>
        <v>2011-12</v>
      </c>
      <c r="G2077" s="1"/>
      <c r="H2077" s="163"/>
      <c r="I2077" s="37"/>
      <c r="J2077" s="138">
        <f t="shared" si="166"/>
        <v>0.77968490742404351</v>
      </c>
      <c r="K2077" s="114"/>
      <c r="L2077" s="37">
        <v>70.805479653800006</v>
      </c>
      <c r="M2077" s="37" t="s">
        <v>142</v>
      </c>
      <c r="N2077" s="37">
        <v>2679.5507189268287</v>
      </c>
      <c r="O2077" s="132">
        <f t="shared" si="163"/>
        <v>189726.87391029875</v>
      </c>
      <c r="P2077" s="134">
        <f t="shared" si="164"/>
        <v>147927.18012060446</v>
      </c>
      <c r="Q2077" s="261">
        <v>1</v>
      </c>
      <c r="R2077" s="94"/>
    </row>
    <row r="2078" spans="1:18" x14ac:dyDescent="0.25">
      <c r="A2078" s="367">
        <v>40742</v>
      </c>
      <c r="B2078" s="367" t="s">
        <v>279</v>
      </c>
      <c r="C2078" s="279" t="s">
        <v>718</v>
      </c>
      <c r="D2078" s="159" t="s">
        <v>1186</v>
      </c>
      <c r="E2078" s="45">
        <f t="shared" si="165"/>
        <v>40742</v>
      </c>
      <c r="F2078" s="148" t="str">
        <f t="shared" si="162"/>
        <v>2011-12</v>
      </c>
      <c r="G2078" s="1"/>
      <c r="H2078" s="163"/>
      <c r="I2078" s="37"/>
      <c r="J2078" s="138">
        <f t="shared" si="166"/>
        <v>0.77968490742404351</v>
      </c>
      <c r="K2078" s="114"/>
      <c r="L2078" s="37">
        <v>34.019678988899997</v>
      </c>
      <c r="M2078" s="37" t="s">
        <v>142</v>
      </c>
      <c r="N2078" s="37">
        <v>2683.0915094634142</v>
      </c>
      <c r="O2078" s="132">
        <f t="shared" si="163"/>
        <v>91277.911849788492</v>
      </c>
      <c r="P2078" s="134">
        <f t="shared" si="164"/>
        <v>71168.01025046235</v>
      </c>
      <c r="Q2078" s="261">
        <v>1</v>
      </c>
      <c r="R2078" s="94"/>
    </row>
    <row r="2079" spans="1:18" x14ac:dyDescent="0.25">
      <c r="A2079" s="367">
        <v>42688</v>
      </c>
      <c r="B2079" s="367" t="s">
        <v>279</v>
      </c>
      <c r="C2079" s="279" t="s">
        <v>720</v>
      </c>
      <c r="D2079" s="159" t="s">
        <v>1186</v>
      </c>
      <c r="E2079" s="45">
        <f t="shared" si="165"/>
        <v>42688</v>
      </c>
      <c r="F2079" s="148" t="str">
        <f t="shared" si="162"/>
        <v>2016-17</v>
      </c>
      <c r="G2079" s="1"/>
      <c r="H2079" s="163"/>
      <c r="I2079" s="37"/>
      <c r="J2079" s="138">
        <f t="shared" si="166"/>
        <v>0.77968490742404351</v>
      </c>
      <c r="K2079" s="114"/>
      <c r="L2079" s="37">
        <v>93.670524542699994</v>
      </c>
      <c r="M2079" s="37" t="s">
        <v>142</v>
      </c>
      <c r="N2079" s="37">
        <v>936.5640883902438</v>
      </c>
      <c r="O2079" s="132">
        <f t="shared" si="163"/>
        <v>87728.449427369778</v>
      </c>
      <c r="P2079" s="134">
        <f t="shared" si="164"/>
        <v>68400.547970233689</v>
      </c>
      <c r="Q2079" s="261">
        <v>1</v>
      </c>
      <c r="R2079" s="94"/>
    </row>
    <row r="2080" spans="1:18" x14ac:dyDescent="0.25">
      <c r="A2080" s="367">
        <v>42688</v>
      </c>
      <c r="B2080" s="367" t="s">
        <v>279</v>
      </c>
      <c r="C2080" s="279" t="s">
        <v>720</v>
      </c>
      <c r="D2080" s="159" t="s">
        <v>1186</v>
      </c>
      <c r="E2080" s="45">
        <f t="shared" si="165"/>
        <v>42688</v>
      </c>
      <c r="F2080" s="148" t="str">
        <f t="shared" si="162"/>
        <v>2016-17</v>
      </c>
      <c r="G2080" s="1"/>
      <c r="H2080" s="163"/>
      <c r="I2080" s="37"/>
      <c r="J2080" s="138">
        <f t="shared" si="166"/>
        <v>0.77968490742404351</v>
      </c>
      <c r="K2080" s="114"/>
      <c r="L2080" s="37">
        <v>0.99953589230200002</v>
      </c>
      <c r="M2080" s="37" t="s">
        <v>142</v>
      </c>
      <c r="N2080" s="37">
        <v>1385.4167692682922</v>
      </c>
      <c r="O2080" s="132">
        <f t="shared" si="163"/>
        <v>1384.7737866807365</v>
      </c>
      <c r="P2080" s="134">
        <f t="shared" si="164"/>
        <v>1079.6872216714123</v>
      </c>
      <c r="Q2080" s="261">
        <v>1</v>
      </c>
      <c r="R2080" s="94"/>
    </row>
    <row r="2081" spans="1:18" x14ac:dyDescent="0.25">
      <c r="A2081" s="367">
        <v>42688</v>
      </c>
      <c r="B2081" s="367" t="s">
        <v>279</v>
      </c>
      <c r="C2081" s="279" t="s">
        <v>720</v>
      </c>
      <c r="D2081" s="159" t="s">
        <v>1186</v>
      </c>
      <c r="E2081" s="45">
        <f t="shared" si="165"/>
        <v>42688</v>
      </c>
      <c r="F2081" s="148" t="str">
        <f t="shared" si="162"/>
        <v>2016-17</v>
      </c>
      <c r="G2081" s="1"/>
      <c r="H2081" s="163"/>
      <c r="I2081" s="37"/>
      <c r="J2081" s="138">
        <f t="shared" si="166"/>
        <v>0.77968490742404351</v>
      </c>
      <c r="K2081" s="114"/>
      <c r="L2081" s="37">
        <v>2.1040173478400002</v>
      </c>
      <c r="M2081" s="37" t="s">
        <v>142</v>
      </c>
      <c r="N2081" s="37">
        <v>936.5640883902438</v>
      </c>
      <c r="O2081" s="132">
        <f t="shared" si="163"/>
        <v>1970.5470893370282</v>
      </c>
      <c r="P2081" s="134">
        <f t="shared" si="164"/>
        <v>1536.4058249244592</v>
      </c>
      <c r="Q2081" s="261">
        <v>1</v>
      </c>
      <c r="R2081" s="94"/>
    </row>
    <row r="2082" spans="1:18" x14ac:dyDescent="0.25">
      <c r="A2082" s="367">
        <v>42688</v>
      </c>
      <c r="B2082" s="367" t="s">
        <v>279</v>
      </c>
      <c r="C2082" s="279" t="s">
        <v>720</v>
      </c>
      <c r="D2082" s="159" t="s">
        <v>1186</v>
      </c>
      <c r="E2082" s="45">
        <f t="shared" si="165"/>
        <v>42688</v>
      </c>
      <c r="F2082" s="148" t="str">
        <f t="shared" si="162"/>
        <v>2016-17</v>
      </c>
      <c r="G2082" s="1"/>
      <c r="H2082" s="163"/>
      <c r="I2082" s="37"/>
      <c r="J2082" s="138">
        <f t="shared" si="166"/>
        <v>0.77968490742404351</v>
      </c>
      <c r="K2082" s="114"/>
      <c r="L2082" s="37">
        <v>2.7995544288300001</v>
      </c>
      <c r="M2082" s="37" t="s">
        <v>142</v>
      </c>
      <c r="N2082" s="37">
        <v>936.5640883902438</v>
      </c>
      <c r="O2082" s="132">
        <f t="shared" si="163"/>
        <v>2621.9621415360389</v>
      </c>
      <c r="P2082" s="134">
        <f t="shared" si="164"/>
        <v>2044.3043095928733</v>
      </c>
      <c r="Q2082" s="261">
        <v>1</v>
      </c>
      <c r="R2082" s="94"/>
    </row>
    <row r="2083" spans="1:18" x14ac:dyDescent="0.25">
      <c r="A2083" s="367">
        <v>39458</v>
      </c>
      <c r="B2083" s="367" t="s">
        <v>279</v>
      </c>
      <c r="C2083" s="279" t="s">
        <v>731</v>
      </c>
      <c r="D2083" s="159" t="s">
        <v>1195</v>
      </c>
      <c r="E2083" s="45">
        <f t="shared" si="165"/>
        <v>39458</v>
      </c>
      <c r="F2083" s="148" t="str">
        <f t="shared" si="162"/>
        <v>2007-08</v>
      </c>
      <c r="G2083" s="1"/>
      <c r="H2083" s="163"/>
      <c r="I2083" s="37"/>
      <c r="J2083" s="138">
        <f t="shared" si="166"/>
        <v>0.77968490742404351</v>
      </c>
      <c r="K2083" s="114"/>
      <c r="L2083" s="37">
        <v>27.918221928800001</v>
      </c>
      <c r="M2083" s="37" t="s">
        <v>142</v>
      </c>
      <c r="N2083" s="37">
        <v>696.6467060487804</v>
      </c>
      <c r="O2083" s="132">
        <f t="shared" si="163"/>
        <v>19449.13734543735</v>
      </c>
      <c r="P2083" s="134">
        <f t="shared" si="164"/>
        <v>15164.198850654828</v>
      </c>
      <c r="Q2083" s="261">
        <v>1</v>
      </c>
      <c r="R2083" s="94"/>
    </row>
    <row r="2084" spans="1:18" x14ac:dyDescent="0.25">
      <c r="A2084" s="367">
        <v>39458</v>
      </c>
      <c r="B2084" s="367" t="s">
        <v>279</v>
      </c>
      <c r="C2084" s="279" t="s">
        <v>731</v>
      </c>
      <c r="D2084" s="159" t="s">
        <v>1195</v>
      </c>
      <c r="E2084" s="45">
        <f t="shared" si="165"/>
        <v>39458</v>
      </c>
      <c r="F2084" s="148" t="str">
        <f t="shared" si="162"/>
        <v>2007-08</v>
      </c>
      <c r="G2084" s="1"/>
      <c r="H2084" s="163"/>
      <c r="I2084" s="37"/>
      <c r="J2084" s="138">
        <f t="shared" si="166"/>
        <v>0.77968490742404351</v>
      </c>
      <c r="K2084" s="114"/>
      <c r="L2084" s="37">
        <v>2.9995853046700001</v>
      </c>
      <c r="M2084" s="37" t="s">
        <v>142</v>
      </c>
      <c r="N2084" s="37">
        <v>771.6404230243902</v>
      </c>
      <c r="O2084" s="132">
        <f t="shared" si="163"/>
        <v>2314.601273393303</v>
      </c>
      <c r="P2084" s="134">
        <f t="shared" si="164"/>
        <v>1804.6596795692308</v>
      </c>
      <c r="Q2084" s="261">
        <v>1</v>
      </c>
      <c r="R2084" s="94"/>
    </row>
    <row r="2085" spans="1:18" x14ac:dyDescent="0.25">
      <c r="A2085" s="367">
        <v>39458</v>
      </c>
      <c r="B2085" s="367" t="s">
        <v>279</v>
      </c>
      <c r="C2085" s="279" t="s">
        <v>731</v>
      </c>
      <c r="D2085" s="159" t="s">
        <v>1195</v>
      </c>
      <c r="E2085" s="45">
        <f t="shared" si="165"/>
        <v>39458</v>
      </c>
      <c r="F2085" s="148" t="str">
        <f t="shared" si="162"/>
        <v>2007-08</v>
      </c>
      <c r="G2085" s="1"/>
      <c r="H2085" s="163"/>
      <c r="I2085" s="37"/>
      <c r="J2085" s="138">
        <f t="shared" si="166"/>
        <v>0.77968490742404351</v>
      </c>
      <c r="K2085" s="114"/>
      <c r="L2085" s="37">
        <v>2.99958575965</v>
      </c>
      <c r="M2085" s="37" t="s">
        <v>142</v>
      </c>
      <c r="N2085" s="37">
        <v>771.6404230243902</v>
      </c>
      <c r="O2085" s="132">
        <f t="shared" si="163"/>
        <v>2314.6016244742627</v>
      </c>
      <c r="P2085" s="134">
        <f t="shared" si="164"/>
        <v>1804.6599533017563</v>
      </c>
      <c r="Q2085" s="261">
        <v>1</v>
      </c>
      <c r="R2085" s="94"/>
    </row>
    <row r="2086" spans="1:18" x14ac:dyDescent="0.25">
      <c r="A2086" s="367">
        <v>39458</v>
      </c>
      <c r="B2086" s="367" t="s">
        <v>279</v>
      </c>
      <c r="C2086" s="279" t="s">
        <v>731</v>
      </c>
      <c r="D2086" s="159" t="s">
        <v>1195</v>
      </c>
      <c r="E2086" s="45">
        <f t="shared" si="165"/>
        <v>39458</v>
      </c>
      <c r="F2086" s="148" t="str">
        <f t="shared" si="162"/>
        <v>2007-08</v>
      </c>
      <c r="G2086" s="1"/>
      <c r="H2086" s="163"/>
      <c r="I2086" s="37"/>
      <c r="J2086" s="138">
        <f t="shared" si="166"/>
        <v>0.77968490742404351</v>
      </c>
      <c r="K2086" s="114"/>
      <c r="L2086" s="37">
        <v>1.9995619520300001</v>
      </c>
      <c r="M2086" s="37" t="s">
        <v>142</v>
      </c>
      <c r="N2086" s="37">
        <v>696.6467060487804</v>
      </c>
      <c r="O2086" s="132">
        <f t="shared" si="163"/>
        <v>1392.988247422169</v>
      </c>
      <c r="P2086" s="134">
        <f t="shared" si="164"/>
        <v>1086.0919127341344</v>
      </c>
      <c r="Q2086" s="261">
        <v>1</v>
      </c>
      <c r="R2086" s="94"/>
    </row>
    <row r="2087" spans="1:18" x14ac:dyDescent="0.25">
      <c r="A2087" s="367">
        <v>39458</v>
      </c>
      <c r="B2087" s="367" t="s">
        <v>279</v>
      </c>
      <c r="C2087" s="279" t="s">
        <v>731</v>
      </c>
      <c r="D2087" s="159" t="s">
        <v>1195</v>
      </c>
      <c r="E2087" s="45">
        <f t="shared" si="165"/>
        <v>39458</v>
      </c>
      <c r="F2087" s="148" t="str">
        <f t="shared" si="162"/>
        <v>2007-08</v>
      </c>
      <c r="G2087" s="1"/>
      <c r="H2087" s="163"/>
      <c r="I2087" s="37"/>
      <c r="J2087" s="138">
        <f t="shared" si="166"/>
        <v>0.77968490742404351</v>
      </c>
      <c r="K2087" s="114"/>
      <c r="L2087" s="37">
        <v>3.97616302037</v>
      </c>
      <c r="M2087" s="37" t="s">
        <v>142</v>
      </c>
      <c r="N2087" s="37">
        <v>696.6467060487804</v>
      </c>
      <c r="O2087" s="132">
        <f t="shared" si="163"/>
        <v>2769.9808708537303</v>
      </c>
      <c r="P2087" s="134">
        <f t="shared" si="164"/>
        <v>2159.7122788579622</v>
      </c>
      <c r="Q2087" s="261">
        <v>1</v>
      </c>
      <c r="R2087" s="94"/>
    </row>
    <row r="2088" spans="1:18" x14ac:dyDescent="0.25">
      <c r="A2088" s="367">
        <v>40742</v>
      </c>
      <c r="B2088" s="367" t="s">
        <v>279</v>
      </c>
      <c r="C2088" s="279" t="s">
        <v>718</v>
      </c>
      <c r="D2088" s="159" t="s">
        <v>1196</v>
      </c>
      <c r="E2088" s="45">
        <f t="shared" si="165"/>
        <v>40742</v>
      </c>
      <c r="F2088" s="148" t="str">
        <f t="shared" si="162"/>
        <v>2011-12</v>
      </c>
      <c r="G2088" s="1"/>
      <c r="H2088" s="163"/>
      <c r="I2088" s="37"/>
      <c r="J2088" s="138">
        <f t="shared" si="166"/>
        <v>0.77968490742404351</v>
      </c>
      <c r="K2088" s="114"/>
      <c r="L2088" s="37">
        <v>219.08385337499999</v>
      </c>
      <c r="M2088" s="37" t="s">
        <v>142</v>
      </c>
      <c r="N2088" s="37">
        <v>2679.5507189268287</v>
      </c>
      <c r="O2088" s="132">
        <f t="shared" si="163"/>
        <v>587046.29681624111</v>
      </c>
      <c r="P2088" s="134">
        <f t="shared" si="164"/>
        <v>457711.13758679852</v>
      </c>
      <c r="Q2088" s="261">
        <v>1</v>
      </c>
      <c r="R2088" s="94"/>
    </row>
    <row r="2089" spans="1:18" x14ac:dyDescent="0.25">
      <c r="A2089" s="367">
        <v>40742</v>
      </c>
      <c r="B2089" s="367" t="s">
        <v>279</v>
      </c>
      <c r="C2089" s="279" t="s">
        <v>718</v>
      </c>
      <c r="D2089" s="159" t="s">
        <v>1197</v>
      </c>
      <c r="E2089" s="45">
        <f t="shared" si="165"/>
        <v>40742</v>
      </c>
      <c r="F2089" s="148" t="str">
        <f t="shared" si="162"/>
        <v>2011-12</v>
      </c>
      <c r="G2089" s="1"/>
      <c r="H2089" s="163"/>
      <c r="I2089" s="37"/>
      <c r="J2089" s="138">
        <f t="shared" si="166"/>
        <v>0.77968490742404351</v>
      </c>
      <c r="K2089" s="114"/>
      <c r="L2089" s="37">
        <v>283.984290241</v>
      </c>
      <c r="M2089" s="37" t="s">
        <v>142</v>
      </c>
      <c r="N2089" s="37">
        <v>2679.5507189268287</v>
      </c>
      <c r="O2089" s="132">
        <f t="shared" si="163"/>
        <v>760950.30907919677</v>
      </c>
      <c r="P2089" s="134">
        <f t="shared" si="164"/>
        <v>593301.47128871083</v>
      </c>
      <c r="Q2089" s="261">
        <v>1</v>
      </c>
      <c r="R2089" s="94"/>
    </row>
    <row r="2090" spans="1:18" x14ac:dyDescent="0.25">
      <c r="A2090" s="367">
        <v>40742</v>
      </c>
      <c r="B2090" s="367" t="s">
        <v>279</v>
      </c>
      <c r="C2090" s="279" t="s">
        <v>718</v>
      </c>
      <c r="D2090" s="159" t="s">
        <v>1196</v>
      </c>
      <c r="E2090" s="45">
        <f t="shared" si="165"/>
        <v>40742</v>
      </c>
      <c r="F2090" s="148" t="str">
        <f t="shared" si="162"/>
        <v>2011-12</v>
      </c>
      <c r="G2090" s="1"/>
      <c r="H2090" s="163"/>
      <c r="I2090" s="37"/>
      <c r="J2090" s="138">
        <f t="shared" si="166"/>
        <v>0.77968490742404351</v>
      </c>
      <c r="K2090" s="114"/>
      <c r="L2090" s="37">
        <v>38.170941526199996</v>
      </c>
      <c r="M2090" s="37" t="s">
        <v>142</v>
      </c>
      <c r="N2090" s="37">
        <v>2683.0915094634142</v>
      </c>
      <c r="O2090" s="132">
        <f t="shared" si="163"/>
        <v>102416.12911717167</v>
      </c>
      <c r="P2090" s="134">
        <f t="shared" si="164"/>
        <v>79852.310149450888</v>
      </c>
      <c r="Q2090" s="261">
        <v>1</v>
      </c>
      <c r="R2090" s="94"/>
    </row>
    <row r="2091" spans="1:18" x14ac:dyDescent="0.25">
      <c r="A2091" s="367">
        <v>40742</v>
      </c>
      <c r="B2091" s="367" t="s">
        <v>279</v>
      </c>
      <c r="C2091" s="279" t="s">
        <v>718</v>
      </c>
      <c r="D2091" s="159" t="s">
        <v>1196</v>
      </c>
      <c r="E2091" s="45">
        <f t="shared" si="165"/>
        <v>40742</v>
      </c>
      <c r="F2091" s="148" t="str">
        <f t="shared" si="162"/>
        <v>2011-12</v>
      </c>
      <c r="G2091" s="1"/>
      <c r="H2091" s="163"/>
      <c r="I2091" s="37"/>
      <c r="J2091" s="138">
        <f t="shared" si="166"/>
        <v>0.77968490742404351</v>
      </c>
      <c r="K2091" s="114"/>
      <c r="L2091" s="37">
        <v>27.248816231199999</v>
      </c>
      <c r="M2091" s="37" t="s">
        <v>142</v>
      </c>
      <c r="N2091" s="37">
        <v>2679.5507189268287</v>
      </c>
      <c r="O2091" s="132">
        <f t="shared" si="163"/>
        <v>73014.585122217002</v>
      </c>
      <c r="P2091" s="134">
        <f t="shared" si="164"/>
        <v>56928.370041620707</v>
      </c>
      <c r="Q2091" s="261">
        <v>1</v>
      </c>
      <c r="R2091" s="94"/>
    </row>
    <row r="2092" spans="1:18" x14ac:dyDescent="0.25">
      <c r="A2092" s="367">
        <v>40742</v>
      </c>
      <c r="B2092" s="367" t="s">
        <v>279</v>
      </c>
      <c r="C2092" s="279" t="s">
        <v>718</v>
      </c>
      <c r="D2092" s="159" t="s">
        <v>1196</v>
      </c>
      <c r="E2092" s="45">
        <f t="shared" si="165"/>
        <v>40742</v>
      </c>
      <c r="F2092" s="148" t="str">
        <f t="shared" si="162"/>
        <v>2011-12</v>
      </c>
      <c r="G2092" s="1"/>
      <c r="H2092" s="163"/>
      <c r="I2092" s="37"/>
      <c r="J2092" s="138">
        <f t="shared" si="166"/>
        <v>0.77968490742404351</v>
      </c>
      <c r="K2092" s="114"/>
      <c r="L2092" s="37">
        <v>24.591540822700001</v>
      </c>
      <c r="M2092" s="37" t="s">
        <v>142</v>
      </c>
      <c r="N2092" s="37">
        <v>2683.0915094634142</v>
      </c>
      <c r="O2092" s="132">
        <f t="shared" si="163"/>
        <v>65981.35438600932</v>
      </c>
      <c r="P2092" s="134">
        <f t="shared" si="164"/>
        <v>51444.666186168681</v>
      </c>
      <c r="Q2092" s="261">
        <v>1</v>
      </c>
      <c r="R2092" s="94"/>
    </row>
    <row r="2093" spans="1:18" x14ac:dyDescent="0.25">
      <c r="A2093" s="367">
        <v>40742</v>
      </c>
      <c r="B2093" s="367" t="s">
        <v>279</v>
      </c>
      <c r="C2093" s="279" t="s">
        <v>718</v>
      </c>
      <c r="D2093" s="159" t="s">
        <v>1186</v>
      </c>
      <c r="E2093" s="45">
        <f t="shared" si="165"/>
        <v>40742</v>
      </c>
      <c r="F2093" s="148" t="str">
        <f t="shared" si="162"/>
        <v>2011-12</v>
      </c>
      <c r="G2093" s="1"/>
      <c r="H2093" s="163"/>
      <c r="I2093" s="37"/>
      <c r="J2093" s="138">
        <f t="shared" si="166"/>
        <v>0.77968490742404351</v>
      </c>
      <c r="K2093" s="114"/>
      <c r="L2093" s="37">
        <v>299.89100086899998</v>
      </c>
      <c r="M2093" s="37" t="s">
        <v>142</v>
      </c>
      <c r="N2093" s="37">
        <v>2679.5507189268287</v>
      </c>
      <c r="O2093" s="132">
        <f t="shared" si="163"/>
        <v>803573.14697821508</v>
      </c>
      <c r="P2093" s="134">
        <f t="shared" si="164"/>
        <v>626533.85471015691</v>
      </c>
      <c r="Q2093" s="261">
        <v>1</v>
      </c>
      <c r="R2093" s="94"/>
    </row>
    <row r="2094" spans="1:18" x14ac:dyDescent="0.25">
      <c r="A2094" s="367">
        <v>40055</v>
      </c>
      <c r="B2094" s="367" t="s">
        <v>279</v>
      </c>
      <c r="C2094" s="279" t="s">
        <v>732</v>
      </c>
      <c r="D2094" s="159" t="s">
        <v>1197</v>
      </c>
      <c r="E2094" s="45">
        <f t="shared" si="165"/>
        <v>40055</v>
      </c>
      <c r="F2094" s="148" t="str">
        <f t="shared" si="162"/>
        <v>2009-10</v>
      </c>
      <c r="G2094" s="1"/>
      <c r="H2094" s="163"/>
      <c r="I2094" s="37"/>
      <c r="J2094" s="138">
        <f t="shared" si="166"/>
        <v>0.77968490742404351</v>
      </c>
      <c r="K2094" s="114"/>
      <c r="L2094" s="37">
        <v>27.517281049600001</v>
      </c>
      <c r="M2094" s="37" t="s">
        <v>142</v>
      </c>
      <c r="N2094" s="37">
        <v>3100.7755036097556</v>
      </c>
      <c r="O2094" s="132">
        <f t="shared" si="163"/>
        <v>85324.911004544629</v>
      </c>
      <c r="P2094" s="134">
        <f t="shared" si="164"/>
        <v>66526.545337543124</v>
      </c>
      <c r="Q2094" s="261">
        <v>1</v>
      </c>
      <c r="R2094" s="94"/>
    </row>
    <row r="2095" spans="1:18" x14ac:dyDescent="0.25">
      <c r="A2095" s="367">
        <v>40055</v>
      </c>
      <c r="B2095" s="367" t="s">
        <v>279</v>
      </c>
      <c r="C2095" s="279" t="s">
        <v>732</v>
      </c>
      <c r="D2095" s="159" t="s">
        <v>1197</v>
      </c>
      <c r="E2095" s="45">
        <f t="shared" si="165"/>
        <v>40055</v>
      </c>
      <c r="F2095" s="148" t="str">
        <f t="shared" si="162"/>
        <v>2009-10</v>
      </c>
      <c r="G2095" s="1"/>
      <c r="H2095" s="163"/>
      <c r="I2095" s="37"/>
      <c r="J2095" s="138">
        <f t="shared" si="166"/>
        <v>0.77968490742404351</v>
      </c>
      <c r="K2095" s="114"/>
      <c r="L2095" s="37">
        <v>67.737719977500007</v>
      </c>
      <c r="M2095" s="37" t="s">
        <v>142</v>
      </c>
      <c r="N2095" s="37">
        <v>3100.7755036097556</v>
      </c>
      <c r="O2095" s="132">
        <f t="shared" si="163"/>
        <v>210039.46277660917</v>
      </c>
      <c r="P2095" s="134">
        <f t="shared" si="164"/>
        <v>163764.59909037634</v>
      </c>
      <c r="Q2095" s="261">
        <v>1</v>
      </c>
      <c r="R2095" s="94"/>
    </row>
    <row r="2096" spans="1:18" x14ac:dyDescent="0.25">
      <c r="A2096" s="367">
        <v>40742</v>
      </c>
      <c r="B2096" s="367" t="s">
        <v>279</v>
      </c>
      <c r="C2096" s="279" t="s">
        <v>718</v>
      </c>
      <c r="D2096" s="159" t="s">
        <v>1197</v>
      </c>
      <c r="E2096" s="45">
        <f t="shared" si="165"/>
        <v>40742</v>
      </c>
      <c r="F2096" s="148" t="str">
        <f t="shared" si="162"/>
        <v>2011-12</v>
      </c>
      <c r="G2096" s="1"/>
      <c r="H2096" s="163"/>
      <c r="I2096" s="37"/>
      <c r="J2096" s="138">
        <f t="shared" si="166"/>
        <v>0.77968490742404351</v>
      </c>
      <c r="K2096" s="114"/>
      <c r="L2096" s="37">
        <v>19.017168059399999</v>
      </c>
      <c r="M2096" s="37" t="s">
        <v>142</v>
      </c>
      <c r="N2096" s="37">
        <v>2683.0915094634142</v>
      </c>
      <c r="O2096" s="132">
        <f t="shared" si="163"/>
        <v>51024.802154214973</v>
      </c>
      <c r="P2096" s="134">
        <f t="shared" si="164"/>
        <v>39783.26814393924</v>
      </c>
      <c r="Q2096" s="261">
        <v>1</v>
      </c>
      <c r="R2096" s="94"/>
    </row>
    <row r="2097" spans="1:18" x14ac:dyDescent="0.25">
      <c r="A2097" s="367">
        <v>40742</v>
      </c>
      <c r="B2097" s="367" t="s">
        <v>279</v>
      </c>
      <c r="C2097" s="279" t="s">
        <v>718</v>
      </c>
      <c r="D2097" s="159" t="s">
        <v>1197</v>
      </c>
      <c r="E2097" s="45">
        <f t="shared" si="165"/>
        <v>40742</v>
      </c>
      <c r="F2097" s="148" t="str">
        <f t="shared" si="162"/>
        <v>2011-12</v>
      </c>
      <c r="G2097" s="1"/>
      <c r="H2097" s="163"/>
      <c r="I2097" s="37"/>
      <c r="J2097" s="138">
        <f t="shared" si="166"/>
        <v>0.77968490742404351</v>
      </c>
      <c r="K2097" s="114"/>
      <c r="L2097" s="37">
        <v>12.147363499200001</v>
      </c>
      <c r="M2097" s="37" t="s">
        <v>142</v>
      </c>
      <c r="N2097" s="37">
        <v>2683.0915094634142</v>
      </c>
      <c r="O2097" s="132">
        <f t="shared" si="163"/>
        <v>32592.487867069311</v>
      </c>
      <c r="P2097" s="134">
        <f t="shared" si="164"/>
        <v>25411.870885355198</v>
      </c>
      <c r="Q2097" s="261">
        <v>1</v>
      </c>
      <c r="R2097" s="94"/>
    </row>
    <row r="2098" spans="1:18" x14ac:dyDescent="0.25">
      <c r="A2098" s="367">
        <v>40055</v>
      </c>
      <c r="B2098" s="367" t="s">
        <v>279</v>
      </c>
      <c r="C2098" s="279" t="s">
        <v>732</v>
      </c>
      <c r="D2098" s="159" t="s">
        <v>1197</v>
      </c>
      <c r="E2098" s="45">
        <f t="shared" si="165"/>
        <v>40055</v>
      </c>
      <c r="F2098" s="148" t="str">
        <f t="shared" si="162"/>
        <v>2009-10</v>
      </c>
      <c r="G2098" s="1"/>
      <c r="H2098" s="163"/>
      <c r="I2098" s="37"/>
      <c r="J2098" s="138">
        <f t="shared" si="166"/>
        <v>0.77968490742404351</v>
      </c>
      <c r="K2098" s="114"/>
      <c r="L2098" s="37">
        <v>8.4421383565700001</v>
      </c>
      <c r="M2098" s="37" t="s">
        <v>142</v>
      </c>
      <c r="N2098" s="37">
        <v>2683.0915094634142</v>
      </c>
      <c r="O2098" s="132">
        <f t="shared" si="163"/>
        <v>22651.029746228389</v>
      </c>
      <c r="P2098" s="134">
        <f t="shared" si="164"/>
        <v>17660.666030747336</v>
      </c>
      <c r="Q2098" s="261">
        <v>1</v>
      </c>
      <c r="R2098" s="94"/>
    </row>
    <row r="2099" spans="1:18" x14ac:dyDescent="0.25">
      <c r="A2099" s="367">
        <v>40055</v>
      </c>
      <c r="B2099" s="367" t="s">
        <v>279</v>
      </c>
      <c r="C2099" s="279" t="s">
        <v>732</v>
      </c>
      <c r="D2099" s="159" t="s">
        <v>1197</v>
      </c>
      <c r="E2099" s="45">
        <f t="shared" si="165"/>
        <v>40055</v>
      </c>
      <c r="F2099" s="148" t="str">
        <f t="shared" si="162"/>
        <v>2009-10</v>
      </c>
      <c r="G2099" s="1"/>
      <c r="H2099" s="163"/>
      <c r="I2099" s="37"/>
      <c r="J2099" s="138">
        <f t="shared" si="166"/>
        <v>0.77968490742404351</v>
      </c>
      <c r="K2099" s="114"/>
      <c r="L2099" s="37">
        <v>5.9001869295300002</v>
      </c>
      <c r="M2099" s="37" t="s">
        <v>142</v>
      </c>
      <c r="N2099" s="37">
        <v>3100.7755036097556</v>
      </c>
      <c r="O2099" s="132">
        <f t="shared" si="163"/>
        <v>18295.155097805084</v>
      </c>
      <c r="P2099" s="134">
        <f t="shared" si="164"/>
        <v>14264.456308740675</v>
      </c>
      <c r="Q2099" s="261">
        <v>1</v>
      </c>
      <c r="R2099" s="94"/>
    </row>
    <row r="2100" spans="1:18" x14ac:dyDescent="0.25">
      <c r="A2100" s="367">
        <v>40055</v>
      </c>
      <c r="B2100" s="367" t="s">
        <v>279</v>
      </c>
      <c r="C2100" s="279" t="s">
        <v>732</v>
      </c>
      <c r="D2100" s="159" t="s">
        <v>1197</v>
      </c>
      <c r="E2100" s="45">
        <f t="shared" si="165"/>
        <v>40055</v>
      </c>
      <c r="F2100" s="148" t="str">
        <f t="shared" si="162"/>
        <v>2009-10</v>
      </c>
      <c r="G2100" s="1"/>
      <c r="H2100" s="163"/>
      <c r="I2100" s="37"/>
      <c r="J2100" s="138">
        <f t="shared" si="166"/>
        <v>0.77968490742404351</v>
      </c>
      <c r="K2100" s="114"/>
      <c r="L2100" s="37">
        <v>6.2218849577800004</v>
      </c>
      <c r="M2100" s="37" t="s">
        <v>142</v>
      </c>
      <c r="N2100" s="37">
        <v>3100.7755036097556</v>
      </c>
      <c r="O2100" s="132">
        <f t="shared" si="163"/>
        <v>19292.668463362243</v>
      </c>
      <c r="P2100" s="134">
        <f t="shared" si="164"/>
        <v>15042.202424819354</v>
      </c>
      <c r="Q2100" s="261">
        <v>1</v>
      </c>
      <c r="R2100" s="94"/>
    </row>
    <row r="2101" spans="1:18" x14ac:dyDescent="0.25">
      <c r="A2101" s="367">
        <v>40055</v>
      </c>
      <c r="B2101" s="367" t="s">
        <v>279</v>
      </c>
      <c r="C2101" s="279" t="s">
        <v>732</v>
      </c>
      <c r="D2101" s="159" t="s">
        <v>1197</v>
      </c>
      <c r="E2101" s="45">
        <f t="shared" si="165"/>
        <v>40055</v>
      </c>
      <c r="F2101" s="148" t="str">
        <f t="shared" si="162"/>
        <v>2009-10</v>
      </c>
      <c r="G2101" s="1"/>
      <c r="H2101" s="163"/>
      <c r="I2101" s="37"/>
      <c r="J2101" s="138">
        <f t="shared" si="166"/>
        <v>0.77968490742404351</v>
      </c>
      <c r="K2101" s="114"/>
      <c r="L2101" s="37">
        <v>3.1996232789199999</v>
      </c>
      <c r="M2101" s="37" t="s">
        <v>142</v>
      </c>
      <c r="N2101" s="37">
        <v>2683.0915094634142</v>
      </c>
      <c r="O2101" s="132">
        <f t="shared" si="163"/>
        <v>8584.8820531517413</v>
      </c>
      <c r="P2101" s="134">
        <f t="shared" si="164"/>
        <v>6693.502968857948</v>
      </c>
      <c r="Q2101" s="261">
        <v>1</v>
      </c>
      <c r="R2101" s="94"/>
    </row>
    <row r="2102" spans="1:18" x14ac:dyDescent="0.25">
      <c r="A2102" s="367">
        <v>40055</v>
      </c>
      <c r="B2102" s="367" t="s">
        <v>279</v>
      </c>
      <c r="C2102" s="279" t="s">
        <v>732</v>
      </c>
      <c r="D2102" s="159" t="s">
        <v>1197</v>
      </c>
      <c r="E2102" s="45">
        <f t="shared" si="165"/>
        <v>40055</v>
      </c>
      <c r="F2102" s="148" t="str">
        <f t="shared" si="162"/>
        <v>2009-10</v>
      </c>
      <c r="G2102" s="1"/>
      <c r="H2102" s="163"/>
      <c r="I2102" s="37"/>
      <c r="J2102" s="138">
        <f t="shared" si="166"/>
        <v>0.77968490742404351</v>
      </c>
      <c r="K2102" s="114"/>
      <c r="L2102" s="37">
        <v>3.1997253196200002</v>
      </c>
      <c r="M2102" s="37" t="s">
        <v>142</v>
      </c>
      <c r="N2102" s="37">
        <v>2683.0915094634142</v>
      </c>
      <c r="O2102" s="132">
        <f t="shared" si="163"/>
        <v>8585.1558376875309</v>
      </c>
      <c r="P2102" s="134">
        <f t="shared" si="164"/>
        <v>6693.7164345283891</v>
      </c>
      <c r="Q2102" s="261">
        <v>1</v>
      </c>
      <c r="R2102" s="94"/>
    </row>
    <row r="2103" spans="1:18" x14ac:dyDescent="0.25">
      <c r="A2103" s="367">
        <v>40055</v>
      </c>
      <c r="B2103" s="367" t="s">
        <v>279</v>
      </c>
      <c r="C2103" s="279" t="s">
        <v>732</v>
      </c>
      <c r="D2103" s="159" t="s">
        <v>1197</v>
      </c>
      <c r="E2103" s="45">
        <f t="shared" si="165"/>
        <v>40055</v>
      </c>
      <c r="F2103" s="148" t="str">
        <f t="shared" si="162"/>
        <v>2009-10</v>
      </c>
      <c r="G2103" s="1"/>
      <c r="H2103" s="163"/>
      <c r="I2103" s="37"/>
      <c r="J2103" s="138">
        <f t="shared" si="166"/>
        <v>0.77968490742404351</v>
      </c>
      <c r="K2103" s="114"/>
      <c r="L2103" s="37">
        <v>69.842573412500002</v>
      </c>
      <c r="M2103" s="37" t="s">
        <v>142</v>
      </c>
      <c r="N2103" s="37">
        <v>3100.7755036097556</v>
      </c>
      <c r="O2103" s="132">
        <f t="shared" si="163"/>
        <v>216566.14074654601</v>
      </c>
      <c r="P2103" s="134">
        <f t="shared" si="164"/>
        <v>168853.35139915309</v>
      </c>
      <c r="Q2103" s="261">
        <v>1</v>
      </c>
      <c r="R2103" s="94"/>
    </row>
    <row r="2104" spans="1:18" x14ac:dyDescent="0.25">
      <c r="A2104" s="367">
        <v>40055</v>
      </c>
      <c r="B2104" s="367" t="s">
        <v>279</v>
      </c>
      <c r="C2104" s="279" t="s">
        <v>732</v>
      </c>
      <c r="D2104" s="159" t="s">
        <v>1197</v>
      </c>
      <c r="E2104" s="45">
        <f t="shared" si="165"/>
        <v>40055</v>
      </c>
      <c r="F2104" s="148" t="str">
        <f t="shared" si="162"/>
        <v>2009-10</v>
      </c>
      <c r="G2104" s="1"/>
      <c r="H2104" s="163"/>
      <c r="I2104" s="37"/>
      <c r="J2104" s="138">
        <f t="shared" si="166"/>
        <v>0.77968490742404351</v>
      </c>
      <c r="K2104" s="114"/>
      <c r="L2104" s="37">
        <v>23.0980752599</v>
      </c>
      <c r="M2104" s="37" t="s">
        <v>142</v>
      </c>
      <c r="N2104" s="37">
        <v>3100.7755036097556</v>
      </c>
      <c r="O2104" s="132">
        <f t="shared" si="163"/>
        <v>71621.945946432461</v>
      </c>
      <c r="P2104" s="134">
        <f t="shared" si="164"/>
        <v>55842.550294774039</v>
      </c>
      <c r="Q2104" s="261">
        <v>1</v>
      </c>
      <c r="R2104" s="94"/>
    </row>
    <row r="2105" spans="1:18" x14ac:dyDescent="0.25">
      <c r="A2105" s="367">
        <v>40055</v>
      </c>
      <c r="B2105" s="367" t="s">
        <v>279</v>
      </c>
      <c r="C2105" s="279" t="s">
        <v>732</v>
      </c>
      <c r="D2105" s="159" t="s">
        <v>1197</v>
      </c>
      <c r="E2105" s="45">
        <f t="shared" si="165"/>
        <v>40055</v>
      </c>
      <c r="F2105" s="148" t="str">
        <f t="shared" si="162"/>
        <v>2009-10</v>
      </c>
      <c r="G2105" s="1"/>
      <c r="H2105" s="163"/>
      <c r="I2105" s="37"/>
      <c r="J2105" s="138">
        <f t="shared" si="166"/>
        <v>0.77968490742404351</v>
      </c>
      <c r="K2105" s="114"/>
      <c r="L2105" s="37">
        <v>4.9995303779500002</v>
      </c>
      <c r="M2105" s="37" t="s">
        <v>142</v>
      </c>
      <c r="N2105" s="37">
        <v>3100.7755036097556</v>
      </c>
      <c r="O2105" s="132">
        <f t="shared" si="163"/>
        <v>15502.421325500183</v>
      </c>
      <c r="P2105" s="134">
        <f t="shared" si="164"/>
        <v>12087.003936021129</v>
      </c>
      <c r="Q2105" s="261">
        <v>1</v>
      </c>
      <c r="R2105" s="94"/>
    </row>
    <row r="2106" spans="1:18" x14ac:dyDescent="0.25">
      <c r="A2106" s="367">
        <v>40055</v>
      </c>
      <c r="B2106" s="367" t="s">
        <v>279</v>
      </c>
      <c r="C2106" s="279" t="s">
        <v>732</v>
      </c>
      <c r="D2106" s="159" t="s">
        <v>1197</v>
      </c>
      <c r="E2106" s="45">
        <f t="shared" si="165"/>
        <v>40055</v>
      </c>
      <c r="F2106" s="148" t="str">
        <f t="shared" si="162"/>
        <v>2009-10</v>
      </c>
      <c r="G2106" s="1"/>
      <c r="H2106" s="163"/>
      <c r="I2106" s="37"/>
      <c r="J2106" s="138">
        <f t="shared" si="166"/>
        <v>0.77968490742404351</v>
      </c>
      <c r="K2106" s="114"/>
      <c r="L2106" s="37">
        <v>3.8486866528100001</v>
      </c>
      <c r="M2106" s="37" t="s">
        <v>142</v>
      </c>
      <c r="N2106" s="37">
        <v>2683.0915094634142</v>
      </c>
      <c r="O2106" s="132">
        <f t="shared" si="163"/>
        <v>10326.378480739679</v>
      </c>
      <c r="P2106" s="134">
        <f t="shared" si="164"/>
        <v>8051.3214497811514</v>
      </c>
      <c r="Q2106" s="261">
        <v>1</v>
      </c>
      <c r="R2106" s="94"/>
    </row>
    <row r="2107" spans="1:18" x14ac:dyDescent="0.25">
      <c r="A2107" s="367">
        <v>40055</v>
      </c>
      <c r="B2107" s="367" t="s">
        <v>279</v>
      </c>
      <c r="C2107" s="279" t="s">
        <v>732</v>
      </c>
      <c r="D2107" s="159" t="s">
        <v>1197</v>
      </c>
      <c r="E2107" s="45">
        <f t="shared" si="165"/>
        <v>40055</v>
      </c>
      <c r="F2107" s="148" t="str">
        <f t="shared" si="162"/>
        <v>2009-10</v>
      </c>
      <c r="G2107" s="1"/>
      <c r="H2107" s="163"/>
      <c r="I2107" s="37"/>
      <c r="J2107" s="138">
        <f t="shared" si="166"/>
        <v>0.77968490742404351</v>
      </c>
      <c r="K2107" s="114"/>
      <c r="L2107" s="37">
        <v>2.14942409378</v>
      </c>
      <c r="M2107" s="37" t="s">
        <v>142</v>
      </c>
      <c r="N2107" s="37">
        <v>2683.0915094634142</v>
      </c>
      <c r="O2107" s="132">
        <f t="shared" si="163"/>
        <v>5767.1015362572116</v>
      </c>
      <c r="P2107" s="134">
        <f t="shared" si="164"/>
        <v>4496.5220274017629</v>
      </c>
      <c r="Q2107" s="261">
        <v>1</v>
      </c>
      <c r="R2107" s="94"/>
    </row>
    <row r="2108" spans="1:18" x14ac:dyDescent="0.25">
      <c r="A2108" s="367">
        <v>40055</v>
      </c>
      <c r="B2108" s="367" t="s">
        <v>279</v>
      </c>
      <c r="C2108" s="279" t="s">
        <v>732</v>
      </c>
      <c r="D2108" s="159" t="s">
        <v>1197</v>
      </c>
      <c r="E2108" s="45">
        <f t="shared" si="165"/>
        <v>40055</v>
      </c>
      <c r="F2108" s="148" t="str">
        <f t="shared" si="162"/>
        <v>2009-10</v>
      </c>
      <c r="G2108" s="1"/>
      <c r="H2108" s="163"/>
      <c r="I2108" s="37"/>
      <c r="J2108" s="138">
        <f t="shared" si="166"/>
        <v>0.77968490742404351</v>
      </c>
      <c r="K2108" s="114"/>
      <c r="L2108" s="37">
        <v>7.3992789275700002</v>
      </c>
      <c r="M2108" s="37" t="s">
        <v>142</v>
      </c>
      <c r="N2108" s="37">
        <v>3100.7755036097556</v>
      </c>
      <c r="O2108" s="132">
        <f t="shared" si="163"/>
        <v>22943.502842984919</v>
      </c>
      <c r="P2108" s="134">
        <f t="shared" si="164"/>
        <v>17888.702890115976</v>
      </c>
      <c r="Q2108" s="261">
        <v>1</v>
      </c>
      <c r="R2108" s="94"/>
    </row>
    <row r="2109" spans="1:18" x14ac:dyDescent="0.25">
      <c r="A2109" s="367">
        <v>40055</v>
      </c>
      <c r="B2109" s="367" t="s">
        <v>279</v>
      </c>
      <c r="C2109" s="279" t="s">
        <v>732</v>
      </c>
      <c r="D2109" s="159" t="s">
        <v>1197</v>
      </c>
      <c r="E2109" s="45">
        <f t="shared" si="165"/>
        <v>40055</v>
      </c>
      <c r="F2109" s="148" t="str">
        <f t="shared" si="162"/>
        <v>2009-10</v>
      </c>
      <c r="G2109" s="1"/>
      <c r="H2109" s="163"/>
      <c r="I2109" s="37"/>
      <c r="J2109" s="138">
        <f t="shared" si="166"/>
        <v>0.77968490742404351</v>
      </c>
      <c r="K2109" s="114"/>
      <c r="L2109" s="37">
        <v>13.8958531585</v>
      </c>
      <c r="M2109" s="37" t="s">
        <v>142</v>
      </c>
      <c r="N2109" s="37">
        <v>3100.7755036097556</v>
      </c>
      <c r="O2109" s="132">
        <f t="shared" si="163"/>
        <v>43087.921075635051</v>
      </c>
      <c r="P2109" s="134">
        <f t="shared" si="164"/>
        <v>33595.001754951008</v>
      </c>
      <c r="Q2109" s="261">
        <v>1</v>
      </c>
      <c r="R2109" s="94"/>
    </row>
    <row r="2110" spans="1:18" x14ac:dyDescent="0.25">
      <c r="A2110" s="367">
        <v>40055</v>
      </c>
      <c r="B2110" s="367" t="s">
        <v>279</v>
      </c>
      <c r="C2110" s="279" t="s">
        <v>732</v>
      </c>
      <c r="D2110" s="159" t="s">
        <v>1197</v>
      </c>
      <c r="E2110" s="45">
        <f t="shared" si="165"/>
        <v>40055</v>
      </c>
      <c r="F2110" s="148" t="str">
        <f t="shared" si="162"/>
        <v>2009-10</v>
      </c>
      <c r="G2110" s="1"/>
      <c r="H2110" s="163"/>
      <c r="I2110" s="37"/>
      <c r="J2110" s="138">
        <f t="shared" si="166"/>
        <v>0.77968490742404351</v>
      </c>
      <c r="K2110" s="114"/>
      <c r="L2110" s="37">
        <v>8.2950470877099995</v>
      </c>
      <c r="M2110" s="37" t="s">
        <v>142</v>
      </c>
      <c r="N2110" s="37">
        <v>3100.7755036097556</v>
      </c>
      <c r="O2110" s="132">
        <f t="shared" si="163"/>
        <v>25721.07881086061</v>
      </c>
      <c r="P2110" s="134">
        <f t="shared" si="164"/>
        <v>20054.336951492383</v>
      </c>
      <c r="Q2110" s="261">
        <v>1</v>
      </c>
      <c r="R2110" s="94"/>
    </row>
    <row r="2111" spans="1:18" x14ac:dyDescent="0.25">
      <c r="A2111" s="367">
        <v>40055</v>
      </c>
      <c r="B2111" s="367" t="s">
        <v>279</v>
      </c>
      <c r="C2111" s="279" t="s">
        <v>732</v>
      </c>
      <c r="D2111" s="159" t="s">
        <v>1197</v>
      </c>
      <c r="E2111" s="45">
        <f t="shared" si="165"/>
        <v>40055</v>
      </c>
      <c r="F2111" s="148" t="str">
        <f t="shared" si="162"/>
        <v>2009-10</v>
      </c>
      <c r="G2111" s="1"/>
      <c r="H2111" s="163"/>
      <c r="I2111" s="37"/>
      <c r="J2111" s="138">
        <f t="shared" si="166"/>
        <v>0.77968490742404351</v>
      </c>
      <c r="K2111" s="114"/>
      <c r="L2111" s="37">
        <v>9.6027299952299998</v>
      </c>
      <c r="M2111" s="37" t="s">
        <v>142</v>
      </c>
      <c r="N2111" s="37">
        <v>3100.7755036097556</v>
      </c>
      <c r="O2111" s="132">
        <f t="shared" si="163"/>
        <v>29775.909936987809</v>
      </c>
      <c r="P2111" s="134">
        <f t="shared" si="164"/>
        <v>23215.827582686998</v>
      </c>
      <c r="Q2111" s="261">
        <v>1</v>
      </c>
      <c r="R2111" s="94"/>
    </row>
    <row r="2112" spans="1:18" x14ac:dyDescent="0.25">
      <c r="A2112" s="367">
        <v>40055</v>
      </c>
      <c r="B2112" s="367" t="s">
        <v>279</v>
      </c>
      <c r="C2112" s="279" t="s">
        <v>732</v>
      </c>
      <c r="D2112" s="159" t="s">
        <v>1197</v>
      </c>
      <c r="E2112" s="45">
        <f t="shared" si="165"/>
        <v>40055</v>
      </c>
      <c r="F2112" s="148" t="str">
        <f t="shared" si="162"/>
        <v>2009-10</v>
      </c>
      <c r="G2112" s="1"/>
      <c r="H2112" s="163"/>
      <c r="I2112" s="37"/>
      <c r="J2112" s="138">
        <f t="shared" si="166"/>
        <v>0.77968490742404351</v>
      </c>
      <c r="K2112" s="114"/>
      <c r="L2112" s="37">
        <v>24.0175454906</v>
      </c>
      <c r="M2112" s="37" t="s">
        <v>142</v>
      </c>
      <c r="N2112" s="37">
        <v>3100.7755036097556</v>
      </c>
      <c r="O2112" s="132">
        <f t="shared" si="163"/>
        <v>74473.016714085432</v>
      </c>
      <c r="P2112" s="134">
        <f t="shared" si="164"/>
        <v>58065.487142310943</v>
      </c>
      <c r="Q2112" s="261">
        <v>1</v>
      </c>
      <c r="R2112" s="94"/>
    </row>
    <row r="2113" spans="1:18" x14ac:dyDescent="0.25">
      <c r="A2113" s="367">
        <v>40055</v>
      </c>
      <c r="B2113" s="367" t="s">
        <v>279</v>
      </c>
      <c r="C2113" s="279" t="s">
        <v>732</v>
      </c>
      <c r="D2113" s="159" t="s">
        <v>1197</v>
      </c>
      <c r="E2113" s="45">
        <f t="shared" si="165"/>
        <v>40055</v>
      </c>
      <c r="F2113" s="148" t="str">
        <f t="shared" si="162"/>
        <v>2009-10</v>
      </c>
      <c r="G2113" s="1"/>
      <c r="H2113" s="163"/>
      <c r="I2113" s="37"/>
      <c r="J2113" s="138">
        <f t="shared" si="166"/>
        <v>0.77968490742404351</v>
      </c>
      <c r="K2113" s="114"/>
      <c r="L2113" s="37">
        <v>2.8990586403199998</v>
      </c>
      <c r="M2113" s="37" t="s">
        <v>142</v>
      </c>
      <c r="N2113" s="37">
        <v>3100.7755036097556</v>
      </c>
      <c r="O2113" s="132">
        <f t="shared" si="163"/>
        <v>8989.3300154324606</v>
      </c>
      <c r="P2113" s="134">
        <f t="shared" si="164"/>
        <v>7008.8449408866336</v>
      </c>
      <c r="Q2113" s="261">
        <v>1</v>
      </c>
      <c r="R2113" s="94"/>
    </row>
    <row r="2114" spans="1:18" x14ac:dyDescent="0.25">
      <c r="A2114" s="367">
        <v>40055</v>
      </c>
      <c r="B2114" s="367" t="s">
        <v>279</v>
      </c>
      <c r="C2114" s="279" t="s">
        <v>732</v>
      </c>
      <c r="D2114" s="159" t="s">
        <v>1197</v>
      </c>
      <c r="E2114" s="45">
        <f t="shared" si="165"/>
        <v>40055</v>
      </c>
      <c r="F2114" s="148" t="str">
        <f t="shared" si="162"/>
        <v>2009-10</v>
      </c>
      <c r="G2114" s="1"/>
      <c r="H2114" s="163"/>
      <c r="I2114" s="37"/>
      <c r="J2114" s="138">
        <f t="shared" si="166"/>
        <v>0.77968490742404351</v>
      </c>
      <c r="K2114" s="114"/>
      <c r="L2114" s="37">
        <v>48.688523018200002</v>
      </c>
      <c r="M2114" s="37" t="s">
        <v>142</v>
      </c>
      <c r="N2114" s="37">
        <v>3100.7755036097556</v>
      </c>
      <c r="O2114" s="132">
        <f t="shared" si="163"/>
        <v>150972.17948177428</v>
      </c>
      <c r="P2114" s="134">
        <f t="shared" si="164"/>
        <v>117710.72978285326</v>
      </c>
      <c r="Q2114" s="261">
        <v>1</v>
      </c>
      <c r="R2114" s="94"/>
    </row>
    <row r="2115" spans="1:18" x14ac:dyDescent="0.25">
      <c r="A2115" s="367">
        <v>40055</v>
      </c>
      <c r="B2115" s="367" t="s">
        <v>279</v>
      </c>
      <c r="C2115" s="279" t="s">
        <v>732</v>
      </c>
      <c r="D2115" s="159" t="s">
        <v>1197</v>
      </c>
      <c r="E2115" s="45">
        <f t="shared" si="165"/>
        <v>40055</v>
      </c>
      <c r="F2115" s="148" t="str">
        <f t="shared" si="162"/>
        <v>2009-10</v>
      </c>
      <c r="G2115" s="1"/>
      <c r="H2115" s="163"/>
      <c r="I2115" s="37"/>
      <c r="J2115" s="138">
        <f t="shared" si="166"/>
        <v>0.77968490742404351</v>
      </c>
      <c r="K2115" s="114"/>
      <c r="L2115" s="37">
        <v>19.782430841499998</v>
      </c>
      <c r="M2115" s="37" t="s">
        <v>142</v>
      </c>
      <c r="N2115" s="37">
        <v>3100.7755036097556</v>
      </c>
      <c r="O2115" s="132">
        <f t="shared" si="163"/>
        <v>61340.876955177315</v>
      </c>
      <c r="P2115" s="134">
        <f t="shared" si="164"/>
        <v>47826.555970107067</v>
      </c>
      <c r="Q2115" s="261">
        <v>1</v>
      </c>
      <c r="R2115" s="94"/>
    </row>
    <row r="2116" spans="1:18" x14ac:dyDescent="0.25">
      <c r="A2116" s="367">
        <v>40055</v>
      </c>
      <c r="B2116" s="367" t="s">
        <v>279</v>
      </c>
      <c r="C2116" s="279" t="s">
        <v>732</v>
      </c>
      <c r="D2116" s="159" t="s">
        <v>1197</v>
      </c>
      <c r="E2116" s="45">
        <f t="shared" si="165"/>
        <v>40055</v>
      </c>
      <c r="F2116" s="148" t="str">
        <f t="shared" si="162"/>
        <v>2009-10</v>
      </c>
      <c r="G2116" s="1"/>
      <c r="H2116" s="163"/>
      <c r="I2116" s="37"/>
      <c r="J2116" s="138">
        <f t="shared" si="166"/>
        <v>0.77968490742404351</v>
      </c>
      <c r="K2116" s="114"/>
      <c r="L2116" s="37">
        <v>5.99899491582</v>
      </c>
      <c r="M2116" s="37" t="s">
        <v>142</v>
      </c>
      <c r="N2116" s="37">
        <v>3100.7755036097556</v>
      </c>
      <c r="O2116" s="132">
        <f t="shared" si="163"/>
        <v>18601.536481254123</v>
      </c>
      <c r="P2116" s="134">
        <f t="shared" si="164"/>
        <v>14503.337249331589</v>
      </c>
      <c r="Q2116" s="261">
        <v>1</v>
      </c>
      <c r="R2116" s="94"/>
    </row>
    <row r="2117" spans="1:18" x14ac:dyDescent="0.25">
      <c r="A2117" s="367">
        <v>40055</v>
      </c>
      <c r="B2117" s="367" t="s">
        <v>279</v>
      </c>
      <c r="C2117" s="279" t="s">
        <v>732</v>
      </c>
      <c r="D2117" s="159" t="s">
        <v>1197</v>
      </c>
      <c r="E2117" s="45">
        <f t="shared" si="165"/>
        <v>40055</v>
      </c>
      <c r="F2117" s="148" t="str">
        <f t="shared" si="162"/>
        <v>2009-10</v>
      </c>
      <c r="G2117" s="1"/>
      <c r="H2117" s="163"/>
      <c r="I2117" s="37"/>
      <c r="J2117" s="138">
        <f t="shared" si="166"/>
        <v>0.77968490742404351</v>
      </c>
      <c r="K2117" s="114"/>
      <c r="L2117" s="37">
        <v>70.722008307999999</v>
      </c>
      <c r="M2117" s="37" t="s">
        <v>142</v>
      </c>
      <c r="N2117" s="37">
        <v>3100.7755036097556</v>
      </c>
      <c r="O2117" s="132">
        <f t="shared" si="163"/>
        <v>219293.07092753201</v>
      </c>
      <c r="P2117" s="134">
        <f t="shared" si="164"/>
        <v>170979.49770486701</v>
      </c>
      <c r="Q2117" s="261">
        <v>1</v>
      </c>
      <c r="R2117" s="94"/>
    </row>
    <row r="2118" spans="1:18" x14ac:dyDescent="0.25">
      <c r="A2118" s="367">
        <v>40055</v>
      </c>
      <c r="B2118" s="367" t="s">
        <v>279</v>
      </c>
      <c r="C2118" s="279" t="s">
        <v>732</v>
      </c>
      <c r="D2118" s="159" t="s">
        <v>1197</v>
      </c>
      <c r="E2118" s="45">
        <f t="shared" si="165"/>
        <v>40055</v>
      </c>
      <c r="F2118" s="148" t="str">
        <f t="shared" si="162"/>
        <v>2009-10</v>
      </c>
      <c r="G2118" s="1"/>
      <c r="H2118" s="163"/>
      <c r="I2118" s="37"/>
      <c r="J2118" s="138">
        <f t="shared" si="166"/>
        <v>0.77968490742404351</v>
      </c>
      <c r="K2118" s="114"/>
      <c r="L2118" s="37">
        <v>23.137499605599999</v>
      </c>
      <c r="M2118" s="37" t="s">
        <v>142</v>
      </c>
      <c r="N2118" s="37">
        <v>3100.7755036097556</v>
      </c>
      <c r="O2118" s="132">
        <f t="shared" si="163"/>
        <v>71744.19199182486</v>
      </c>
      <c r="P2118" s="134">
        <f t="shared" si="164"/>
        <v>55937.863691358769</v>
      </c>
      <c r="Q2118" s="261">
        <v>1</v>
      </c>
      <c r="R2118" s="94"/>
    </row>
    <row r="2119" spans="1:18" x14ac:dyDescent="0.25">
      <c r="A2119" s="367">
        <v>40055</v>
      </c>
      <c r="B2119" s="367" t="s">
        <v>279</v>
      </c>
      <c r="C2119" s="279" t="s">
        <v>732</v>
      </c>
      <c r="D2119" s="159" t="s">
        <v>1197</v>
      </c>
      <c r="E2119" s="45">
        <f t="shared" si="165"/>
        <v>40055</v>
      </c>
      <c r="F2119" s="148" t="str">
        <f t="shared" si="162"/>
        <v>2009-10</v>
      </c>
      <c r="G2119" s="1"/>
      <c r="H2119" s="163"/>
      <c r="I2119" s="37"/>
      <c r="J2119" s="138">
        <f t="shared" si="166"/>
        <v>0.77968490742404351</v>
      </c>
      <c r="K2119" s="114"/>
      <c r="L2119" s="37">
        <v>12.964506161099999</v>
      </c>
      <c r="M2119" s="37" t="s">
        <v>142</v>
      </c>
      <c r="N2119" s="37">
        <v>3100.7755036097556</v>
      </c>
      <c r="O2119" s="132">
        <f t="shared" si="163"/>
        <v>40200.023120736631</v>
      </c>
      <c r="P2119" s="134">
        <f t="shared" si="164"/>
        <v>31343.351305335949</v>
      </c>
      <c r="Q2119" s="261">
        <v>1</v>
      </c>
      <c r="R2119" s="94"/>
    </row>
    <row r="2120" spans="1:18" x14ac:dyDescent="0.25">
      <c r="A2120" s="367">
        <v>40055</v>
      </c>
      <c r="B2120" s="367" t="s">
        <v>279</v>
      </c>
      <c r="C2120" s="279" t="s">
        <v>732</v>
      </c>
      <c r="D2120" s="159" t="s">
        <v>1197</v>
      </c>
      <c r="E2120" s="45">
        <f t="shared" si="165"/>
        <v>40055</v>
      </c>
      <c r="F2120" s="148" t="str">
        <f t="shared" si="162"/>
        <v>2009-10</v>
      </c>
      <c r="G2120" s="1"/>
      <c r="H2120" s="163"/>
      <c r="I2120" s="37"/>
      <c r="J2120" s="138">
        <f t="shared" si="166"/>
        <v>0.77968490742404351</v>
      </c>
      <c r="K2120" s="114"/>
      <c r="L2120" s="37">
        <v>11.9981988754</v>
      </c>
      <c r="M2120" s="37" t="s">
        <v>142</v>
      </c>
      <c r="N2120" s="37">
        <v>3100.7755036097556</v>
      </c>
      <c r="O2120" s="132">
        <f t="shared" si="163"/>
        <v>37203.721160278437</v>
      </c>
      <c r="P2120" s="134">
        <f t="shared" si="164"/>
        <v>29007.179888681621</v>
      </c>
      <c r="Q2120" s="261">
        <v>1</v>
      </c>
      <c r="R2120" s="94"/>
    </row>
    <row r="2121" spans="1:18" x14ac:dyDescent="0.25">
      <c r="A2121" s="367">
        <v>40055</v>
      </c>
      <c r="B2121" s="367" t="s">
        <v>279</v>
      </c>
      <c r="C2121" s="279" t="s">
        <v>732</v>
      </c>
      <c r="D2121" s="159" t="s">
        <v>1197</v>
      </c>
      <c r="E2121" s="45">
        <f t="shared" si="165"/>
        <v>40055</v>
      </c>
      <c r="F2121" s="148" t="str">
        <f t="shared" si="162"/>
        <v>2009-10</v>
      </c>
      <c r="G2121" s="1"/>
      <c r="H2121" s="163"/>
      <c r="I2121" s="37"/>
      <c r="J2121" s="138">
        <f t="shared" si="166"/>
        <v>0.77968490742404351</v>
      </c>
      <c r="K2121" s="114"/>
      <c r="L2121" s="37">
        <v>4.7997964931099997</v>
      </c>
      <c r="M2121" s="37" t="s">
        <v>142</v>
      </c>
      <c r="N2121" s="37">
        <v>3100.7755036097556</v>
      </c>
      <c r="O2121" s="132">
        <f t="shared" si="163"/>
        <v>14883.091388147497</v>
      </c>
      <c r="P2121" s="134">
        <f t="shared" si="164"/>
        <v>11604.121731151361</v>
      </c>
      <c r="Q2121" s="261">
        <v>1</v>
      </c>
      <c r="R2121" s="94"/>
    </row>
    <row r="2122" spans="1:18" x14ac:dyDescent="0.25">
      <c r="A2122" s="367">
        <v>40055</v>
      </c>
      <c r="B2122" s="367" t="s">
        <v>279</v>
      </c>
      <c r="C2122" s="279" t="s">
        <v>732</v>
      </c>
      <c r="D2122" s="159" t="s">
        <v>1197</v>
      </c>
      <c r="E2122" s="45">
        <f t="shared" si="165"/>
        <v>40055</v>
      </c>
      <c r="F2122" s="148" t="str">
        <f t="shared" si="162"/>
        <v>2009-10</v>
      </c>
      <c r="G2122" s="1"/>
      <c r="H2122" s="163"/>
      <c r="I2122" s="37"/>
      <c r="J2122" s="138">
        <f t="shared" si="166"/>
        <v>0.77968490742404351</v>
      </c>
      <c r="K2122" s="114"/>
      <c r="L2122" s="37">
        <v>21.3577460421</v>
      </c>
      <c r="M2122" s="37" t="s">
        <v>142</v>
      </c>
      <c r="N2122" s="37">
        <v>3100.7755036097556</v>
      </c>
      <c r="O2122" s="132">
        <f t="shared" si="163"/>
        <v>66225.575739661886</v>
      </c>
      <c r="P2122" s="134">
        <f t="shared" si="164"/>
        <v>51635.08188968226</v>
      </c>
      <c r="Q2122" s="261">
        <v>1</v>
      </c>
      <c r="R2122" s="94"/>
    </row>
    <row r="2123" spans="1:18" x14ac:dyDescent="0.25">
      <c r="A2123" s="367">
        <v>40742</v>
      </c>
      <c r="B2123" s="367" t="s">
        <v>279</v>
      </c>
      <c r="C2123" s="279" t="s">
        <v>718</v>
      </c>
      <c r="D2123" s="159" t="s">
        <v>1196</v>
      </c>
      <c r="E2123" s="45">
        <f t="shared" si="165"/>
        <v>40742</v>
      </c>
      <c r="F2123" s="148" t="str">
        <f t="shared" si="162"/>
        <v>2011-12</v>
      </c>
      <c r="G2123" s="1"/>
      <c r="H2123" s="163"/>
      <c r="I2123" s="37"/>
      <c r="J2123" s="138">
        <f t="shared" si="166"/>
        <v>0.77968490742404351</v>
      </c>
      <c r="K2123" s="114"/>
      <c r="L2123" s="37">
        <v>76.655346389900004</v>
      </c>
      <c r="M2123" s="37" t="s">
        <v>142</v>
      </c>
      <c r="N2123" s="37">
        <v>2679.5507189268287</v>
      </c>
      <c r="O2123" s="132">
        <f t="shared" si="163"/>
        <v>205401.88852864163</v>
      </c>
      <c r="P2123" s="134">
        <f t="shared" si="164"/>
        <v>160148.75244217765</v>
      </c>
      <c r="Q2123" s="261">
        <v>1</v>
      </c>
      <c r="R2123" s="94"/>
    </row>
    <row r="2124" spans="1:18" x14ac:dyDescent="0.25">
      <c r="A2124" s="367">
        <v>40742</v>
      </c>
      <c r="B2124" s="367" t="s">
        <v>279</v>
      </c>
      <c r="C2124" s="279" t="s">
        <v>718</v>
      </c>
      <c r="D2124" s="159" t="s">
        <v>1186</v>
      </c>
      <c r="E2124" s="45">
        <f t="shared" si="165"/>
        <v>40742</v>
      </c>
      <c r="F2124" s="148" t="str">
        <f t="shared" si="162"/>
        <v>2011-12</v>
      </c>
      <c r="G2124" s="1"/>
      <c r="H2124" s="163"/>
      <c r="I2124" s="37"/>
      <c r="J2124" s="138">
        <f t="shared" si="166"/>
        <v>0.77968490742404351</v>
      </c>
      <c r="K2124" s="114"/>
      <c r="L2124" s="37">
        <v>88.2242741182</v>
      </c>
      <c r="M2124" s="37" t="s">
        <v>142</v>
      </c>
      <c r="N2124" s="37">
        <v>2679.5507189268287</v>
      </c>
      <c r="O2124" s="132">
        <f t="shared" si="163"/>
        <v>236401.41714022041</v>
      </c>
      <c r="P2124" s="134">
        <f t="shared" si="164"/>
        <v>184318.61703788544</v>
      </c>
      <c r="Q2124" s="261">
        <v>1</v>
      </c>
      <c r="R2124" s="94"/>
    </row>
    <row r="2125" spans="1:18" x14ac:dyDescent="0.25">
      <c r="A2125" s="367">
        <v>40742</v>
      </c>
      <c r="B2125" s="367" t="s">
        <v>279</v>
      </c>
      <c r="C2125" s="279" t="s">
        <v>718</v>
      </c>
      <c r="D2125" s="159" t="s">
        <v>1186</v>
      </c>
      <c r="E2125" s="45">
        <f t="shared" si="165"/>
        <v>40742</v>
      </c>
      <c r="F2125" s="148" t="str">
        <f t="shared" si="162"/>
        <v>2011-12</v>
      </c>
      <c r="G2125" s="1"/>
      <c r="H2125" s="163"/>
      <c r="I2125" s="37"/>
      <c r="J2125" s="138">
        <f t="shared" si="166"/>
        <v>0.77968490742404351</v>
      </c>
      <c r="K2125" s="114"/>
      <c r="L2125" s="37">
        <v>36.026539245400002</v>
      </c>
      <c r="M2125" s="37" t="s">
        <v>142</v>
      </c>
      <c r="N2125" s="37">
        <v>2683.0915094634142</v>
      </c>
      <c r="O2125" s="132">
        <f t="shared" si="163"/>
        <v>96662.501564683218</v>
      </c>
      <c r="P2125" s="134">
        <f t="shared" si="164"/>
        <v>75366.293583836494</v>
      </c>
      <c r="Q2125" s="261">
        <v>1</v>
      </c>
      <c r="R2125" s="94"/>
    </row>
    <row r="2126" spans="1:18" x14ac:dyDescent="0.25">
      <c r="A2126" s="367">
        <v>40742</v>
      </c>
      <c r="B2126" s="367" t="s">
        <v>279</v>
      </c>
      <c r="C2126" s="279" t="s">
        <v>718</v>
      </c>
      <c r="D2126" s="159" t="s">
        <v>1196</v>
      </c>
      <c r="E2126" s="45">
        <f t="shared" si="165"/>
        <v>40742</v>
      </c>
      <c r="F2126" s="148" t="str">
        <f t="shared" si="162"/>
        <v>2011-12</v>
      </c>
      <c r="G2126" s="1"/>
      <c r="H2126" s="163"/>
      <c r="I2126" s="37"/>
      <c r="J2126" s="138">
        <f t="shared" si="166"/>
        <v>0.77968490742404351</v>
      </c>
      <c r="K2126" s="114"/>
      <c r="L2126" s="37">
        <v>59.809081735100001</v>
      </c>
      <c r="M2126" s="37" t="s">
        <v>142</v>
      </c>
      <c r="N2126" s="37">
        <v>2679.5507189268287</v>
      </c>
      <c r="O2126" s="132">
        <f t="shared" si="163"/>
        <v>160261.46796164068</v>
      </c>
      <c r="P2126" s="134">
        <f t="shared" si="164"/>
        <v>124953.44781131313</v>
      </c>
      <c r="Q2126" s="261">
        <v>1</v>
      </c>
      <c r="R2126" s="94"/>
    </row>
    <row r="2127" spans="1:18" x14ac:dyDescent="0.25">
      <c r="A2127" s="367">
        <v>40742</v>
      </c>
      <c r="B2127" s="367" t="s">
        <v>279</v>
      </c>
      <c r="C2127" s="279" t="s">
        <v>718</v>
      </c>
      <c r="D2127" s="159" t="s">
        <v>1196</v>
      </c>
      <c r="E2127" s="45">
        <f t="shared" si="165"/>
        <v>40742</v>
      </c>
      <c r="F2127" s="148" t="str">
        <f t="shared" si="162"/>
        <v>2011-12</v>
      </c>
      <c r="G2127" s="1"/>
      <c r="H2127" s="163"/>
      <c r="I2127" s="37"/>
      <c r="J2127" s="138">
        <f t="shared" si="166"/>
        <v>0.77968490742404351</v>
      </c>
      <c r="K2127" s="114"/>
      <c r="L2127" s="37">
        <v>31.931573577999998</v>
      </c>
      <c r="M2127" s="37" t="s">
        <v>142</v>
      </c>
      <c r="N2127" s="37">
        <v>2683.0915094634142</v>
      </c>
      <c r="O2127" s="132">
        <f t="shared" si="163"/>
        <v>85675.333950938089</v>
      </c>
      <c r="P2127" s="134">
        <f t="shared" si="164"/>
        <v>66799.764820061173</v>
      </c>
      <c r="Q2127" s="261">
        <v>1</v>
      </c>
      <c r="R2127" s="94"/>
    </row>
    <row r="2128" spans="1:18" x14ac:dyDescent="0.25">
      <c r="A2128" s="367">
        <v>40128</v>
      </c>
      <c r="B2128" s="367" t="s">
        <v>279</v>
      </c>
      <c r="C2128" s="279" t="s">
        <v>290</v>
      </c>
      <c r="D2128" s="159" t="s">
        <v>1198</v>
      </c>
      <c r="E2128" s="45">
        <f t="shared" si="165"/>
        <v>40128</v>
      </c>
      <c r="F2128" s="148" t="str">
        <f t="shared" si="162"/>
        <v>2009-10</v>
      </c>
      <c r="G2128" s="1"/>
      <c r="H2128" s="163"/>
      <c r="I2128" s="37"/>
      <c r="J2128" s="138">
        <f t="shared" si="166"/>
        <v>0.77968490742404351</v>
      </c>
      <c r="K2128" s="114"/>
      <c r="L2128" s="37">
        <v>3.9989963740899999</v>
      </c>
      <c r="M2128" s="37" t="s">
        <v>142</v>
      </c>
      <c r="N2128" s="37">
        <v>2042.4636684878049</v>
      </c>
      <c r="O2128" s="132">
        <f t="shared" si="163"/>
        <v>8167.8048044932912</v>
      </c>
      <c r="P2128" s="134">
        <f t="shared" si="164"/>
        <v>6368.3141328490092</v>
      </c>
      <c r="Q2128" s="261">
        <v>1</v>
      </c>
      <c r="R2128" s="94"/>
    </row>
    <row r="2129" spans="1:18" x14ac:dyDescent="0.25">
      <c r="A2129" s="367">
        <v>40055</v>
      </c>
      <c r="B2129" s="367" t="s">
        <v>279</v>
      </c>
      <c r="C2129" s="279" t="s">
        <v>732</v>
      </c>
      <c r="D2129" s="159" t="s">
        <v>1197</v>
      </c>
      <c r="E2129" s="45">
        <f t="shared" si="165"/>
        <v>40055</v>
      </c>
      <c r="F2129" s="148" t="str">
        <f t="shared" si="162"/>
        <v>2009-10</v>
      </c>
      <c r="G2129" s="1"/>
      <c r="H2129" s="163"/>
      <c r="I2129" s="37"/>
      <c r="J2129" s="138">
        <f t="shared" si="166"/>
        <v>0.77968490742404351</v>
      </c>
      <c r="K2129" s="114"/>
      <c r="L2129" s="37">
        <v>28.9952604281</v>
      </c>
      <c r="M2129" s="37" t="s">
        <v>142</v>
      </c>
      <c r="N2129" s="37">
        <v>3100.7755036097556</v>
      </c>
      <c r="O2129" s="132">
        <f t="shared" si="163"/>
        <v>89907.793256237797</v>
      </c>
      <c r="P2129" s="134">
        <f t="shared" si="164"/>
        <v>70099.749461689804</v>
      </c>
      <c r="Q2129" s="261">
        <v>1</v>
      </c>
      <c r="R2129" s="94"/>
    </row>
    <row r="2130" spans="1:18" x14ac:dyDescent="0.25">
      <c r="A2130" s="367">
        <v>40055</v>
      </c>
      <c r="B2130" s="367" t="s">
        <v>279</v>
      </c>
      <c r="C2130" s="279" t="s">
        <v>732</v>
      </c>
      <c r="D2130" s="159" t="s">
        <v>1197</v>
      </c>
      <c r="E2130" s="45">
        <f t="shared" si="165"/>
        <v>40055</v>
      </c>
      <c r="F2130" s="148" t="str">
        <f t="shared" ref="F2130:F2193" si="167">IF(E2130="","-",IF(OR(E2130&lt;$E$15,E2130&gt;$E$16),"ERROR - date outside of range",IF(MONTH(E2130)&gt;=7,YEAR(E2130)&amp;"-"&amp;IF(YEAR(E2130)=1999,"00",IF(AND(YEAR(E2130)&gt;=2000,YEAR(E2130)&lt;2009),"0","")&amp;RIGHT(YEAR(E2130),2)+1),RIGHT(YEAR(E2130),4)-1&amp;"-"&amp;RIGHT(YEAR(E2130),2))))</f>
        <v>2009-10</v>
      </c>
      <c r="G2130" s="1"/>
      <c r="H2130" s="163"/>
      <c r="I2130" s="37"/>
      <c r="J2130" s="138">
        <f t="shared" si="166"/>
        <v>0.77968490742404351</v>
      </c>
      <c r="K2130" s="114"/>
      <c r="L2130" s="37">
        <v>12.9353642778</v>
      </c>
      <c r="M2130" s="37" t="s">
        <v>142</v>
      </c>
      <c r="N2130" s="37">
        <v>3100.7755036097556</v>
      </c>
      <c r="O2130" s="132">
        <f t="shared" ref="O2130:O2193" si="168">IF(N2130="","-",L2130*N2130)</f>
        <v>40109.660682870934</v>
      </c>
      <c r="P2130" s="134">
        <f t="shared" ref="P2130:P2193" si="169">IF(O2130="-","-",IF(OR(E2130&lt;$E$15,E2130&gt;$E$16),0,O2130*J2130))*Q2130</f>
        <v>31272.897076334022</v>
      </c>
      <c r="Q2130" s="261">
        <v>1</v>
      </c>
      <c r="R2130" s="94"/>
    </row>
    <row r="2131" spans="1:18" x14ac:dyDescent="0.25">
      <c r="A2131" s="367">
        <v>40055</v>
      </c>
      <c r="B2131" s="367" t="s">
        <v>279</v>
      </c>
      <c r="C2131" s="279" t="s">
        <v>732</v>
      </c>
      <c r="D2131" s="159" t="s">
        <v>1197</v>
      </c>
      <c r="E2131" s="45">
        <f t="shared" si="165"/>
        <v>40055</v>
      </c>
      <c r="F2131" s="148" t="str">
        <f t="shared" si="167"/>
        <v>2009-10</v>
      </c>
      <c r="G2131" s="1"/>
      <c r="H2131" s="163"/>
      <c r="I2131" s="37"/>
      <c r="J2131" s="138">
        <f t="shared" si="166"/>
        <v>0.77968490742404351</v>
      </c>
      <c r="K2131" s="114"/>
      <c r="L2131" s="37">
        <v>11.9983323008</v>
      </c>
      <c r="M2131" s="37" t="s">
        <v>142</v>
      </c>
      <c r="N2131" s="37">
        <v>3100.7755036097556</v>
      </c>
      <c r="O2131" s="132">
        <f t="shared" si="168"/>
        <v>37204.134882490318</v>
      </c>
      <c r="P2131" s="134">
        <f t="shared" si="169"/>
        <v>29007.502461646091</v>
      </c>
      <c r="Q2131" s="261">
        <v>1</v>
      </c>
      <c r="R2131" s="94"/>
    </row>
    <row r="2132" spans="1:18" x14ac:dyDescent="0.25">
      <c r="A2132" s="367">
        <v>39792</v>
      </c>
      <c r="B2132" s="367" t="s">
        <v>279</v>
      </c>
      <c r="C2132" s="279" t="s">
        <v>733</v>
      </c>
      <c r="D2132" s="159" t="s">
        <v>1199</v>
      </c>
      <c r="E2132" s="45">
        <f t="shared" si="165"/>
        <v>39792</v>
      </c>
      <c r="F2132" s="148" t="str">
        <f t="shared" si="167"/>
        <v>2008-09</v>
      </c>
      <c r="G2132" s="1"/>
      <c r="H2132" s="163"/>
      <c r="I2132" s="37"/>
      <c r="J2132" s="138">
        <f t="shared" si="166"/>
        <v>0.77968490742404351</v>
      </c>
      <c r="K2132" s="114"/>
      <c r="L2132" s="37">
        <v>51.3603607473</v>
      </c>
      <c r="M2132" s="37" t="s">
        <v>142</v>
      </c>
      <c r="N2132" s="37">
        <v>771.6404230243902</v>
      </c>
      <c r="O2132" s="132">
        <f t="shared" si="168"/>
        <v>39631.730493731855</v>
      </c>
      <c r="P2132" s="134">
        <f t="shared" si="169"/>
        <v>30900.262121059965</v>
      </c>
      <c r="Q2132" s="261">
        <v>1</v>
      </c>
      <c r="R2132" s="94"/>
    </row>
    <row r="2133" spans="1:18" x14ac:dyDescent="0.25">
      <c r="A2133" s="367">
        <v>39792</v>
      </c>
      <c r="B2133" s="367" t="s">
        <v>279</v>
      </c>
      <c r="C2133" s="279" t="s">
        <v>733</v>
      </c>
      <c r="D2133" s="159" t="s">
        <v>1199</v>
      </c>
      <c r="E2133" s="45">
        <f t="shared" si="165"/>
        <v>39792</v>
      </c>
      <c r="F2133" s="148" t="str">
        <f t="shared" si="167"/>
        <v>2008-09</v>
      </c>
      <c r="G2133" s="1"/>
      <c r="H2133" s="163"/>
      <c r="I2133" s="37"/>
      <c r="J2133" s="138">
        <f t="shared" si="166"/>
        <v>0.77968490742404351</v>
      </c>
      <c r="K2133" s="114"/>
      <c r="L2133" s="37">
        <v>1.4995712720600001</v>
      </c>
      <c r="M2133" s="37" t="s">
        <v>142</v>
      </c>
      <c r="N2133" s="37">
        <v>771.6404230243902</v>
      </c>
      <c r="O2133" s="132">
        <f t="shared" si="168"/>
        <v>1157.1298107276014</v>
      </c>
      <c r="P2133" s="134">
        <f t="shared" si="169"/>
        <v>902.19664935475089</v>
      </c>
      <c r="Q2133" s="261">
        <v>1</v>
      </c>
      <c r="R2133" s="94"/>
    </row>
    <row r="2134" spans="1:18" x14ac:dyDescent="0.25">
      <c r="A2134" s="367">
        <v>39792</v>
      </c>
      <c r="B2134" s="367" t="s">
        <v>279</v>
      </c>
      <c r="C2134" s="279" t="s">
        <v>733</v>
      </c>
      <c r="D2134" s="159" t="s">
        <v>1199</v>
      </c>
      <c r="E2134" s="45">
        <f t="shared" si="165"/>
        <v>39792</v>
      </c>
      <c r="F2134" s="148" t="str">
        <f t="shared" si="167"/>
        <v>2008-09</v>
      </c>
      <c r="G2134" s="1"/>
      <c r="H2134" s="163"/>
      <c r="I2134" s="37"/>
      <c r="J2134" s="138">
        <f t="shared" si="166"/>
        <v>0.77968490742404351</v>
      </c>
      <c r="K2134" s="114"/>
      <c r="L2134" s="37">
        <v>49.5009589402</v>
      </c>
      <c r="M2134" s="37" t="s">
        <v>142</v>
      </c>
      <c r="N2134" s="37">
        <v>1128.7084557073169</v>
      </c>
      <c r="O2134" s="132">
        <f t="shared" si="168"/>
        <v>55872.150921424443</v>
      </c>
      <c r="P2134" s="134">
        <f t="shared" si="169"/>
        <v>43562.672818753003</v>
      </c>
      <c r="Q2134" s="261">
        <v>1</v>
      </c>
      <c r="R2134" s="94"/>
    </row>
    <row r="2135" spans="1:18" x14ac:dyDescent="0.25">
      <c r="A2135" s="367">
        <v>40055</v>
      </c>
      <c r="B2135" s="367" t="s">
        <v>279</v>
      </c>
      <c r="C2135" s="279" t="s">
        <v>732</v>
      </c>
      <c r="D2135" s="159" t="s">
        <v>1197</v>
      </c>
      <c r="E2135" s="45">
        <f t="shared" ref="E2135:E2198" si="170">IF(A2135&lt;2022,DATEVALUE("30 Jun "&amp;A2135),A2135)</f>
        <v>40055</v>
      </c>
      <c r="F2135" s="148" t="str">
        <f t="shared" si="167"/>
        <v>2009-10</v>
      </c>
      <c r="G2135" s="1"/>
      <c r="H2135" s="163"/>
      <c r="I2135" s="37"/>
      <c r="J2135" s="138">
        <f t="shared" si="166"/>
        <v>0.77968490742404351</v>
      </c>
      <c r="K2135" s="114"/>
      <c r="L2135" s="37">
        <v>1.49644512094</v>
      </c>
      <c r="M2135" s="37" t="s">
        <v>142</v>
      </c>
      <c r="N2135" s="37">
        <v>2683.0915094634142</v>
      </c>
      <c r="O2135" s="132">
        <f t="shared" si="168"/>
        <v>4015.099198372066</v>
      </c>
      <c r="P2135" s="134">
        <f t="shared" si="169"/>
        <v>3130.5122467810756</v>
      </c>
      <c r="Q2135" s="261">
        <v>1</v>
      </c>
      <c r="R2135" s="94"/>
    </row>
    <row r="2136" spans="1:18" x14ac:dyDescent="0.25">
      <c r="A2136" s="367">
        <v>40055</v>
      </c>
      <c r="B2136" s="367" t="s">
        <v>279</v>
      </c>
      <c r="C2136" s="279" t="s">
        <v>732</v>
      </c>
      <c r="D2136" s="159" t="s">
        <v>1197</v>
      </c>
      <c r="E2136" s="45">
        <f t="shared" si="170"/>
        <v>40055</v>
      </c>
      <c r="F2136" s="148" t="str">
        <f t="shared" si="167"/>
        <v>2009-10</v>
      </c>
      <c r="G2136" s="1"/>
      <c r="H2136" s="163"/>
      <c r="I2136" s="37"/>
      <c r="J2136" s="138">
        <f t="shared" ref="J2136:J2199" si="171">J2135</f>
        <v>0.77968490742404351</v>
      </c>
      <c r="K2136" s="114"/>
      <c r="L2136" s="37">
        <v>5.4373393833900003</v>
      </c>
      <c r="M2136" s="37" t="s">
        <v>142</v>
      </c>
      <c r="N2136" s="37">
        <v>3100.7755036097556</v>
      </c>
      <c r="O2136" s="132">
        <f t="shared" si="168"/>
        <v>16859.968764828285</v>
      </c>
      <c r="P2136" s="134">
        <f t="shared" si="169"/>
        <v>13145.463185577406</v>
      </c>
      <c r="Q2136" s="261">
        <v>1</v>
      </c>
      <c r="R2136" s="94"/>
    </row>
    <row r="2137" spans="1:18" x14ac:dyDescent="0.25">
      <c r="A2137" s="367">
        <v>40055</v>
      </c>
      <c r="B2137" s="367" t="s">
        <v>279</v>
      </c>
      <c r="C2137" s="279" t="s">
        <v>732</v>
      </c>
      <c r="D2137" s="159" t="s">
        <v>1197</v>
      </c>
      <c r="E2137" s="45">
        <f t="shared" si="170"/>
        <v>40055</v>
      </c>
      <c r="F2137" s="148" t="str">
        <f t="shared" si="167"/>
        <v>2009-10</v>
      </c>
      <c r="G2137" s="1"/>
      <c r="H2137" s="163"/>
      <c r="I2137" s="37"/>
      <c r="J2137" s="138">
        <f t="shared" si="171"/>
        <v>0.77968490742404351</v>
      </c>
      <c r="K2137" s="114"/>
      <c r="L2137" s="37">
        <v>3.0901575982399998</v>
      </c>
      <c r="M2137" s="37" t="s">
        <v>142</v>
      </c>
      <c r="N2137" s="37">
        <v>3100.7755036097556</v>
      </c>
      <c r="O2137" s="132">
        <f t="shared" si="168"/>
        <v>9581.8849829161481</v>
      </c>
      <c r="P2137" s="134">
        <f t="shared" si="169"/>
        <v>7470.8511058528093</v>
      </c>
      <c r="Q2137" s="261">
        <v>1</v>
      </c>
      <c r="R2137" s="94"/>
    </row>
    <row r="2138" spans="1:18" x14ac:dyDescent="0.25">
      <c r="A2138" s="367">
        <v>39114</v>
      </c>
      <c r="B2138" s="367" t="s">
        <v>279</v>
      </c>
      <c r="C2138" s="279" t="s">
        <v>734</v>
      </c>
      <c r="D2138" s="159" t="s">
        <v>1200</v>
      </c>
      <c r="E2138" s="45">
        <f t="shared" si="170"/>
        <v>39114</v>
      </c>
      <c r="F2138" s="148" t="str">
        <f t="shared" si="167"/>
        <v>2006-07</v>
      </c>
      <c r="G2138" s="1"/>
      <c r="H2138" s="163"/>
      <c r="I2138" s="37"/>
      <c r="J2138" s="138">
        <f t="shared" si="171"/>
        <v>0.77968490742404351</v>
      </c>
      <c r="K2138" s="114"/>
      <c r="L2138" s="37">
        <v>5.89831748804</v>
      </c>
      <c r="M2138" s="37" t="s">
        <v>142</v>
      </c>
      <c r="N2138" s="37">
        <v>1422.8466506341463</v>
      </c>
      <c r="O2138" s="132">
        <f t="shared" si="168"/>
        <v>8392.4012822345248</v>
      </c>
      <c r="P2138" s="134">
        <f t="shared" si="169"/>
        <v>6543.4286168044491</v>
      </c>
      <c r="Q2138" s="261">
        <v>1</v>
      </c>
      <c r="R2138" s="94"/>
    </row>
    <row r="2139" spans="1:18" x14ac:dyDescent="0.25">
      <c r="A2139" s="367">
        <v>41824</v>
      </c>
      <c r="B2139" s="367" t="s">
        <v>279</v>
      </c>
      <c r="C2139" s="279" t="s">
        <v>735</v>
      </c>
      <c r="D2139" s="159" t="s">
        <v>1201</v>
      </c>
      <c r="E2139" s="45">
        <f t="shared" si="170"/>
        <v>41824</v>
      </c>
      <c r="F2139" s="148" t="str">
        <f t="shared" si="167"/>
        <v>2014-15</v>
      </c>
      <c r="G2139" s="1"/>
      <c r="H2139" s="163"/>
      <c r="I2139" s="37"/>
      <c r="J2139" s="138">
        <f t="shared" si="171"/>
        <v>0.77968490742404351</v>
      </c>
      <c r="K2139" s="114"/>
      <c r="L2139" s="37">
        <v>37.088702164399997</v>
      </c>
      <c r="M2139" s="37" t="s">
        <v>142</v>
      </c>
      <c r="N2139" s="37">
        <v>696.6467060487804</v>
      </c>
      <c r="O2139" s="132">
        <f t="shared" si="168"/>
        <v>25837.72219445353</v>
      </c>
      <c r="P2139" s="134">
        <f t="shared" si="169"/>
        <v>20145.282037230656</v>
      </c>
      <c r="Q2139" s="261">
        <v>1</v>
      </c>
      <c r="R2139" s="94"/>
    </row>
    <row r="2140" spans="1:18" x14ac:dyDescent="0.25">
      <c r="A2140" s="367">
        <v>41824</v>
      </c>
      <c r="B2140" s="367" t="s">
        <v>279</v>
      </c>
      <c r="C2140" s="279" t="s">
        <v>735</v>
      </c>
      <c r="D2140" s="159" t="s">
        <v>1201</v>
      </c>
      <c r="E2140" s="45">
        <f t="shared" si="170"/>
        <v>41824</v>
      </c>
      <c r="F2140" s="148" t="str">
        <f t="shared" si="167"/>
        <v>2014-15</v>
      </c>
      <c r="G2140" s="1"/>
      <c r="H2140" s="163"/>
      <c r="I2140" s="37"/>
      <c r="J2140" s="138">
        <f t="shared" si="171"/>
        <v>0.77968490742404351</v>
      </c>
      <c r="K2140" s="114"/>
      <c r="L2140" s="37">
        <v>4.9987490435100002</v>
      </c>
      <c r="M2140" s="37" t="s">
        <v>142</v>
      </c>
      <c r="N2140" s="37">
        <v>696.6467060487804</v>
      </c>
      <c r="O2140" s="132">
        <f t="shared" si="168"/>
        <v>3482.3620555257335</v>
      </c>
      <c r="P2140" s="134">
        <f t="shared" si="169"/>
        <v>2715.1451368795833</v>
      </c>
      <c r="Q2140" s="261">
        <v>1</v>
      </c>
      <c r="R2140" s="94"/>
    </row>
    <row r="2141" spans="1:18" x14ac:dyDescent="0.25">
      <c r="A2141" s="367">
        <v>41824</v>
      </c>
      <c r="B2141" s="367" t="s">
        <v>279</v>
      </c>
      <c r="C2141" s="279" t="s">
        <v>735</v>
      </c>
      <c r="D2141" s="159" t="s">
        <v>1201</v>
      </c>
      <c r="E2141" s="45">
        <f t="shared" si="170"/>
        <v>41824</v>
      </c>
      <c r="F2141" s="148" t="str">
        <f t="shared" si="167"/>
        <v>2014-15</v>
      </c>
      <c r="G2141" s="1"/>
      <c r="H2141" s="163"/>
      <c r="I2141" s="37"/>
      <c r="J2141" s="138">
        <f t="shared" si="171"/>
        <v>0.77968490742404351</v>
      </c>
      <c r="K2141" s="114"/>
      <c r="L2141" s="37">
        <v>90.450775846499994</v>
      </c>
      <c r="M2141" s="37" t="s">
        <v>142</v>
      </c>
      <c r="N2141" s="37">
        <v>1003.0093919999996</v>
      </c>
      <c r="O2141" s="132">
        <f t="shared" si="168"/>
        <v>90722.977687726205</v>
      </c>
      <c r="P2141" s="134">
        <f t="shared" si="169"/>
        <v>70735.336459688377</v>
      </c>
      <c r="Q2141" s="261">
        <v>1</v>
      </c>
      <c r="R2141" s="94"/>
    </row>
    <row r="2142" spans="1:18" x14ac:dyDescent="0.25">
      <c r="A2142" s="367">
        <v>41824</v>
      </c>
      <c r="B2142" s="367" t="s">
        <v>279</v>
      </c>
      <c r="C2142" s="279" t="s">
        <v>735</v>
      </c>
      <c r="D2142" s="159" t="s">
        <v>1201</v>
      </c>
      <c r="E2142" s="45">
        <f t="shared" si="170"/>
        <v>41824</v>
      </c>
      <c r="F2142" s="148" t="str">
        <f t="shared" si="167"/>
        <v>2014-15</v>
      </c>
      <c r="G2142" s="1"/>
      <c r="H2142" s="163"/>
      <c r="I2142" s="37"/>
      <c r="J2142" s="138">
        <f t="shared" si="171"/>
        <v>0.77968490742404351</v>
      </c>
      <c r="K2142" s="114"/>
      <c r="L2142" s="37">
        <v>1.79934820412</v>
      </c>
      <c r="M2142" s="37" t="s">
        <v>142</v>
      </c>
      <c r="N2142" s="37">
        <v>1003.0093919999996</v>
      </c>
      <c r="O2142" s="132">
        <f t="shared" si="168"/>
        <v>1804.7631482106924</v>
      </c>
      <c r="P2142" s="134">
        <f t="shared" si="169"/>
        <v>1407.1465881349791</v>
      </c>
      <c r="Q2142" s="261">
        <v>1</v>
      </c>
      <c r="R2142" s="94"/>
    </row>
    <row r="2143" spans="1:18" x14ac:dyDescent="0.25">
      <c r="A2143" s="367">
        <v>40393</v>
      </c>
      <c r="B2143" s="367" t="s">
        <v>279</v>
      </c>
      <c r="C2143" s="279" t="s">
        <v>736</v>
      </c>
      <c r="D2143" s="159" t="s">
        <v>1202</v>
      </c>
      <c r="E2143" s="45">
        <f t="shared" si="170"/>
        <v>40393</v>
      </c>
      <c r="F2143" s="148" t="str">
        <f t="shared" si="167"/>
        <v>2010-11</v>
      </c>
      <c r="G2143" s="1"/>
      <c r="H2143" s="163"/>
      <c r="I2143" s="37"/>
      <c r="J2143" s="138">
        <f t="shared" si="171"/>
        <v>0.77968490742404351</v>
      </c>
      <c r="K2143" s="114"/>
      <c r="L2143" s="37">
        <v>7.0201018556700001</v>
      </c>
      <c r="M2143" s="37" t="s">
        <v>142</v>
      </c>
      <c r="N2143" s="37">
        <v>936.5640883902438</v>
      </c>
      <c r="O2143" s="132">
        <f t="shared" si="168"/>
        <v>6574.7752948622328</v>
      </c>
      <c r="P2143" s="134">
        <f t="shared" si="169"/>
        <v>5126.2530671085487</v>
      </c>
      <c r="Q2143" s="261">
        <v>1</v>
      </c>
      <c r="R2143" s="94"/>
    </row>
    <row r="2144" spans="1:18" x14ac:dyDescent="0.25">
      <c r="A2144" s="367">
        <v>40163</v>
      </c>
      <c r="B2144" s="367" t="s">
        <v>279</v>
      </c>
      <c r="C2144" s="279" t="s">
        <v>737</v>
      </c>
      <c r="D2144" s="159" t="s">
        <v>1203</v>
      </c>
      <c r="E2144" s="45">
        <f t="shared" si="170"/>
        <v>40163</v>
      </c>
      <c r="F2144" s="148" t="str">
        <f t="shared" si="167"/>
        <v>2009-10</v>
      </c>
      <c r="G2144" s="1"/>
      <c r="H2144" s="163"/>
      <c r="I2144" s="37"/>
      <c r="J2144" s="138">
        <f t="shared" si="171"/>
        <v>0.77968490742404351</v>
      </c>
      <c r="K2144" s="114"/>
      <c r="L2144" s="37">
        <v>1.9988690482</v>
      </c>
      <c r="M2144" s="37" t="s">
        <v>142</v>
      </c>
      <c r="N2144" s="37">
        <v>936.5640883902438</v>
      </c>
      <c r="O2144" s="132">
        <f t="shared" si="168"/>
        <v>1872.0689679389072</v>
      </c>
      <c r="P2144" s="134">
        <f t="shared" si="169"/>
        <v>1459.6239199588715</v>
      </c>
      <c r="Q2144" s="261">
        <v>1</v>
      </c>
      <c r="R2144" s="94"/>
    </row>
    <row r="2145" spans="1:18" x14ac:dyDescent="0.25">
      <c r="A2145" s="367">
        <v>40464</v>
      </c>
      <c r="B2145" s="367" t="s">
        <v>279</v>
      </c>
      <c r="C2145" s="279" t="s">
        <v>738</v>
      </c>
      <c r="D2145" s="159" t="s">
        <v>1203</v>
      </c>
      <c r="E2145" s="45">
        <f t="shared" si="170"/>
        <v>40464</v>
      </c>
      <c r="F2145" s="148" t="str">
        <f t="shared" si="167"/>
        <v>2010-11</v>
      </c>
      <c r="G2145" s="1"/>
      <c r="H2145" s="163"/>
      <c r="I2145" s="37"/>
      <c r="J2145" s="138">
        <f t="shared" si="171"/>
        <v>0.77968490742404351</v>
      </c>
      <c r="K2145" s="114"/>
      <c r="L2145" s="37">
        <v>3.97188736347</v>
      </c>
      <c r="M2145" s="37" t="s">
        <v>142</v>
      </c>
      <c r="N2145" s="37">
        <v>936.5640883902438</v>
      </c>
      <c r="O2145" s="132">
        <f t="shared" si="168"/>
        <v>3719.9270677570094</v>
      </c>
      <c r="P2145" s="134">
        <f t="shared" si="169"/>
        <v>2900.3709914483175</v>
      </c>
      <c r="Q2145" s="261">
        <v>1</v>
      </c>
      <c r="R2145" s="94"/>
    </row>
    <row r="2146" spans="1:18" x14ac:dyDescent="0.25">
      <c r="A2146" s="367">
        <v>40464</v>
      </c>
      <c r="B2146" s="367" t="s">
        <v>279</v>
      </c>
      <c r="C2146" s="279" t="s">
        <v>738</v>
      </c>
      <c r="D2146" s="159" t="s">
        <v>1203</v>
      </c>
      <c r="E2146" s="45">
        <f t="shared" si="170"/>
        <v>40464</v>
      </c>
      <c r="F2146" s="148" t="str">
        <f t="shared" si="167"/>
        <v>2010-11</v>
      </c>
      <c r="G2146" s="1"/>
      <c r="H2146" s="163"/>
      <c r="I2146" s="37"/>
      <c r="J2146" s="138">
        <f t="shared" si="171"/>
        <v>0.77968490742404351</v>
      </c>
      <c r="K2146" s="114"/>
      <c r="L2146" s="37">
        <v>113.749273419</v>
      </c>
      <c r="M2146" s="37" t="s">
        <v>142</v>
      </c>
      <c r="N2146" s="37">
        <v>936.5640883902438</v>
      </c>
      <c r="O2146" s="132">
        <f t="shared" si="168"/>
        <v>106533.48456471832</v>
      </c>
      <c r="P2146" s="134">
        <f t="shared" si="169"/>
        <v>83062.550050403181</v>
      </c>
      <c r="Q2146" s="261">
        <v>1</v>
      </c>
      <c r="R2146" s="94"/>
    </row>
    <row r="2147" spans="1:18" x14ac:dyDescent="0.25">
      <c r="A2147" s="367">
        <v>40464</v>
      </c>
      <c r="B2147" s="367" t="s">
        <v>279</v>
      </c>
      <c r="C2147" s="279" t="s">
        <v>738</v>
      </c>
      <c r="D2147" s="159" t="s">
        <v>1203</v>
      </c>
      <c r="E2147" s="45">
        <f t="shared" si="170"/>
        <v>40464</v>
      </c>
      <c r="F2147" s="148" t="str">
        <f t="shared" si="167"/>
        <v>2010-11</v>
      </c>
      <c r="G2147" s="1"/>
      <c r="H2147" s="163"/>
      <c r="I2147" s="37"/>
      <c r="J2147" s="138">
        <f t="shared" si="171"/>
        <v>0.77968490742404351</v>
      </c>
      <c r="K2147" s="114"/>
      <c r="L2147" s="37">
        <v>6.23461213662</v>
      </c>
      <c r="M2147" s="37" t="s">
        <v>142</v>
      </c>
      <c r="N2147" s="37">
        <v>936.5640883902438</v>
      </c>
      <c r="O2147" s="132">
        <f t="shared" si="168"/>
        <v>5839.1138322002607</v>
      </c>
      <c r="P2147" s="134">
        <f t="shared" si="169"/>
        <v>4552.6689276975121</v>
      </c>
      <c r="Q2147" s="261">
        <v>1</v>
      </c>
      <c r="R2147" s="94"/>
    </row>
    <row r="2148" spans="1:18" x14ac:dyDescent="0.25">
      <c r="A2148" s="367">
        <v>40464</v>
      </c>
      <c r="B2148" s="367" t="s">
        <v>279</v>
      </c>
      <c r="C2148" s="279" t="s">
        <v>738</v>
      </c>
      <c r="D2148" s="159" t="s">
        <v>1203</v>
      </c>
      <c r="E2148" s="45">
        <f t="shared" si="170"/>
        <v>40464</v>
      </c>
      <c r="F2148" s="148" t="str">
        <f t="shared" si="167"/>
        <v>2010-11</v>
      </c>
      <c r="G2148" s="1"/>
      <c r="H2148" s="163"/>
      <c r="I2148" s="37"/>
      <c r="J2148" s="138">
        <f t="shared" si="171"/>
        <v>0.77968490742404351</v>
      </c>
      <c r="K2148" s="114"/>
      <c r="L2148" s="37">
        <v>235.254324865</v>
      </c>
      <c r="M2148" s="37" t="s">
        <v>142</v>
      </c>
      <c r="N2148" s="37">
        <v>936.5640883902438</v>
      </c>
      <c r="O2148" s="132">
        <f t="shared" si="168"/>
        <v>220330.75230705098</v>
      </c>
      <c r="P2148" s="134">
        <f t="shared" si="169"/>
        <v>171788.56221519291</v>
      </c>
      <c r="Q2148" s="261">
        <v>1</v>
      </c>
      <c r="R2148" s="94"/>
    </row>
    <row r="2149" spans="1:18" x14ac:dyDescent="0.25">
      <c r="A2149" s="367">
        <v>40464</v>
      </c>
      <c r="B2149" s="367" t="s">
        <v>279</v>
      </c>
      <c r="C2149" s="279" t="s">
        <v>738</v>
      </c>
      <c r="D2149" s="159" t="s">
        <v>1203</v>
      </c>
      <c r="E2149" s="45">
        <f t="shared" si="170"/>
        <v>40464</v>
      </c>
      <c r="F2149" s="148" t="str">
        <f t="shared" si="167"/>
        <v>2010-11</v>
      </c>
      <c r="G2149" s="1"/>
      <c r="H2149" s="163"/>
      <c r="I2149" s="37"/>
      <c r="J2149" s="138">
        <f t="shared" si="171"/>
        <v>0.77968490742404351</v>
      </c>
      <c r="K2149" s="114"/>
      <c r="L2149" s="37">
        <v>5.1484469200899996</v>
      </c>
      <c r="M2149" s="37" t="s">
        <v>142</v>
      </c>
      <c r="N2149" s="37">
        <v>936.5640883902438</v>
      </c>
      <c r="O2149" s="132">
        <f t="shared" si="168"/>
        <v>4821.850496339649</v>
      </c>
      <c r="P2149" s="134">
        <f t="shared" si="169"/>
        <v>3759.5240578511575</v>
      </c>
      <c r="Q2149" s="261">
        <v>1</v>
      </c>
      <c r="R2149" s="94"/>
    </row>
    <row r="2150" spans="1:18" x14ac:dyDescent="0.25">
      <c r="A2150" s="367">
        <v>40464</v>
      </c>
      <c r="B2150" s="367" t="s">
        <v>279</v>
      </c>
      <c r="C2150" s="279" t="s">
        <v>738</v>
      </c>
      <c r="D2150" s="159" t="s">
        <v>1203</v>
      </c>
      <c r="E2150" s="45">
        <f t="shared" si="170"/>
        <v>40464</v>
      </c>
      <c r="F2150" s="148" t="str">
        <f t="shared" si="167"/>
        <v>2010-11</v>
      </c>
      <c r="G2150" s="1"/>
      <c r="H2150" s="163"/>
      <c r="I2150" s="37"/>
      <c r="J2150" s="138">
        <f t="shared" si="171"/>
        <v>0.77968490742404351</v>
      </c>
      <c r="K2150" s="114"/>
      <c r="L2150" s="37">
        <v>1.3739086578099999</v>
      </c>
      <c r="M2150" s="37" t="s">
        <v>142</v>
      </c>
      <c r="N2150" s="37">
        <v>771.6404230243902</v>
      </c>
      <c r="O2150" s="132">
        <f t="shared" si="168"/>
        <v>1060.1634579093804</v>
      </c>
      <c r="P2150" s="134">
        <f t="shared" si="169"/>
        <v>826.59344753442917</v>
      </c>
      <c r="Q2150" s="261">
        <v>1</v>
      </c>
      <c r="R2150" s="94"/>
    </row>
    <row r="2151" spans="1:18" x14ac:dyDescent="0.25">
      <c r="A2151" s="367">
        <v>40464</v>
      </c>
      <c r="B2151" s="367" t="s">
        <v>279</v>
      </c>
      <c r="C2151" s="279" t="s">
        <v>738</v>
      </c>
      <c r="D2151" s="159" t="s">
        <v>1203</v>
      </c>
      <c r="E2151" s="45">
        <f t="shared" si="170"/>
        <v>40464</v>
      </c>
      <c r="F2151" s="148" t="str">
        <f t="shared" si="167"/>
        <v>2010-11</v>
      </c>
      <c r="G2151" s="1"/>
      <c r="H2151" s="163"/>
      <c r="I2151" s="37"/>
      <c r="J2151" s="138">
        <f t="shared" si="171"/>
        <v>0.77968490742404351</v>
      </c>
      <c r="K2151" s="114"/>
      <c r="L2151" s="37">
        <v>25.308447215499999</v>
      </c>
      <c r="M2151" s="37" t="s">
        <v>142</v>
      </c>
      <c r="N2151" s="37">
        <v>771.6404230243902</v>
      </c>
      <c r="O2151" s="132">
        <f t="shared" si="168"/>
        <v>19529.02091545887</v>
      </c>
      <c r="P2151" s="134">
        <f t="shared" si="169"/>
        <v>15226.482864551759</v>
      </c>
      <c r="Q2151" s="261">
        <v>1</v>
      </c>
      <c r="R2151" s="94"/>
    </row>
    <row r="2152" spans="1:18" x14ac:dyDescent="0.25">
      <c r="A2152" s="367">
        <v>41779</v>
      </c>
      <c r="B2152" s="367" t="s">
        <v>279</v>
      </c>
      <c r="C2152" s="279" t="s">
        <v>739</v>
      </c>
      <c r="D2152" s="159" t="s">
        <v>1204</v>
      </c>
      <c r="E2152" s="45">
        <f t="shared" si="170"/>
        <v>41779</v>
      </c>
      <c r="F2152" s="148" t="str">
        <f t="shared" si="167"/>
        <v>2013-14</v>
      </c>
      <c r="G2152" s="1"/>
      <c r="H2152" s="163"/>
      <c r="I2152" s="37"/>
      <c r="J2152" s="138">
        <f t="shared" si="171"/>
        <v>0.77968490742404351</v>
      </c>
      <c r="K2152" s="114"/>
      <c r="L2152" s="37">
        <v>167.853154491</v>
      </c>
      <c r="M2152" s="37" t="s">
        <v>142</v>
      </c>
      <c r="N2152" s="37">
        <v>1003.0093919999996</v>
      </c>
      <c r="O2152" s="132">
        <f t="shared" si="168"/>
        <v>168358.29043129992</v>
      </c>
      <c r="P2152" s="134">
        <f t="shared" si="169"/>
        <v>131266.4180889983</v>
      </c>
      <c r="Q2152" s="261">
        <v>1</v>
      </c>
      <c r="R2152" s="94"/>
    </row>
    <row r="2153" spans="1:18" x14ac:dyDescent="0.25">
      <c r="A2153" s="367">
        <v>41779</v>
      </c>
      <c r="B2153" s="367" t="s">
        <v>279</v>
      </c>
      <c r="C2153" s="279" t="s">
        <v>739</v>
      </c>
      <c r="D2153" s="159" t="s">
        <v>1204</v>
      </c>
      <c r="E2153" s="45">
        <f t="shared" si="170"/>
        <v>41779</v>
      </c>
      <c r="F2153" s="148" t="str">
        <f t="shared" si="167"/>
        <v>2013-14</v>
      </c>
      <c r="G2153" s="1"/>
      <c r="H2153" s="163"/>
      <c r="I2153" s="37"/>
      <c r="J2153" s="138">
        <f t="shared" si="171"/>
        <v>0.77968490742404351</v>
      </c>
      <c r="K2153" s="114"/>
      <c r="L2153" s="37">
        <v>2.3863203892199998</v>
      </c>
      <c r="M2153" s="37" t="s">
        <v>142</v>
      </c>
      <c r="N2153" s="37">
        <v>1003.0093919999996</v>
      </c>
      <c r="O2153" s="132">
        <f t="shared" si="168"/>
        <v>2393.5017627087545</v>
      </c>
      <c r="P2153" s="134">
        <f t="shared" si="169"/>
        <v>1866.1772002768603</v>
      </c>
      <c r="Q2153" s="261">
        <v>1</v>
      </c>
      <c r="R2153" s="94"/>
    </row>
    <row r="2154" spans="1:18" x14ac:dyDescent="0.25">
      <c r="A2154" s="367">
        <v>41779</v>
      </c>
      <c r="B2154" s="367" t="s">
        <v>279</v>
      </c>
      <c r="C2154" s="279" t="s">
        <v>739</v>
      </c>
      <c r="D2154" s="159" t="s">
        <v>1204</v>
      </c>
      <c r="E2154" s="45">
        <f t="shared" si="170"/>
        <v>41779</v>
      </c>
      <c r="F2154" s="148" t="str">
        <f t="shared" si="167"/>
        <v>2013-14</v>
      </c>
      <c r="G2154" s="1"/>
      <c r="H2154" s="163"/>
      <c r="I2154" s="37"/>
      <c r="J2154" s="138">
        <f t="shared" si="171"/>
        <v>0.77968490742404351</v>
      </c>
      <c r="K2154" s="114"/>
      <c r="L2154" s="37">
        <v>8.4755559717200004</v>
      </c>
      <c r="M2154" s="37" t="s">
        <v>142</v>
      </c>
      <c r="N2154" s="37">
        <v>1003.0093919999996</v>
      </c>
      <c r="O2154" s="132">
        <f t="shared" si="168"/>
        <v>8501.0622420568434</v>
      </c>
      <c r="P2154" s="134">
        <f t="shared" si="169"/>
        <v>6628.1499272041219</v>
      </c>
      <c r="Q2154" s="261">
        <v>1</v>
      </c>
      <c r="R2154" s="94"/>
    </row>
    <row r="2155" spans="1:18" x14ac:dyDescent="0.25">
      <c r="A2155" s="367">
        <v>40753</v>
      </c>
      <c r="B2155" s="367" t="s">
        <v>279</v>
      </c>
      <c r="C2155" s="279" t="s">
        <v>614</v>
      </c>
      <c r="D2155" s="159" t="s">
        <v>1205</v>
      </c>
      <c r="E2155" s="45">
        <f t="shared" si="170"/>
        <v>40753</v>
      </c>
      <c r="F2155" s="148" t="str">
        <f t="shared" si="167"/>
        <v>2011-12</v>
      </c>
      <c r="G2155" s="1"/>
      <c r="H2155" s="163"/>
      <c r="I2155" s="37"/>
      <c r="J2155" s="138">
        <f t="shared" si="171"/>
        <v>0.77968490742404351</v>
      </c>
      <c r="K2155" s="114"/>
      <c r="L2155" s="37">
        <v>3.1989761526699998</v>
      </c>
      <c r="M2155" s="37" t="s">
        <v>142</v>
      </c>
      <c r="N2155" s="37">
        <v>936.5640883902438</v>
      </c>
      <c r="O2155" s="132">
        <f t="shared" si="168"/>
        <v>2996.0461842075078</v>
      </c>
      <c r="P2155" s="134">
        <f t="shared" si="169"/>
        <v>2335.9719917719895</v>
      </c>
      <c r="Q2155" s="261">
        <v>1</v>
      </c>
      <c r="R2155" s="94"/>
    </row>
    <row r="2156" spans="1:18" x14ac:dyDescent="0.25">
      <c r="A2156" s="367">
        <v>40249</v>
      </c>
      <c r="B2156" s="367" t="s">
        <v>279</v>
      </c>
      <c r="C2156" s="279" t="s">
        <v>290</v>
      </c>
      <c r="D2156" s="159" t="s">
        <v>1206</v>
      </c>
      <c r="E2156" s="45">
        <f t="shared" si="170"/>
        <v>40249</v>
      </c>
      <c r="F2156" s="148" t="str">
        <f t="shared" si="167"/>
        <v>2009-10</v>
      </c>
      <c r="G2156" s="1"/>
      <c r="H2156" s="163"/>
      <c r="I2156" s="37"/>
      <c r="J2156" s="138">
        <f t="shared" si="171"/>
        <v>0.77968490742404351</v>
      </c>
      <c r="K2156" s="114"/>
      <c r="L2156" s="37">
        <v>3.9988340416499999</v>
      </c>
      <c r="M2156" s="37" t="s">
        <v>142</v>
      </c>
      <c r="N2156" s="37">
        <v>1385.4167692682922</v>
      </c>
      <c r="O2156" s="132">
        <f t="shared" si="168"/>
        <v>5540.05173882281</v>
      </c>
      <c r="P2156" s="134">
        <f t="shared" si="169"/>
        <v>4319.4947271084739</v>
      </c>
      <c r="Q2156" s="261">
        <v>1</v>
      </c>
      <c r="R2156" s="94"/>
    </row>
    <row r="2157" spans="1:18" x14ac:dyDescent="0.25">
      <c r="A2157" s="367">
        <v>40851</v>
      </c>
      <c r="B2157" s="367" t="s">
        <v>279</v>
      </c>
      <c r="C2157" s="279" t="s">
        <v>740</v>
      </c>
      <c r="D2157" s="159" t="s">
        <v>1207</v>
      </c>
      <c r="E2157" s="45">
        <f t="shared" si="170"/>
        <v>40851</v>
      </c>
      <c r="F2157" s="148" t="str">
        <f t="shared" si="167"/>
        <v>2011-12</v>
      </c>
      <c r="G2157" s="1"/>
      <c r="H2157" s="163"/>
      <c r="I2157" s="37"/>
      <c r="J2157" s="138">
        <f t="shared" si="171"/>
        <v>0.77968490742404351</v>
      </c>
      <c r="K2157" s="114"/>
      <c r="L2157" s="37">
        <v>2.9996849391299998</v>
      </c>
      <c r="M2157" s="37" t="s">
        <v>142</v>
      </c>
      <c r="N2157" s="37">
        <v>696.6467060487804</v>
      </c>
      <c r="O2157" s="132">
        <f t="shared" si="168"/>
        <v>2089.7206320290506</v>
      </c>
      <c r="P2157" s="134">
        <f t="shared" si="169"/>
        <v>1629.323637525684</v>
      </c>
      <c r="Q2157" s="261">
        <v>1</v>
      </c>
      <c r="R2157" s="94"/>
    </row>
    <row r="2158" spans="1:18" x14ac:dyDescent="0.25">
      <c r="A2158" s="367">
        <v>40851</v>
      </c>
      <c r="B2158" s="367" t="s">
        <v>279</v>
      </c>
      <c r="C2158" s="279" t="s">
        <v>740</v>
      </c>
      <c r="D2158" s="159" t="s">
        <v>1207</v>
      </c>
      <c r="E2158" s="45">
        <f t="shared" si="170"/>
        <v>40851</v>
      </c>
      <c r="F2158" s="148" t="str">
        <f t="shared" si="167"/>
        <v>2011-12</v>
      </c>
      <c r="G2158" s="1"/>
      <c r="H2158" s="163"/>
      <c r="I2158" s="37"/>
      <c r="J2158" s="138">
        <f t="shared" si="171"/>
        <v>0.77968490742404351</v>
      </c>
      <c r="K2158" s="114"/>
      <c r="L2158" s="37">
        <v>4.1422091931700002</v>
      </c>
      <c r="M2158" s="37" t="s">
        <v>142</v>
      </c>
      <c r="N2158" s="37">
        <v>696.6467060487804</v>
      </c>
      <c r="O2158" s="132">
        <f t="shared" si="168"/>
        <v>2885.6563901868572</v>
      </c>
      <c r="P2158" s="134">
        <f t="shared" si="169"/>
        <v>2249.9027354404393</v>
      </c>
      <c r="Q2158" s="261">
        <v>1</v>
      </c>
      <c r="R2158" s="94"/>
    </row>
    <row r="2159" spans="1:18" x14ac:dyDescent="0.25">
      <c r="A2159" s="367">
        <v>40542</v>
      </c>
      <c r="B2159" s="367" t="s">
        <v>279</v>
      </c>
      <c r="C2159" s="279" t="s">
        <v>741</v>
      </c>
      <c r="D2159" s="159" t="s">
        <v>1207</v>
      </c>
      <c r="E2159" s="45">
        <f t="shared" si="170"/>
        <v>40542</v>
      </c>
      <c r="F2159" s="148" t="str">
        <f t="shared" si="167"/>
        <v>2010-11</v>
      </c>
      <c r="G2159" s="1"/>
      <c r="H2159" s="163"/>
      <c r="I2159" s="37"/>
      <c r="J2159" s="138">
        <f t="shared" si="171"/>
        <v>0.77968490742404351</v>
      </c>
      <c r="K2159" s="114"/>
      <c r="L2159" s="37">
        <v>101.450029777</v>
      </c>
      <c r="M2159" s="37" t="s">
        <v>142</v>
      </c>
      <c r="N2159" s="37">
        <v>1272.2340968780488</v>
      </c>
      <c r="O2159" s="132">
        <f t="shared" si="168"/>
        <v>129068.18701159276</v>
      </c>
      <c r="P2159" s="134">
        <f t="shared" si="169"/>
        <v>100632.51744152284</v>
      </c>
      <c r="Q2159" s="261">
        <v>1</v>
      </c>
      <c r="R2159" s="94"/>
    </row>
    <row r="2160" spans="1:18" x14ac:dyDescent="0.25">
      <c r="A2160" s="367">
        <v>40542</v>
      </c>
      <c r="B2160" s="367" t="s">
        <v>279</v>
      </c>
      <c r="C2160" s="279" t="s">
        <v>741</v>
      </c>
      <c r="D2160" s="159" t="s">
        <v>1207</v>
      </c>
      <c r="E2160" s="45">
        <f t="shared" si="170"/>
        <v>40542</v>
      </c>
      <c r="F2160" s="148" t="str">
        <f t="shared" si="167"/>
        <v>2010-11</v>
      </c>
      <c r="G2160" s="1"/>
      <c r="H2160" s="163"/>
      <c r="I2160" s="37"/>
      <c r="J2160" s="138">
        <f t="shared" si="171"/>
        <v>0.77968490742404351</v>
      </c>
      <c r="K2160" s="114"/>
      <c r="L2160" s="37">
        <v>4.4995294238500003</v>
      </c>
      <c r="M2160" s="37" t="s">
        <v>142</v>
      </c>
      <c r="N2160" s="37">
        <v>771.6404230243902</v>
      </c>
      <c r="O2160" s="132">
        <f t="shared" si="168"/>
        <v>3472.0187880303051</v>
      </c>
      <c r="P2160" s="134">
        <f t="shared" si="169"/>
        <v>2707.0806473199482</v>
      </c>
      <c r="Q2160" s="261">
        <v>1</v>
      </c>
      <c r="R2160" s="94"/>
    </row>
    <row r="2161" spans="1:18" x14ac:dyDescent="0.25">
      <c r="A2161" s="367">
        <v>40542</v>
      </c>
      <c r="B2161" s="367" t="s">
        <v>279</v>
      </c>
      <c r="C2161" s="279" t="s">
        <v>741</v>
      </c>
      <c r="D2161" s="159" t="s">
        <v>1207</v>
      </c>
      <c r="E2161" s="45">
        <f t="shared" si="170"/>
        <v>40542</v>
      </c>
      <c r="F2161" s="148" t="str">
        <f t="shared" si="167"/>
        <v>2010-11</v>
      </c>
      <c r="G2161" s="1"/>
      <c r="H2161" s="163"/>
      <c r="I2161" s="37"/>
      <c r="J2161" s="138">
        <f t="shared" si="171"/>
        <v>0.77968490742404351</v>
      </c>
      <c r="K2161" s="114"/>
      <c r="L2161" s="37">
        <v>17.633804229900001</v>
      </c>
      <c r="M2161" s="37" t="s">
        <v>142</v>
      </c>
      <c r="N2161" s="37">
        <v>771.6404230243902</v>
      </c>
      <c r="O2161" s="132">
        <f t="shared" si="168"/>
        <v>13606.956155489317</v>
      </c>
      <c r="P2161" s="134">
        <f t="shared" si="169"/>
        <v>10609.138350415707</v>
      </c>
      <c r="Q2161" s="261">
        <v>1</v>
      </c>
      <c r="R2161" s="94"/>
    </row>
    <row r="2162" spans="1:18" x14ac:dyDescent="0.25">
      <c r="A2162" s="367">
        <v>40542</v>
      </c>
      <c r="B2162" s="367" t="s">
        <v>279</v>
      </c>
      <c r="C2162" s="279" t="s">
        <v>741</v>
      </c>
      <c r="D2162" s="159" t="s">
        <v>1207</v>
      </c>
      <c r="E2162" s="45">
        <f t="shared" si="170"/>
        <v>40542</v>
      </c>
      <c r="F2162" s="148" t="str">
        <f t="shared" si="167"/>
        <v>2010-11</v>
      </c>
      <c r="G2162" s="1"/>
      <c r="H2162" s="163"/>
      <c r="I2162" s="37"/>
      <c r="J2162" s="138">
        <f t="shared" si="171"/>
        <v>0.77968490742404351</v>
      </c>
      <c r="K2162" s="114"/>
      <c r="L2162" s="37">
        <v>2.3342444173699999</v>
      </c>
      <c r="M2162" s="37" t="s">
        <v>142</v>
      </c>
      <c r="N2162" s="37">
        <v>696.6467060487804</v>
      </c>
      <c r="O2162" s="132">
        <f t="shared" si="168"/>
        <v>1626.1436844735649</v>
      </c>
      <c r="P2162" s="134">
        <f t="shared" si="169"/>
        <v>1267.8796880869645</v>
      </c>
      <c r="Q2162" s="261">
        <v>1</v>
      </c>
      <c r="R2162" s="94"/>
    </row>
    <row r="2163" spans="1:18" x14ac:dyDescent="0.25">
      <c r="A2163" s="367">
        <v>40542</v>
      </c>
      <c r="B2163" s="367" t="s">
        <v>279</v>
      </c>
      <c r="C2163" s="279" t="s">
        <v>741</v>
      </c>
      <c r="D2163" s="159" t="s">
        <v>1207</v>
      </c>
      <c r="E2163" s="45">
        <f t="shared" si="170"/>
        <v>40542</v>
      </c>
      <c r="F2163" s="148" t="str">
        <f t="shared" si="167"/>
        <v>2010-11</v>
      </c>
      <c r="G2163" s="1"/>
      <c r="H2163" s="163"/>
      <c r="I2163" s="37"/>
      <c r="J2163" s="138">
        <f t="shared" si="171"/>
        <v>0.77968490742404351</v>
      </c>
      <c r="K2163" s="114"/>
      <c r="L2163" s="37">
        <v>0.60868546885899999</v>
      </c>
      <c r="M2163" s="37" t="s">
        <v>142</v>
      </c>
      <c r="N2163" s="37">
        <v>696.6467060487804</v>
      </c>
      <c r="O2163" s="132">
        <f t="shared" si="168"/>
        <v>424.03872690037986</v>
      </c>
      <c r="P2163" s="134">
        <f t="shared" si="169"/>
        <v>330.61659552753196</v>
      </c>
      <c r="Q2163" s="261">
        <v>1</v>
      </c>
      <c r="R2163" s="94"/>
    </row>
    <row r="2164" spans="1:18" x14ac:dyDescent="0.25">
      <c r="A2164" s="367">
        <v>40542</v>
      </c>
      <c r="B2164" s="367" t="s">
        <v>279</v>
      </c>
      <c r="C2164" s="279" t="s">
        <v>741</v>
      </c>
      <c r="D2164" s="159" t="s">
        <v>1207</v>
      </c>
      <c r="E2164" s="45">
        <f t="shared" si="170"/>
        <v>40542</v>
      </c>
      <c r="F2164" s="148" t="str">
        <f t="shared" si="167"/>
        <v>2010-11</v>
      </c>
      <c r="G2164" s="1"/>
      <c r="H2164" s="163"/>
      <c r="I2164" s="37"/>
      <c r="J2164" s="138">
        <f t="shared" si="171"/>
        <v>0.77968490742404351</v>
      </c>
      <c r="K2164" s="114"/>
      <c r="L2164" s="37">
        <v>9.5061394383700009</v>
      </c>
      <c r="M2164" s="37" t="s">
        <v>142</v>
      </c>
      <c r="N2164" s="37">
        <v>696.6467060487804</v>
      </c>
      <c r="O2164" s="132">
        <f t="shared" si="168"/>
        <v>6622.4207269808649</v>
      </c>
      <c r="P2164" s="134">
        <f t="shared" si="169"/>
        <v>5163.4014914391428</v>
      </c>
      <c r="Q2164" s="261">
        <v>1</v>
      </c>
      <c r="R2164" s="94"/>
    </row>
    <row r="2165" spans="1:18" x14ac:dyDescent="0.25">
      <c r="A2165" s="367">
        <v>40753</v>
      </c>
      <c r="B2165" s="367" t="s">
        <v>279</v>
      </c>
      <c r="C2165" s="279" t="s">
        <v>614</v>
      </c>
      <c r="D2165" s="159" t="s">
        <v>1205</v>
      </c>
      <c r="E2165" s="45">
        <f t="shared" si="170"/>
        <v>40753</v>
      </c>
      <c r="F2165" s="148" t="str">
        <f t="shared" si="167"/>
        <v>2011-12</v>
      </c>
      <c r="G2165" s="1"/>
      <c r="H2165" s="163"/>
      <c r="I2165" s="37"/>
      <c r="J2165" s="138">
        <f t="shared" si="171"/>
        <v>0.77968490742404351</v>
      </c>
      <c r="K2165" s="114"/>
      <c r="L2165" s="37">
        <v>4.4110821496700003</v>
      </c>
      <c r="M2165" s="37" t="s">
        <v>142</v>
      </c>
      <c r="N2165" s="37">
        <v>936.5640883902438</v>
      </c>
      <c r="O2165" s="132">
        <f t="shared" si="168"/>
        <v>4131.2611323201609</v>
      </c>
      <c r="P2165" s="134">
        <f t="shared" si="169"/>
        <v>3221.081953497594</v>
      </c>
      <c r="Q2165" s="261">
        <v>1</v>
      </c>
      <c r="R2165" s="94"/>
    </row>
    <row r="2166" spans="1:18" x14ac:dyDescent="0.25">
      <c r="A2166" s="367">
        <v>39416</v>
      </c>
      <c r="B2166" s="367" t="s">
        <v>279</v>
      </c>
      <c r="C2166" s="279" t="s">
        <v>565</v>
      </c>
      <c r="D2166" s="159" t="s">
        <v>1208</v>
      </c>
      <c r="E2166" s="45">
        <f t="shared" si="170"/>
        <v>39416</v>
      </c>
      <c r="F2166" s="148" t="str">
        <f t="shared" si="167"/>
        <v>2007-08</v>
      </c>
      <c r="G2166" s="1"/>
      <c r="H2166" s="163"/>
      <c r="I2166" s="37"/>
      <c r="J2166" s="138">
        <f t="shared" si="171"/>
        <v>0.77968490742404351</v>
      </c>
      <c r="K2166" s="114"/>
      <c r="L2166" s="37">
        <v>7.2341862483500003</v>
      </c>
      <c r="M2166" s="37" t="s">
        <v>142</v>
      </c>
      <c r="N2166" s="37">
        <v>3100.7755036097556</v>
      </c>
      <c r="O2166" s="132">
        <f t="shared" si="168"/>
        <v>22431.58750743424</v>
      </c>
      <c r="P2166" s="134">
        <f t="shared" si="169"/>
        <v>17489.570229108198</v>
      </c>
      <c r="Q2166" s="261">
        <v>1</v>
      </c>
      <c r="R2166" s="94"/>
    </row>
    <row r="2167" spans="1:18" x14ac:dyDescent="0.25">
      <c r="A2167" s="367">
        <v>39416</v>
      </c>
      <c r="B2167" s="367" t="s">
        <v>279</v>
      </c>
      <c r="C2167" s="279" t="s">
        <v>565</v>
      </c>
      <c r="D2167" s="159" t="s">
        <v>1208</v>
      </c>
      <c r="E2167" s="45">
        <f t="shared" si="170"/>
        <v>39416</v>
      </c>
      <c r="F2167" s="148" t="str">
        <f t="shared" si="167"/>
        <v>2007-08</v>
      </c>
      <c r="G2167" s="1"/>
      <c r="H2167" s="163"/>
      <c r="I2167" s="37"/>
      <c r="J2167" s="138">
        <f t="shared" si="171"/>
        <v>0.77968490742404351</v>
      </c>
      <c r="K2167" s="114"/>
      <c r="L2167" s="37">
        <v>1.7196436969</v>
      </c>
      <c r="M2167" s="37" t="s">
        <v>142</v>
      </c>
      <c r="N2167" s="37">
        <v>2042.4636684878049</v>
      </c>
      <c r="O2167" s="132">
        <f t="shared" si="168"/>
        <v>3512.3097736623049</v>
      </c>
      <c r="P2167" s="134">
        <f t="shared" si="169"/>
        <v>2738.4949207224572</v>
      </c>
      <c r="Q2167" s="261">
        <v>1</v>
      </c>
      <c r="R2167" s="94"/>
    </row>
    <row r="2168" spans="1:18" x14ac:dyDescent="0.25">
      <c r="A2168" s="367">
        <v>39416</v>
      </c>
      <c r="B2168" s="367" t="s">
        <v>279</v>
      </c>
      <c r="C2168" s="279" t="s">
        <v>565</v>
      </c>
      <c r="D2168" s="159" t="s">
        <v>1208</v>
      </c>
      <c r="E2168" s="45">
        <f t="shared" si="170"/>
        <v>39416</v>
      </c>
      <c r="F2168" s="148" t="str">
        <f t="shared" si="167"/>
        <v>2007-08</v>
      </c>
      <c r="G2168" s="1"/>
      <c r="H2168" s="163"/>
      <c r="I2168" s="37"/>
      <c r="J2168" s="138">
        <f t="shared" si="171"/>
        <v>0.77968490742404351</v>
      </c>
      <c r="K2168" s="114"/>
      <c r="L2168" s="37">
        <v>3.48385838493</v>
      </c>
      <c r="M2168" s="37" t="s">
        <v>142</v>
      </c>
      <c r="N2168" s="37">
        <v>2042.4636684878049</v>
      </c>
      <c r="O2168" s="132">
        <f t="shared" si="168"/>
        <v>7115.6541773761264</v>
      </c>
      <c r="P2168" s="134">
        <f t="shared" si="169"/>
        <v>5547.9681685490132</v>
      </c>
      <c r="Q2168" s="261">
        <v>1</v>
      </c>
      <c r="R2168" s="94"/>
    </row>
    <row r="2169" spans="1:18" x14ac:dyDescent="0.25">
      <c r="A2169" s="367">
        <v>39416</v>
      </c>
      <c r="B2169" s="367" t="s">
        <v>279</v>
      </c>
      <c r="C2169" s="279" t="s">
        <v>565</v>
      </c>
      <c r="D2169" s="159" t="s">
        <v>1208</v>
      </c>
      <c r="E2169" s="45">
        <f t="shared" si="170"/>
        <v>39416</v>
      </c>
      <c r="F2169" s="148" t="str">
        <f t="shared" si="167"/>
        <v>2007-08</v>
      </c>
      <c r="G2169" s="1"/>
      <c r="H2169" s="163"/>
      <c r="I2169" s="37"/>
      <c r="J2169" s="138">
        <f t="shared" si="171"/>
        <v>0.77968490742404351</v>
      </c>
      <c r="K2169" s="114"/>
      <c r="L2169" s="37">
        <v>2.9994306695300001</v>
      </c>
      <c r="M2169" s="37" t="s">
        <v>142</v>
      </c>
      <c r="N2169" s="37">
        <v>2042.4636684878049</v>
      </c>
      <c r="O2169" s="132">
        <f t="shared" si="168"/>
        <v>6126.2281686630768</v>
      </c>
      <c r="P2169" s="134">
        <f t="shared" si="169"/>
        <v>4776.5276425426382</v>
      </c>
      <c r="Q2169" s="261">
        <v>1</v>
      </c>
      <c r="R2169" s="94"/>
    </row>
    <row r="2170" spans="1:18" x14ac:dyDescent="0.25">
      <c r="A2170" s="367">
        <v>39416</v>
      </c>
      <c r="B2170" s="367" t="s">
        <v>279</v>
      </c>
      <c r="C2170" s="279" t="s">
        <v>565</v>
      </c>
      <c r="D2170" s="159" t="s">
        <v>1208</v>
      </c>
      <c r="E2170" s="45">
        <f t="shared" si="170"/>
        <v>39416</v>
      </c>
      <c r="F2170" s="148" t="str">
        <f t="shared" si="167"/>
        <v>2007-08</v>
      </c>
      <c r="G2170" s="1"/>
      <c r="H2170" s="163"/>
      <c r="I2170" s="37"/>
      <c r="J2170" s="138">
        <f t="shared" si="171"/>
        <v>0.77968490742404351</v>
      </c>
      <c r="K2170" s="114"/>
      <c r="L2170" s="37">
        <v>5.9748782433200001</v>
      </c>
      <c r="M2170" s="37" t="s">
        <v>142</v>
      </c>
      <c r="N2170" s="37">
        <v>2731.4056729756094</v>
      </c>
      <c r="O2170" s="132">
        <f t="shared" si="168"/>
        <v>16319.816329142792</v>
      </c>
      <c r="P2170" s="134">
        <f t="shared" si="169"/>
        <v>12724.314483765091</v>
      </c>
      <c r="Q2170" s="261">
        <v>1</v>
      </c>
      <c r="R2170" s="94"/>
    </row>
    <row r="2171" spans="1:18" x14ac:dyDescent="0.25">
      <c r="A2171" s="367">
        <v>39416</v>
      </c>
      <c r="B2171" s="367" t="s">
        <v>279</v>
      </c>
      <c r="C2171" s="279" t="s">
        <v>565</v>
      </c>
      <c r="D2171" s="159" t="s">
        <v>1208</v>
      </c>
      <c r="E2171" s="45">
        <f t="shared" si="170"/>
        <v>39416</v>
      </c>
      <c r="F2171" s="148" t="str">
        <f t="shared" si="167"/>
        <v>2007-08</v>
      </c>
      <c r="G2171" s="1"/>
      <c r="H2171" s="163"/>
      <c r="I2171" s="37"/>
      <c r="J2171" s="138">
        <f t="shared" si="171"/>
        <v>0.77968490742404351</v>
      </c>
      <c r="K2171" s="114"/>
      <c r="L2171" s="37">
        <v>4.9153137289100002</v>
      </c>
      <c r="M2171" s="37" t="s">
        <v>142</v>
      </c>
      <c r="N2171" s="37">
        <v>1642.9278048780486</v>
      </c>
      <c r="O2171" s="132">
        <f t="shared" si="168"/>
        <v>8075.5055949250427</v>
      </c>
      <c r="P2171" s="134">
        <f t="shared" si="169"/>
        <v>6296.3498321814777</v>
      </c>
      <c r="Q2171" s="261">
        <v>1</v>
      </c>
      <c r="R2171" s="94"/>
    </row>
    <row r="2172" spans="1:18" x14ac:dyDescent="0.25">
      <c r="A2172" s="367">
        <v>39416</v>
      </c>
      <c r="B2172" s="367" t="s">
        <v>279</v>
      </c>
      <c r="C2172" s="279" t="s">
        <v>565</v>
      </c>
      <c r="D2172" s="159" t="s">
        <v>1208</v>
      </c>
      <c r="E2172" s="45">
        <f t="shared" si="170"/>
        <v>39416</v>
      </c>
      <c r="F2172" s="148" t="str">
        <f t="shared" si="167"/>
        <v>2007-08</v>
      </c>
      <c r="G2172" s="1"/>
      <c r="H2172" s="163"/>
      <c r="I2172" s="37"/>
      <c r="J2172" s="138">
        <f t="shared" si="171"/>
        <v>0.77968490742404351</v>
      </c>
      <c r="K2172" s="114"/>
      <c r="L2172" s="37">
        <v>3.2585954986900001</v>
      </c>
      <c r="M2172" s="37" t="s">
        <v>142</v>
      </c>
      <c r="N2172" s="37">
        <v>1422.8419512195119</v>
      </c>
      <c r="O2172" s="132">
        <f t="shared" si="168"/>
        <v>4636.4663775911977</v>
      </c>
      <c r="P2172" s="134">
        <f t="shared" si="169"/>
        <v>3614.9828583868834</v>
      </c>
      <c r="Q2172" s="261">
        <v>1</v>
      </c>
      <c r="R2172" s="94"/>
    </row>
    <row r="2173" spans="1:18" x14ac:dyDescent="0.25">
      <c r="A2173" s="367">
        <v>39416</v>
      </c>
      <c r="B2173" s="367" t="s">
        <v>279</v>
      </c>
      <c r="C2173" s="279" t="s">
        <v>565</v>
      </c>
      <c r="D2173" s="159" t="s">
        <v>1208</v>
      </c>
      <c r="E2173" s="45">
        <f t="shared" si="170"/>
        <v>39416</v>
      </c>
      <c r="F2173" s="148" t="str">
        <f t="shared" si="167"/>
        <v>2007-08</v>
      </c>
      <c r="G2173" s="1"/>
      <c r="H2173" s="163"/>
      <c r="I2173" s="37"/>
      <c r="J2173" s="138">
        <f t="shared" si="171"/>
        <v>0.77968490742404351</v>
      </c>
      <c r="K2173" s="114"/>
      <c r="L2173" s="37">
        <v>2.0392481457599998</v>
      </c>
      <c r="M2173" s="37" t="s">
        <v>142</v>
      </c>
      <c r="N2173" s="37">
        <v>1422.8419512195119</v>
      </c>
      <c r="O2173" s="132">
        <f t="shared" si="168"/>
        <v>2901.5278107339295</v>
      </c>
      <c r="P2173" s="134">
        <f t="shared" si="169"/>
        <v>2262.2774425003713</v>
      </c>
      <c r="Q2173" s="261">
        <v>1</v>
      </c>
      <c r="R2173" s="94"/>
    </row>
    <row r="2174" spans="1:18" x14ac:dyDescent="0.25">
      <c r="A2174" s="367">
        <v>39416</v>
      </c>
      <c r="B2174" s="367" t="s">
        <v>279</v>
      </c>
      <c r="C2174" s="279" t="s">
        <v>565</v>
      </c>
      <c r="D2174" s="159" t="s">
        <v>1208</v>
      </c>
      <c r="E2174" s="45">
        <f t="shared" si="170"/>
        <v>39416</v>
      </c>
      <c r="F2174" s="148" t="str">
        <f t="shared" si="167"/>
        <v>2007-08</v>
      </c>
      <c r="G2174" s="1"/>
      <c r="H2174" s="163"/>
      <c r="I2174" s="37"/>
      <c r="J2174" s="138">
        <f t="shared" si="171"/>
        <v>0.77968490742404351</v>
      </c>
      <c r="K2174" s="114"/>
      <c r="L2174" s="37">
        <v>8.5806856215200007</v>
      </c>
      <c r="M2174" s="37" t="s">
        <v>142</v>
      </c>
      <c r="N2174" s="37">
        <v>2042.4636684878049</v>
      </c>
      <c r="O2174" s="132">
        <f t="shared" si="168"/>
        <v>17525.738632670302</v>
      </c>
      <c r="P2174" s="134">
        <f t="shared" si="169"/>
        <v>13664.553903351527</v>
      </c>
      <c r="Q2174" s="261">
        <v>1</v>
      </c>
      <c r="R2174" s="94"/>
    </row>
    <row r="2175" spans="1:18" x14ac:dyDescent="0.25">
      <c r="A2175" s="367">
        <v>39416</v>
      </c>
      <c r="B2175" s="367" t="s">
        <v>279</v>
      </c>
      <c r="C2175" s="279" t="s">
        <v>565</v>
      </c>
      <c r="D2175" s="159" t="s">
        <v>1208</v>
      </c>
      <c r="E2175" s="45">
        <f t="shared" si="170"/>
        <v>39416</v>
      </c>
      <c r="F2175" s="148" t="str">
        <f t="shared" si="167"/>
        <v>2007-08</v>
      </c>
      <c r="G2175" s="1"/>
      <c r="H2175" s="163"/>
      <c r="I2175" s="37"/>
      <c r="J2175" s="138">
        <f t="shared" si="171"/>
        <v>0.77968490742404351</v>
      </c>
      <c r="K2175" s="114"/>
      <c r="L2175" s="37">
        <v>3.5176340060400002</v>
      </c>
      <c r="M2175" s="37" t="s">
        <v>142</v>
      </c>
      <c r="N2175" s="37">
        <v>1642.9278048780486</v>
      </c>
      <c r="O2175" s="132">
        <f t="shared" si="168"/>
        <v>5779.2187159076739</v>
      </c>
      <c r="P2175" s="134">
        <f t="shared" si="169"/>
        <v>4505.9696094957744</v>
      </c>
      <c r="Q2175" s="261">
        <v>1</v>
      </c>
      <c r="R2175" s="94"/>
    </row>
    <row r="2176" spans="1:18" x14ac:dyDescent="0.25">
      <c r="A2176" s="367">
        <v>39416</v>
      </c>
      <c r="B2176" s="367" t="s">
        <v>279</v>
      </c>
      <c r="C2176" s="279" t="s">
        <v>565</v>
      </c>
      <c r="D2176" s="159" t="s">
        <v>1208</v>
      </c>
      <c r="E2176" s="45">
        <f t="shared" si="170"/>
        <v>39416</v>
      </c>
      <c r="F2176" s="148" t="str">
        <f t="shared" si="167"/>
        <v>2007-08</v>
      </c>
      <c r="G2176" s="1"/>
      <c r="H2176" s="163"/>
      <c r="I2176" s="37"/>
      <c r="J2176" s="138">
        <f t="shared" si="171"/>
        <v>0.77968490742404351</v>
      </c>
      <c r="K2176" s="114"/>
      <c r="L2176" s="37">
        <v>1.4997153063199999</v>
      </c>
      <c r="M2176" s="37" t="s">
        <v>142</v>
      </c>
      <c r="N2176" s="37">
        <v>2731.4056729756094</v>
      </c>
      <c r="O2176" s="132">
        <f t="shared" si="168"/>
        <v>4096.3308955308012</v>
      </c>
      <c r="P2176" s="134">
        <f t="shared" si="169"/>
        <v>3193.847375060182</v>
      </c>
      <c r="Q2176" s="261">
        <v>1</v>
      </c>
      <c r="R2176" s="94"/>
    </row>
    <row r="2177" spans="1:18" x14ac:dyDescent="0.25">
      <c r="A2177" s="367">
        <v>39416</v>
      </c>
      <c r="B2177" s="367" t="s">
        <v>279</v>
      </c>
      <c r="C2177" s="279" t="s">
        <v>565</v>
      </c>
      <c r="D2177" s="159" t="s">
        <v>1208</v>
      </c>
      <c r="E2177" s="45">
        <f t="shared" si="170"/>
        <v>39416</v>
      </c>
      <c r="F2177" s="148" t="str">
        <f t="shared" si="167"/>
        <v>2007-08</v>
      </c>
      <c r="G2177" s="1"/>
      <c r="H2177" s="163"/>
      <c r="I2177" s="37"/>
      <c r="J2177" s="138">
        <f t="shared" si="171"/>
        <v>0.77968490742404351</v>
      </c>
      <c r="K2177" s="114"/>
      <c r="L2177" s="37">
        <v>6.0445086649000004</v>
      </c>
      <c r="M2177" s="37" t="s">
        <v>142</v>
      </c>
      <c r="N2177" s="37">
        <v>1642.9278048780486</v>
      </c>
      <c r="O2177" s="132">
        <f t="shared" si="168"/>
        <v>9930.6913523905023</v>
      </c>
      <c r="P2177" s="134">
        <f t="shared" si="169"/>
        <v>7742.8101677453378</v>
      </c>
      <c r="Q2177" s="261">
        <v>1</v>
      </c>
      <c r="R2177" s="94"/>
    </row>
    <row r="2178" spans="1:18" x14ac:dyDescent="0.25">
      <c r="A2178" s="367">
        <v>39416</v>
      </c>
      <c r="B2178" s="367" t="s">
        <v>279</v>
      </c>
      <c r="C2178" s="279" t="s">
        <v>565</v>
      </c>
      <c r="D2178" s="159" t="s">
        <v>1208</v>
      </c>
      <c r="E2178" s="45">
        <f t="shared" si="170"/>
        <v>39416</v>
      </c>
      <c r="F2178" s="148" t="str">
        <f t="shared" si="167"/>
        <v>2007-08</v>
      </c>
      <c r="G2178" s="1"/>
      <c r="H2178" s="163"/>
      <c r="I2178" s="37"/>
      <c r="J2178" s="138">
        <f t="shared" si="171"/>
        <v>0.77968490742404351</v>
      </c>
      <c r="K2178" s="114"/>
      <c r="L2178" s="37">
        <v>4.2915313215499999</v>
      </c>
      <c r="M2178" s="37" t="s">
        <v>142</v>
      </c>
      <c r="N2178" s="37">
        <v>1642.9278048780486</v>
      </c>
      <c r="O2178" s="132">
        <f t="shared" si="168"/>
        <v>7050.6761336795325</v>
      </c>
      <c r="P2178" s="134">
        <f t="shared" si="169"/>
        <v>5497.3057685648391</v>
      </c>
      <c r="Q2178" s="261">
        <v>1</v>
      </c>
      <c r="R2178" s="94"/>
    </row>
    <row r="2179" spans="1:18" x14ac:dyDescent="0.25">
      <c r="A2179" s="367">
        <v>39416</v>
      </c>
      <c r="B2179" s="367" t="s">
        <v>279</v>
      </c>
      <c r="C2179" s="279" t="s">
        <v>565</v>
      </c>
      <c r="D2179" s="159" t="s">
        <v>1208</v>
      </c>
      <c r="E2179" s="45">
        <f t="shared" si="170"/>
        <v>39416</v>
      </c>
      <c r="F2179" s="148" t="str">
        <f t="shared" si="167"/>
        <v>2007-08</v>
      </c>
      <c r="G2179" s="1"/>
      <c r="H2179" s="163"/>
      <c r="I2179" s="37"/>
      <c r="J2179" s="138">
        <f t="shared" si="171"/>
        <v>0.77968490742404351</v>
      </c>
      <c r="K2179" s="114"/>
      <c r="L2179" s="37">
        <v>2.2940046499700002</v>
      </c>
      <c r="M2179" s="37" t="s">
        <v>142</v>
      </c>
      <c r="N2179" s="37">
        <v>1642.9278048780486</v>
      </c>
      <c r="O2179" s="132">
        <f t="shared" si="168"/>
        <v>3768.8840239552487</v>
      </c>
      <c r="P2179" s="134">
        <f t="shared" si="169"/>
        <v>2938.5419913095047</v>
      </c>
      <c r="Q2179" s="261">
        <v>1</v>
      </c>
      <c r="R2179" s="94"/>
    </row>
    <row r="2180" spans="1:18" x14ac:dyDescent="0.25">
      <c r="A2180" s="367">
        <v>39416</v>
      </c>
      <c r="B2180" s="367" t="s">
        <v>279</v>
      </c>
      <c r="C2180" s="279" t="s">
        <v>565</v>
      </c>
      <c r="D2180" s="159" t="s">
        <v>1208</v>
      </c>
      <c r="E2180" s="45">
        <f t="shared" si="170"/>
        <v>39416</v>
      </c>
      <c r="F2180" s="148" t="str">
        <f t="shared" si="167"/>
        <v>2007-08</v>
      </c>
      <c r="G2180" s="1"/>
      <c r="H2180" s="163"/>
      <c r="I2180" s="37"/>
      <c r="J2180" s="138">
        <f t="shared" si="171"/>
        <v>0.77968490742404351</v>
      </c>
      <c r="K2180" s="114"/>
      <c r="L2180" s="37">
        <v>1.9990251104800001</v>
      </c>
      <c r="M2180" s="37" t="s">
        <v>142</v>
      </c>
      <c r="N2180" s="37">
        <v>1642.9278048780486</v>
      </c>
      <c r="O2180" s="132">
        <f t="shared" si="168"/>
        <v>3284.2539366570049</v>
      </c>
      <c r="P2180" s="134">
        <f t="shared" si="169"/>
        <v>2560.6832265594671</v>
      </c>
      <c r="Q2180" s="261">
        <v>1</v>
      </c>
      <c r="R2180" s="94"/>
    </row>
    <row r="2181" spans="1:18" x14ac:dyDescent="0.25">
      <c r="A2181" s="367">
        <v>39416</v>
      </c>
      <c r="B2181" s="367" t="s">
        <v>279</v>
      </c>
      <c r="C2181" s="279" t="s">
        <v>565</v>
      </c>
      <c r="D2181" s="159" t="s">
        <v>1208</v>
      </c>
      <c r="E2181" s="45">
        <f t="shared" si="170"/>
        <v>39416</v>
      </c>
      <c r="F2181" s="148" t="str">
        <f t="shared" si="167"/>
        <v>2007-08</v>
      </c>
      <c r="G2181" s="1"/>
      <c r="H2181" s="163"/>
      <c r="I2181" s="37"/>
      <c r="J2181" s="138">
        <f t="shared" si="171"/>
        <v>0.77968490742404351</v>
      </c>
      <c r="K2181" s="114"/>
      <c r="L2181" s="37">
        <v>3.0003402118800002</v>
      </c>
      <c r="M2181" s="37" t="s">
        <v>142</v>
      </c>
      <c r="N2181" s="37">
        <v>2731.4056729756094</v>
      </c>
      <c r="O2181" s="132">
        <f t="shared" si="168"/>
        <v>8195.1462755858738</v>
      </c>
      <c r="P2181" s="134">
        <f t="shared" si="169"/>
        <v>6389.6318652066666</v>
      </c>
      <c r="Q2181" s="261">
        <v>1</v>
      </c>
      <c r="R2181" s="94"/>
    </row>
    <row r="2182" spans="1:18" x14ac:dyDescent="0.25">
      <c r="A2182" s="367">
        <v>39416</v>
      </c>
      <c r="B2182" s="367" t="s">
        <v>279</v>
      </c>
      <c r="C2182" s="279" t="s">
        <v>565</v>
      </c>
      <c r="D2182" s="159" t="s">
        <v>1208</v>
      </c>
      <c r="E2182" s="45">
        <f t="shared" si="170"/>
        <v>39416</v>
      </c>
      <c r="F2182" s="148" t="str">
        <f t="shared" si="167"/>
        <v>2007-08</v>
      </c>
      <c r="G2182" s="1"/>
      <c r="H2182" s="163"/>
      <c r="I2182" s="37"/>
      <c r="J2182" s="138">
        <f t="shared" si="171"/>
        <v>0.77968490742404351</v>
      </c>
      <c r="K2182" s="114"/>
      <c r="L2182" s="37">
        <v>2.0222665590100002</v>
      </c>
      <c r="M2182" s="37" t="s">
        <v>142</v>
      </c>
      <c r="N2182" s="37">
        <v>2731.4056729756094</v>
      </c>
      <c r="O2182" s="132">
        <f t="shared" si="168"/>
        <v>5523.6303515487798</v>
      </c>
      <c r="P2182" s="134">
        <f t="shared" si="169"/>
        <v>4306.6912192919472</v>
      </c>
      <c r="Q2182" s="261">
        <v>1</v>
      </c>
      <c r="R2182" s="94"/>
    </row>
    <row r="2183" spans="1:18" x14ac:dyDescent="0.25">
      <c r="A2183" s="367">
        <v>39416</v>
      </c>
      <c r="B2183" s="367" t="s">
        <v>279</v>
      </c>
      <c r="C2183" s="279" t="s">
        <v>565</v>
      </c>
      <c r="D2183" s="159" t="s">
        <v>1208</v>
      </c>
      <c r="E2183" s="45">
        <f t="shared" si="170"/>
        <v>39416</v>
      </c>
      <c r="F2183" s="148" t="str">
        <f t="shared" si="167"/>
        <v>2007-08</v>
      </c>
      <c r="G2183" s="1"/>
      <c r="H2183" s="163"/>
      <c r="I2183" s="37"/>
      <c r="J2183" s="138">
        <f t="shared" si="171"/>
        <v>0.77968490742404351</v>
      </c>
      <c r="K2183" s="114"/>
      <c r="L2183" s="37">
        <v>1.99985001689</v>
      </c>
      <c r="M2183" s="37" t="s">
        <v>142</v>
      </c>
      <c r="N2183" s="37">
        <v>1642.9278048780486</v>
      </c>
      <c r="O2183" s="132">
        <f t="shared" si="168"/>
        <v>3285.6091983344163</v>
      </c>
      <c r="P2183" s="134">
        <f t="shared" si="169"/>
        <v>2561.7399036349552</v>
      </c>
      <c r="Q2183" s="261">
        <v>1</v>
      </c>
      <c r="R2183" s="94"/>
    </row>
    <row r="2184" spans="1:18" x14ac:dyDescent="0.25">
      <c r="A2184" s="367">
        <v>39416</v>
      </c>
      <c r="B2184" s="367" t="s">
        <v>279</v>
      </c>
      <c r="C2184" s="279" t="s">
        <v>565</v>
      </c>
      <c r="D2184" s="159" t="s">
        <v>1208</v>
      </c>
      <c r="E2184" s="45">
        <f t="shared" si="170"/>
        <v>39416</v>
      </c>
      <c r="F2184" s="148" t="str">
        <f t="shared" si="167"/>
        <v>2007-08</v>
      </c>
      <c r="G2184" s="1"/>
      <c r="H2184" s="163"/>
      <c r="I2184" s="37"/>
      <c r="J2184" s="138">
        <f t="shared" si="171"/>
        <v>0.77968490742404351</v>
      </c>
      <c r="K2184" s="114"/>
      <c r="L2184" s="37">
        <v>6.8462555316299998</v>
      </c>
      <c r="M2184" s="37" t="s">
        <v>142</v>
      </c>
      <c r="N2184" s="37">
        <v>2092.2853170731705</v>
      </c>
      <c r="O2184" s="132">
        <f t="shared" si="168"/>
        <v>14324.319925760421</v>
      </c>
      <c r="P2184" s="134">
        <f t="shared" si="169"/>
        <v>11168.456055228895</v>
      </c>
      <c r="Q2184" s="261">
        <v>1</v>
      </c>
      <c r="R2184" s="94"/>
    </row>
    <row r="2185" spans="1:18" x14ac:dyDescent="0.25">
      <c r="A2185" s="367">
        <v>39416</v>
      </c>
      <c r="B2185" s="367" t="s">
        <v>279</v>
      </c>
      <c r="C2185" s="279" t="s">
        <v>565</v>
      </c>
      <c r="D2185" s="159" t="s">
        <v>1208</v>
      </c>
      <c r="E2185" s="45">
        <f t="shared" si="170"/>
        <v>39416</v>
      </c>
      <c r="F2185" s="148" t="str">
        <f t="shared" si="167"/>
        <v>2007-08</v>
      </c>
      <c r="G2185" s="1"/>
      <c r="H2185" s="163"/>
      <c r="I2185" s="37"/>
      <c r="J2185" s="138">
        <f t="shared" si="171"/>
        <v>0.77968490742404351</v>
      </c>
      <c r="K2185" s="114"/>
      <c r="L2185" s="37">
        <v>3.8810438028999998</v>
      </c>
      <c r="M2185" s="37" t="s">
        <v>142</v>
      </c>
      <c r="N2185" s="37">
        <v>1135.1785365853657</v>
      </c>
      <c r="O2185" s="132">
        <f t="shared" si="168"/>
        <v>4405.6776245997244</v>
      </c>
      <c r="P2185" s="134">
        <f t="shared" si="169"/>
        <v>3435.0403508762161</v>
      </c>
      <c r="Q2185" s="261">
        <v>1</v>
      </c>
      <c r="R2185" s="94"/>
    </row>
    <row r="2186" spans="1:18" x14ac:dyDescent="0.25">
      <c r="A2186" s="367">
        <v>39416</v>
      </c>
      <c r="B2186" s="367" t="s">
        <v>279</v>
      </c>
      <c r="C2186" s="279" t="s">
        <v>565</v>
      </c>
      <c r="D2186" s="159" t="s">
        <v>1208</v>
      </c>
      <c r="E2186" s="45">
        <f t="shared" si="170"/>
        <v>39416</v>
      </c>
      <c r="F2186" s="148" t="str">
        <f t="shared" si="167"/>
        <v>2007-08</v>
      </c>
      <c r="G2186" s="1"/>
      <c r="H2186" s="163"/>
      <c r="I2186" s="37"/>
      <c r="J2186" s="138">
        <f t="shared" si="171"/>
        <v>0.77968490742404351</v>
      </c>
      <c r="K2186" s="114"/>
      <c r="L2186" s="37">
        <v>2.5061078217400001</v>
      </c>
      <c r="M2186" s="37" t="s">
        <v>142</v>
      </c>
      <c r="N2186" s="37">
        <v>1642.9278048780486</v>
      </c>
      <c r="O2186" s="132">
        <f t="shared" si="168"/>
        <v>4117.3542223590066</v>
      </c>
      <c r="P2186" s="134">
        <f t="shared" si="169"/>
        <v>3210.2389456919768</v>
      </c>
      <c r="Q2186" s="261">
        <v>1</v>
      </c>
      <c r="R2186" s="94"/>
    </row>
    <row r="2187" spans="1:18" x14ac:dyDescent="0.25">
      <c r="A2187" s="367">
        <v>39416</v>
      </c>
      <c r="B2187" s="367" t="s">
        <v>279</v>
      </c>
      <c r="C2187" s="279" t="s">
        <v>565</v>
      </c>
      <c r="D2187" s="159" t="s">
        <v>1208</v>
      </c>
      <c r="E2187" s="45">
        <f t="shared" si="170"/>
        <v>39416</v>
      </c>
      <c r="F2187" s="148" t="str">
        <f t="shared" si="167"/>
        <v>2007-08</v>
      </c>
      <c r="G2187" s="1"/>
      <c r="H2187" s="163"/>
      <c r="I2187" s="37"/>
      <c r="J2187" s="138">
        <f t="shared" si="171"/>
        <v>0.77968490742404351</v>
      </c>
      <c r="K2187" s="114"/>
      <c r="L2187" s="37">
        <v>1.9989890507800001</v>
      </c>
      <c r="M2187" s="37" t="s">
        <v>142</v>
      </c>
      <c r="N2187" s="37">
        <v>2092.2853170731705</v>
      </c>
      <c r="O2187" s="132">
        <f t="shared" si="168"/>
        <v>4182.455439937029</v>
      </c>
      <c r="P2187" s="134">
        <f t="shared" si="169"/>
        <v>3260.9973824924896</v>
      </c>
      <c r="Q2187" s="261">
        <v>1</v>
      </c>
      <c r="R2187" s="94"/>
    </row>
    <row r="2188" spans="1:18" x14ac:dyDescent="0.25">
      <c r="A2188" s="367">
        <v>39416</v>
      </c>
      <c r="B2188" s="367" t="s">
        <v>279</v>
      </c>
      <c r="C2188" s="279" t="s">
        <v>565</v>
      </c>
      <c r="D2188" s="159" t="s">
        <v>1208</v>
      </c>
      <c r="E2188" s="45">
        <f t="shared" si="170"/>
        <v>39416</v>
      </c>
      <c r="F2188" s="148" t="str">
        <f t="shared" si="167"/>
        <v>2007-08</v>
      </c>
      <c r="G2188" s="1"/>
      <c r="H2188" s="163"/>
      <c r="I2188" s="37"/>
      <c r="J2188" s="138">
        <f t="shared" si="171"/>
        <v>0.77968490742404351</v>
      </c>
      <c r="K2188" s="114"/>
      <c r="L2188" s="37">
        <v>1.89767436617</v>
      </c>
      <c r="M2188" s="37" t="s">
        <v>142</v>
      </c>
      <c r="N2188" s="37">
        <v>1135.1785365853657</v>
      </c>
      <c r="O2188" s="132">
        <f t="shared" si="168"/>
        <v>2154.1992099044219</v>
      </c>
      <c r="P2188" s="134">
        <f t="shared" si="169"/>
        <v>1679.5966115472768</v>
      </c>
      <c r="Q2188" s="261">
        <v>1</v>
      </c>
      <c r="R2188" s="94"/>
    </row>
    <row r="2189" spans="1:18" x14ac:dyDescent="0.25">
      <c r="A2189" s="367">
        <v>39416</v>
      </c>
      <c r="B2189" s="367" t="s">
        <v>279</v>
      </c>
      <c r="C2189" s="279" t="s">
        <v>565</v>
      </c>
      <c r="D2189" s="159" t="s">
        <v>1208</v>
      </c>
      <c r="E2189" s="45">
        <f t="shared" si="170"/>
        <v>39416</v>
      </c>
      <c r="F2189" s="148" t="str">
        <f t="shared" si="167"/>
        <v>2007-08</v>
      </c>
      <c r="G2189" s="1"/>
      <c r="H2189" s="163"/>
      <c r="I2189" s="37"/>
      <c r="J2189" s="138">
        <f t="shared" si="171"/>
        <v>0.77968490742404351</v>
      </c>
      <c r="K2189" s="114"/>
      <c r="L2189" s="37">
        <v>7.0158014801400004</v>
      </c>
      <c r="M2189" s="37" t="s">
        <v>142</v>
      </c>
      <c r="N2189" s="37">
        <v>771.6404230243902</v>
      </c>
      <c r="O2189" s="132">
        <f t="shared" si="168"/>
        <v>5413.6760219903726</v>
      </c>
      <c r="P2189" s="134">
        <f t="shared" si="169"/>
        <v>4220.9614880293275</v>
      </c>
      <c r="Q2189" s="261">
        <v>1</v>
      </c>
      <c r="R2189" s="94"/>
    </row>
    <row r="2190" spans="1:18" x14ac:dyDescent="0.25">
      <c r="A2190" s="367">
        <v>39416</v>
      </c>
      <c r="B2190" s="367" t="s">
        <v>279</v>
      </c>
      <c r="C2190" s="279" t="s">
        <v>565</v>
      </c>
      <c r="D2190" s="159" t="s">
        <v>1208</v>
      </c>
      <c r="E2190" s="45">
        <f t="shared" si="170"/>
        <v>39416</v>
      </c>
      <c r="F2190" s="148" t="str">
        <f t="shared" si="167"/>
        <v>2007-08</v>
      </c>
      <c r="G2190" s="1"/>
      <c r="H2190" s="163"/>
      <c r="I2190" s="37"/>
      <c r="J2190" s="138">
        <f t="shared" si="171"/>
        <v>0.77968490742404351</v>
      </c>
      <c r="K2190" s="114"/>
      <c r="L2190" s="37">
        <v>4.7016555594799998</v>
      </c>
      <c r="M2190" s="37" t="s">
        <v>142</v>
      </c>
      <c r="N2190" s="37">
        <v>1135.1785365853657</v>
      </c>
      <c r="O2190" s="132">
        <f t="shared" si="168"/>
        <v>5337.2184775389551</v>
      </c>
      <c r="P2190" s="134">
        <f t="shared" si="169"/>
        <v>4161.3486945618542</v>
      </c>
      <c r="Q2190" s="261">
        <v>1</v>
      </c>
      <c r="R2190" s="94"/>
    </row>
    <row r="2191" spans="1:18" x14ac:dyDescent="0.25">
      <c r="A2191" s="367">
        <v>39416</v>
      </c>
      <c r="B2191" s="367" t="s">
        <v>279</v>
      </c>
      <c r="C2191" s="279" t="s">
        <v>565</v>
      </c>
      <c r="D2191" s="159" t="s">
        <v>1208</v>
      </c>
      <c r="E2191" s="45">
        <f t="shared" si="170"/>
        <v>39416</v>
      </c>
      <c r="F2191" s="148" t="str">
        <f t="shared" si="167"/>
        <v>2007-08</v>
      </c>
      <c r="G2191" s="1"/>
      <c r="H2191" s="163"/>
      <c r="I2191" s="37"/>
      <c r="J2191" s="138">
        <f t="shared" si="171"/>
        <v>0.77968490742404351</v>
      </c>
      <c r="K2191" s="114"/>
      <c r="L2191" s="37">
        <v>2.2342929530400002</v>
      </c>
      <c r="M2191" s="37" t="s">
        <v>142</v>
      </c>
      <c r="N2191" s="37">
        <v>771.6404230243902</v>
      </c>
      <c r="O2191" s="132">
        <f t="shared" si="168"/>
        <v>1724.0707594441997</v>
      </c>
      <c r="P2191" s="134">
        <f t="shared" si="169"/>
        <v>1344.2319504697512</v>
      </c>
      <c r="Q2191" s="261">
        <v>1</v>
      </c>
      <c r="R2191" s="94"/>
    </row>
    <row r="2192" spans="1:18" x14ac:dyDescent="0.25">
      <c r="A2192" s="367">
        <v>39416</v>
      </c>
      <c r="B2192" s="367" t="s">
        <v>279</v>
      </c>
      <c r="C2192" s="279" t="s">
        <v>565</v>
      </c>
      <c r="D2192" s="159" t="s">
        <v>1208</v>
      </c>
      <c r="E2192" s="45">
        <f t="shared" si="170"/>
        <v>39416</v>
      </c>
      <c r="F2192" s="148" t="str">
        <f t="shared" si="167"/>
        <v>2007-08</v>
      </c>
      <c r="G2192" s="1"/>
      <c r="H2192" s="163"/>
      <c r="I2192" s="37"/>
      <c r="J2192" s="138">
        <f t="shared" si="171"/>
        <v>0.77968490742404351</v>
      </c>
      <c r="K2192" s="114"/>
      <c r="L2192" s="37">
        <v>12.188188997499999</v>
      </c>
      <c r="M2192" s="37" t="s">
        <v>142</v>
      </c>
      <c r="N2192" s="37">
        <v>771.6404230243902</v>
      </c>
      <c r="O2192" s="132">
        <f t="shared" si="168"/>
        <v>9404.8993139321174</v>
      </c>
      <c r="P2192" s="134">
        <f t="shared" si="169"/>
        <v>7332.8580509156136</v>
      </c>
      <c r="Q2192" s="261">
        <v>1</v>
      </c>
      <c r="R2192" s="94"/>
    </row>
    <row r="2193" spans="1:18" x14ac:dyDescent="0.25">
      <c r="A2193" s="367">
        <v>43264</v>
      </c>
      <c r="B2193" s="367" t="s">
        <v>279</v>
      </c>
      <c r="C2193" s="279"/>
      <c r="D2193" s="159" t="s">
        <v>1209</v>
      </c>
      <c r="E2193" s="45">
        <f t="shared" si="170"/>
        <v>43264</v>
      </c>
      <c r="F2193" s="148" t="str">
        <f t="shared" si="167"/>
        <v>2017-18</v>
      </c>
      <c r="G2193" s="1"/>
      <c r="H2193" s="163"/>
      <c r="I2193" s="37"/>
      <c r="J2193" s="138">
        <f t="shared" si="171"/>
        <v>0.77968490742404351</v>
      </c>
      <c r="K2193" s="114"/>
      <c r="L2193" s="37">
        <v>27.815836999799998</v>
      </c>
      <c r="M2193" s="37" t="s">
        <v>142</v>
      </c>
      <c r="N2193" s="37">
        <v>1128.7084557073169</v>
      </c>
      <c r="O2193" s="132">
        <f t="shared" si="168"/>
        <v>31395.970424250703</v>
      </c>
      <c r="P2193" s="134">
        <f t="shared" si="169"/>
        <v>24478.964293719917</v>
      </c>
      <c r="Q2193" s="261">
        <v>1</v>
      </c>
      <c r="R2193" s="94"/>
    </row>
    <row r="2194" spans="1:18" x14ac:dyDescent="0.25">
      <c r="A2194" s="367">
        <v>43264</v>
      </c>
      <c r="B2194" s="367" t="s">
        <v>279</v>
      </c>
      <c r="C2194" s="279"/>
      <c r="D2194" s="159" t="s">
        <v>1209</v>
      </c>
      <c r="E2194" s="45">
        <f t="shared" si="170"/>
        <v>43264</v>
      </c>
      <c r="F2194" s="148" t="str">
        <f t="shared" ref="F2194:F2257" si="172">IF(E2194="","-",IF(OR(E2194&lt;$E$15,E2194&gt;$E$16),"ERROR - date outside of range",IF(MONTH(E2194)&gt;=7,YEAR(E2194)&amp;"-"&amp;IF(YEAR(E2194)=1999,"00",IF(AND(YEAR(E2194)&gt;=2000,YEAR(E2194)&lt;2009),"0","")&amp;RIGHT(YEAR(E2194),2)+1),RIGHT(YEAR(E2194),4)-1&amp;"-"&amp;RIGHT(YEAR(E2194),2))))</f>
        <v>2017-18</v>
      </c>
      <c r="G2194" s="1"/>
      <c r="H2194" s="163"/>
      <c r="I2194" s="37"/>
      <c r="J2194" s="138">
        <f t="shared" si="171"/>
        <v>0.77968490742404351</v>
      </c>
      <c r="K2194" s="114"/>
      <c r="L2194" s="37">
        <v>8.7110530921600002</v>
      </c>
      <c r="M2194" s="37" t="s">
        <v>142</v>
      </c>
      <c r="N2194" s="37">
        <v>1128.7084557073169</v>
      </c>
      <c r="O2194" s="132">
        <f t="shared" ref="O2194:O2257" si="173">IF(N2194="","-",L2194*N2194)</f>
        <v>9832.2392832363621</v>
      </c>
      <c r="P2194" s="134">
        <f t="shared" ref="P2194:P2257" si="174">IF(O2194="-","-",IF(OR(E2194&lt;$E$15,E2194&gt;$E$16),0,O2194*J2194))*Q2194</f>
        <v>7666.0485753211869</v>
      </c>
      <c r="Q2194" s="261">
        <v>1</v>
      </c>
      <c r="R2194" s="94"/>
    </row>
    <row r="2195" spans="1:18" x14ac:dyDescent="0.25">
      <c r="A2195" s="367">
        <v>39002</v>
      </c>
      <c r="B2195" s="367" t="s">
        <v>279</v>
      </c>
      <c r="C2195" s="279" t="s">
        <v>742</v>
      </c>
      <c r="D2195" s="159" t="s">
        <v>1210</v>
      </c>
      <c r="E2195" s="45">
        <f t="shared" si="170"/>
        <v>39002</v>
      </c>
      <c r="F2195" s="148" t="str">
        <f t="shared" si="172"/>
        <v>2006-07</v>
      </c>
      <c r="G2195" s="1"/>
      <c r="H2195" s="163"/>
      <c r="I2195" s="37"/>
      <c r="J2195" s="138">
        <f t="shared" si="171"/>
        <v>0.77968490742404351</v>
      </c>
      <c r="K2195" s="114"/>
      <c r="L2195" s="37">
        <v>4.9984982763800003</v>
      </c>
      <c r="M2195" s="37" t="s">
        <v>142</v>
      </c>
      <c r="N2195" s="37">
        <v>771.6404230243902</v>
      </c>
      <c r="O2195" s="132">
        <f t="shared" si="173"/>
        <v>3857.0433244725486</v>
      </c>
      <c r="P2195" s="134">
        <f t="shared" si="174"/>
        <v>3007.2784673719043</v>
      </c>
      <c r="Q2195" s="261">
        <v>1</v>
      </c>
      <c r="R2195" s="94"/>
    </row>
    <row r="2196" spans="1:18" x14ac:dyDescent="0.25">
      <c r="A2196" s="367">
        <v>40325</v>
      </c>
      <c r="B2196" s="367" t="s">
        <v>279</v>
      </c>
      <c r="C2196" s="279" t="s">
        <v>743</v>
      </c>
      <c r="D2196" s="159" t="s">
        <v>1211</v>
      </c>
      <c r="E2196" s="45">
        <f t="shared" si="170"/>
        <v>40325</v>
      </c>
      <c r="F2196" s="148" t="str">
        <f t="shared" si="172"/>
        <v>2009-10</v>
      </c>
      <c r="G2196" s="1"/>
      <c r="H2196" s="163"/>
      <c r="I2196" s="37"/>
      <c r="J2196" s="138">
        <f t="shared" si="171"/>
        <v>0.77968490742404351</v>
      </c>
      <c r="K2196" s="114"/>
      <c r="L2196" s="37">
        <v>280.18605179500003</v>
      </c>
      <c r="M2196" s="37" t="s">
        <v>142</v>
      </c>
      <c r="N2196" s="37">
        <v>1003.0093919999996</v>
      </c>
      <c r="O2196" s="132">
        <f t="shared" si="173"/>
        <v>281029.24145778338</v>
      </c>
      <c r="P2196" s="134">
        <f t="shared" si="174"/>
        <v>219114.25810946102</v>
      </c>
      <c r="Q2196" s="261">
        <v>1</v>
      </c>
      <c r="R2196" s="94"/>
    </row>
    <row r="2197" spans="1:18" x14ac:dyDescent="0.25">
      <c r="A2197" s="367">
        <v>40325</v>
      </c>
      <c r="B2197" s="367" t="s">
        <v>279</v>
      </c>
      <c r="C2197" s="279" t="s">
        <v>743</v>
      </c>
      <c r="D2197" s="159" t="s">
        <v>1211</v>
      </c>
      <c r="E2197" s="45">
        <f t="shared" si="170"/>
        <v>40325</v>
      </c>
      <c r="F2197" s="148" t="str">
        <f t="shared" si="172"/>
        <v>2009-10</v>
      </c>
      <c r="G2197" s="1"/>
      <c r="H2197" s="163"/>
      <c r="I2197" s="37"/>
      <c r="J2197" s="138">
        <f t="shared" si="171"/>
        <v>0.77968490742404351</v>
      </c>
      <c r="K2197" s="114"/>
      <c r="L2197" s="37">
        <v>3.4993418310300002</v>
      </c>
      <c r="M2197" s="37" t="s">
        <v>142</v>
      </c>
      <c r="N2197" s="37">
        <v>1003.0093919999996</v>
      </c>
      <c r="O2197" s="132">
        <f t="shared" si="173"/>
        <v>3509.8727223415658</v>
      </c>
      <c r="P2197" s="134">
        <f t="shared" si="174"/>
        <v>2736.5947885890591</v>
      </c>
      <c r="Q2197" s="261">
        <v>1</v>
      </c>
      <c r="R2197" s="94"/>
    </row>
    <row r="2198" spans="1:18" x14ac:dyDescent="0.25">
      <c r="A2198" s="367">
        <v>41299</v>
      </c>
      <c r="B2198" s="367" t="s">
        <v>279</v>
      </c>
      <c r="C2198" s="279" t="s">
        <v>744</v>
      </c>
      <c r="D2198" s="159" t="s">
        <v>1212</v>
      </c>
      <c r="E2198" s="45">
        <f t="shared" si="170"/>
        <v>41299</v>
      </c>
      <c r="F2198" s="148" t="str">
        <f t="shared" si="172"/>
        <v>2012-13</v>
      </c>
      <c r="G2198" s="1"/>
      <c r="H2198" s="163"/>
      <c r="I2198" s="37"/>
      <c r="J2198" s="138">
        <f t="shared" si="171"/>
        <v>0.77968490742404351</v>
      </c>
      <c r="K2198" s="114"/>
      <c r="L2198" s="37">
        <v>145.95784775999999</v>
      </c>
      <c r="M2198" s="37" t="s">
        <v>142</v>
      </c>
      <c r="N2198" s="37">
        <v>1003.0093919999996</v>
      </c>
      <c r="O2198" s="132">
        <f t="shared" si="173"/>
        <v>146397.09213938611</v>
      </c>
      <c r="P2198" s="134">
        <f t="shared" si="174"/>
        <v>114143.60323184643</v>
      </c>
      <c r="Q2198" s="261">
        <v>1</v>
      </c>
      <c r="R2198" s="94"/>
    </row>
    <row r="2199" spans="1:18" x14ac:dyDescent="0.25">
      <c r="A2199" s="367">
        <v>41299</v>
      </c>
      <c r="B2199" s="367" t="s">
        <v>279</v>
      </c>
      <c r="C2199" s="279" t="s">
        <v>744</v>
      </c>
      <c r="D2199" s="159" t="s">
        <v>1212</v>
      </c>
      <c r="E2199" s="45">
        <f t="shared" ref="E2199:E2262" si="175">IF(A2199&lt;2022,DATEVALUE("30 Jun "&amp;A2199),A2199)</f>
        <v>41299</v>
      </c>
      <c r="F2199" s="148" t="str">
        <f t="shared" si="172"/>
        <v>2012-13</v>
      </c>
      <c r="G2199" s="1"/>
      <c r="H2199" s="163"/>
      <c r="I2199" s="37"/>
      <c r="J2199" s="138">
        <f t="shared" si="171"/>
        <v>0.77968490742404351</v>
      </c>
      <c r="K2199" s="114"/>
      <c r="L2199" s="37">
        <v>3.9996203587800001</v>
      </c>
      <c r="M2199" s="37" t="s">
        <v>142</v>
      </c>
      <c r="N2199" s="37">
        <v>696.6467060487804</v>
      </c>
      <c r="O2199" s="132">
        <f t="shared" si="173"/>
        <v>2786.3223483897282</v>
      </c>
      <c r="P2199" s="134">
        <f t="shared" si="174"/>
        <v>2172.4534822577889</v>
      </c>
      <c r="Q2199" s="261">
        <v>1</v>
      </c>
      <c r="R2199" s="94"/>
    </row>
    <row r="2200" spans="1:18" x14ac:dyDescent="0.25">
      <c r="A2200" s="367">
        <v>40325</v>
      </c>
      <c r="B2200" s="367" t="s">
        <v>279</v>
      </c>
      <c r="C2200" s="279" t="s">
        <v>743</v>
      </c>
      <c r="D2200" s="159" t="s">
        <v>1211</v>
      </c>
      <c r="E2200" s="45">
        <f t="shared" si="175"/>
        <v>40325</v>
      </c>
      <c r="F2200" s="148" t="str">
        <f t="shared" si="172"/>
        <v>2009-10</v>
      </c>
      <c r="G2200" s="1"/>
      <c r="H2200" s="163"/>
      <c r="I2200" s="37"/>
      <c r="J2200" s="138">
        <f t="shared" ref="J2200:J2263" si="176">J2199</f>
        <v>0.77968490742404351</v>
      </c>
      <c r="K2200" s="114"/>
      <c r="L2200" s="37">
        <v>23.496880218400001</v>
      </c>
      <c r="M2200" s="37" t="s">
        <v>142</v>
      </c>
      <c r="N2200" s="37">
        <v>965.92878048780472</v>
      </c>
      <c r="O2200" s="132">
        <f t="shared" si="173"/>
        <v>22696.312854627136</v>
      </c>
      <c r="P2200" s="134">
        <f t="shared" si="174"/>
        <v>17695.972586927088</v>
      </c>
      <c r="Q2200" s="261">
        <v>1</v>
      </c>
      <c r="R2200" s="94"/>
    </row>
    <row r="2201" spans="1:18" x14ac:dyDescent="0.25">
      <c r="A2201" s="367">
        <v>40325</v>
      </c>
      <c r="B2201" s="367" t="s">
        <v>279</v>
      </c>
      <c r="C2201" s="279" t="s">
        <v>743</v>
      </c>
      <c r="D2201" s="159" t="s">
        <v>1211</v>
      </c>
      <c r="E2201" s="45">
        <f t="shared" si="175"/>
        <v>40325</v>
      </c>
      <c r="F2201" s="148" t="str">
        <f t="shared" si="172"/>
        <v>2009-10</v>
      </c>
      <c r="G2201" s="1"/>
      <c r="H2201" s="163"/>
      <c r="I2201" s="37"/>
      <c r="J2201" s="138">
        <f t="shared" si="176"/>
        <v>0.77968490742404351</v>
      </c>
      <c r="K2201" s="114"/>
      <c r="L2201" s="37">
        <v>24.5966120338</v>
      </c>
      <c r="M2201" s="37" t="s">
        <v>142</v>
      </c>
      <c r="N2201" s="37">
        <v>696.6467060487804</v>
      </c>
      <c r="O2201" s="132">
        <f t="shared" si="173"/>
        <v>17135.148753306563</v>
      </c>
      <c r="P2201" s="134">
        <f t="shared" si="174"/>
        <v>13360.016869419042</v>
      </c>
      <c r="Q2201" s="261">
        <v>1</v>
      </c>
      <c r="R2201" s="94"/>
    </row>
    <row r="2202" spans="1:18" x14ac:dyDescent="0.25">
      <c r="A2202" s="367">
        <v>40325</v>
      </c>
      <c r="B2202" s="367" t="s">
        <v>279</v>
      </c>
      <c r="C2202" s="279" t="s">
        <v>743</v>
      </c>
      <c r="D2202" s="159" t="s">
        <v>1212</v>
      </c>
      <c r="E2202" s="45">
        <f t="shared" si="175"/>
        <v>40325</v>
      </c>
      <c r="F2202" s="148" t="str">
        <f t="shared" si="172"/>
        <v>2009-10</v>
      </c>
      <c r="G2202" s="1"/>
      <c r="H2202" s="163"/>
      <c r="I2202" s="37"/>
      <c r="J2202" s="138">
        <f t="shared" si="176"/>
        <v>0.77968490742404351</v>
      </c>
      <c r="K2202" s="114"/>
      <c r="L2202" s="37">
        <v>20.965850387</v>
      </c>
      <c r="M2202" s="37" t="s">
        <v>142</v>
      </c>
      <c r="N2202" s="37">
        <v>696.6467060487804</v>
      </c>
      <c r="O2202" s="132">
        <f t="shared" si="173"/>
        <v>14605.790611615097</v>
      </c>
      <c r="P2202" s="134">
        <f t="shared" si="174"/>
        <v>11387.914500872081</v>
      </c>
      <c r="Q2202" s="261">
        <v>1</v>
      </c>
      <c r="R2202" s="94"/>
    </row>
    <row r="2203" spans="1:18" x14ac:dyDescent="0.25">
      <c r="A2203" s="367">
        <v>41299</v>
      </c>
      <c r="B2203" s="367" t="s">
        <v>279</v>
      </c>
      <c r="C2203" s="279" t="s">
        <v>744</v>
      </c>
      <c r="D2203" s="159" t="s">
        <v>1212</v>
      </c>
      <c r="E2203" s="45">
        <f t="shared" si="175"/>
        <v>41299</v>
      </c>
      <c r="F2203" s="148" t="str">
        <f t="shared" si="172"/>
        <v>2012-13</v>
      </c>
      <c r="G2203" s="1"/>
      <c r="H2203" s="163"/>
      <c r="I2203" s="37"/>
      <c r="J2203" s="138">
        <f t="shared" si="176"/>
        <v>0.77968490742404351</v>
      </c>
      <c r="K2203" s="114"/>
      <c r="L2203" s="37">
        <v>4.5048954803800001</v>
      </c>
      <c r="M2203" s="37" t="s">
        <v>142</v>
      </c>
      <c r="N2203" s="37">
        <v>696.6467060487804</v>
      </c>
      <c r="O2203" s="132">
        <f t="shared" si="173"/>
        <v>3138.3205975007654</v>
      </c>
      <c r="P2203" s="134">
        <f t="shared" si="174"/>
        <v>2446.901204529353</v>
      </c>
      <c r="Q2203" s="261">
        <v>1</v>
      </c>
      <c r="R2203" s="94"/>
    </row>
    <row r="2204" spans="1:18" x14ac:dyDescent="0.25">
      <c r="A2204" s="367">
        <v>40325</v>
      </c>
      <c r="B2204" s="367" t="s">
        <v>279</v>
      </c>
      <c r="C2204" s="279" t="s">
        <v>743</v>
      </c>
      <c r="D2204" s="159" t="s">
        <v>1212</v>
      </c>
      <c r="E2204" s="45">
        <f t="shared" si="175"/>
        <v>40325</v>
      </c>
      <c r="F2204" s="148" t="str">
        <f t="shared" si="172"/>
        <v>2009-10</v>
      </c>
      <c r="G2204" s="1"/>
      <c r="H2204" s="163"/>
      <c r="I2204" s="37"/>
      <c r="J2204" s="138">
        <f t="shared" si="176"/>
        <v>0.77968490742404351</v>
      </c>
      <c r="K2204" s="114"/>
      <c r="L2204" s="37">
        <v>3.5001104279700002</v>
      </c>
      <c r="M2204" s="37" t="s">
        <v>142</v>
      </c>
      <c r="N2204" s="37">
        <v>696.6467060487804</v>
      </c>
      <c r="O2204" s="132">
        <f t="shared" si="173"/>
        <v>2438.3404004522877</v>
      </c>
      <c r="P2204" s="134">
        <f t="shared" si="174"/>
        <v>1901.1372093949471</v>
      </c>
      <c r="Q2204" s="261">
        <v>1</v>
      </c>
      <c r="R2204" s="94"/>
    </row>
    <row r="2205" spans="1:18" x14ac:dyDescent="0.25">
      <c r="A2205" s="367">
        <v>41299</v>
      </c>
      <c r="B2205" s="367" t="s">
        <v>279</v>
      </c>
      <c r="C2205" s="279" t="s">
        <v>744</v>
      </c>
      <c r="D2205" s="159" t="s">
        <v>1212</v>
      </c>
      <c r="E2205" s="45">
        <f t="shared" si="175"/>
        <v>41299</v>
      </c>
      <c r="F2205" s="148" t="str">
        <f t="shared" si="172"/>
        <v>2012-13</v>
      </c>
      <c r="G2205" s="1"/>
      <c r="H2205" s="163"/>
      <c r="I2205" s="37"/>
      <c r="J2205" s="138">
        <f t="shared" si="176"/>
        <v>0.77968490742404351</v>
      </c>
      <c r="K2205" s="114"/>
      <c r="L2205" s="37">
        <v>19.396179555</v>
      </c>
      <c r="M2205" s="37" t="s">
        <v>142</v>
      </c>
      <c r="N2205" s="37">
        <v>696.6467060487804</v>
      </c>
      <c r="O2205" s="132">
        <f t="shared" si="173"/>
        <v>13512.284596921449</v>
      </c>
      <c r="P2205" s="134">
        <f t="shared" si="174"/>
        <v>10535.324365038028</v>
      </c>
      <c r="Q2205" s="261">
        <v>1</v>
      </c>
      <c r="R2205" s="94"/>
    </row>
    <row r="2206" spans="1:18" x14ac:dyDescent="0.25">
      <c r="A2206" s="367">
        <v>40724</v>
      </c>
      <c r="B2206" s="367" t="s">
        <v>279</v>
      </c>
      <c r="C2206" s="279" t="s">
        <v>298</v>
      </c>
      <c r="D2206" s="159" t="s">
        <v>1213</v>
      </c>
      <c r="E2206" s="45">
        <f t="shared" si="175"/>
        <v>40724</v>
      </c>
      <c r="F2206" s="148" t="str">
        <f t="shared" si="172"/>
        <v>2010-11</v>
      </c>
      <c r="G2206" s="1"/>
      <c r="H2206" s="163"/>
      <c r="I2206" s="37"/>
      <c r="J2206" s="138">
        <f t="shared" si="176"/>
        <v>0.77968490742404351</v>
      </c>
      <c r="K2206" s="114"/>
      <c r="L2206" s="37">
        <v>8.9982646939199995</v>
      </c>
      <c r="M2206" s="37" t="s">
        <v>142</v>
      </c>
      <c r="N2206" s="37">
        <v>1181.2618378536583</v>
      </c>
      <c r="O2206" s="132">
        <f t="shared" si="173"/>
        <v>10629.306689833626</v>
      </c>
      <c r="P2206" s="134">
        <f t="shared" si="174"/>
        <v>8287.5100024446965</v>
      </c>
      <c r="Q2206" s="261">
        <v>1</v>
      </c>
      <c r="R2206" s="94"/>
    </row>
    <row r="2207" spans="1:18" x14ac:dyDescent="0.25">
      <c r="A2207" s="367">
        <v>40724</v>
      </c>
      <c r="B2207" s="367" t="s">
        <v>279</v>
      </c>
      <c r="C2207" s="279" t="s">
        <v>298</v>
      </c>
      <c r="D2207" s="159" t="s">
        <v>1213</v>
      </c>
      <c r="E2207" s="45">
        <f t="shared" si="175"/>
        <v>40724</v>
      </c>
      <c r="F2207" s="148" t="str">
        <f t="shared" si="172"/>
        <v>2010-11</v>
      </c>
      <c r="G2207" s="1"/>
      <c r="H2207" s="163"/>
      <c r="I2207" s="37"/>
      <c r="J2207" s="138">
        <f t="shared" si="176"/>
        <v>0.77968490742404351</v>
      </c>
      <c r="K2207" s="114"/>
      <c r="L2207" s="37">
        <v>4.0461188093500002</v>
      </c>
      <c r="M2207" s="37" t="s">
        <v>142</v>
      </c>
      <c r="N2207" s="37">
        <v>696.6467060487804</v>
      </c>
      <c r="O2207" s="132">
        <f t="shared" si="173"/>
        <v>2818.715340815691</v>
      </c>
      <c r="P2207" s="134">
        <f t="shared" si="174"/>
        <v>2197.7098095586134</v>
      </c>
      <c r="Q2207" s="261">
        <v>1</v>
      </c>
      <c r="R2207" s="94"/>
    </row>
    <row r="2208" spans="1:18" x14ac:dyDescent="0.25">
      <c r="A2208" s="367">
        <v>40724</v>
      </c>
      <c r="B2208" s="367" t="s">
        <v>279</v>
      </c>
      <c r="C2208" s="279" t="s">
        <v>298</v>
      </c>
      <c r="D2208" s="159" t="s">
        <v>1213</v>
      </c>
      <c r="E2208" s="45">
        <f t="shared" si="175"/>
        <v>40724</v>
      </c>
      <c r="F2208" s="148" t="str">
        <f t="shared" si="172"/>
        <v>2010-11</v>
      </c>
      <c r="G2208" s="1"/>
      <c r="H2208" s="163"/>
      <c r="I2208" s="37"/>
      <c r="J2208" s="138">
        <f t="shared" si="176"/>
        <v>0.77968490742404351</v>
      </c>
      <c r="K2208" s="114"/>
      <c r="L2208" s="37">
        <v>4.0461265591100002</v>
      </c>
      <c r="M2208" s="37" t="s">
        <v>142</v>
      </c>
      <c r="N2208" s="37">
        <v>696.6467060487804</v>
      </c>
      <c r="O2208" s="132">
        <f t="shared" si="173"/>
        <v>2818.7207396604676</v>
      </c>
      <c r="P2208" s="134">
        <f t="shared" si="174"/>
        <v>2197.7140189564029</v>
      </c>
      <c r="Q2208" s="261">
        <v>1</v>
      </c>
      <c r="R2208" s="94"/>
    </row>
    <row r="2209" spans="1:18" x14ac:dyDescent="0.25">
      <c r="A2209" s="367">
        <v>40724</v>
      </c>
      <c r="B2209" s="367" t="s">
        <v>279</v>
      </c>
      <c r="C2209" s="279" t="s">
        <v>298</v>
      </c>
      <c r="D2209" s="159" t="s">
        <v>1213</v>
      </c>
      <c r="E2209" s="45">
        <f t="shared" si="175"/>
        <v>40724</v>
      </c>
      <c r="F2209" s="148" t="str">
        <f t="shared" si="172"/>
        <v>2010-11</v>
      </c>
      <c r="G2209" s="1"/>
      <c r="H2209" s="163"/>
      <c r="I2209" s="37"/>
      <c r="J2209" s="138">
        <f t="shared" si="176"/>
        <v>0.77968490742404351</v>
      </c>
      <c r="K2209" s="114"/>
      <c r="L2209" s="37">
        <v>1.50004799923</v>
      </c>
      <c r="M2209" s="37" t="s">
        <v>142</v>
      </c>
      <c r="N2209" s="37">
        <v>1181.2618378536583</v>
      </c>
      <c r="O2209" s="132">
        <f t="shared" si="173"/>
        <v>1771.9494564391327</v>
      </c>
      <c r="P2209" s="134">
        <f t="shared" si="174"/>
        <v>1381.5622479038295</v>
      </c>
      <c r="Q2209" s="261">
        <v>1</v>
      </c>
      <c r="R2209" s="94"/>
    </row>
    <row r="2210" spans="1:18" x14ac:dyDescent="0.25">
      <c r="A2210" s="367">
        <v>41457</v>
      </c>
      <c r="B2210" s="367" t="s">
        <v>279</v>
      </c>
      <c r="C2210" s="279" t="s">
        <v>745</v>
      </c>
      <c r="D2210" s="159" t="s">
        <v>1214</v>
      </c>
      <c r="E2210" s="45">
        <f t="shared" si="175"/>
        <v>41457</v>
      </c>
      <c r="F2210" s="148" t="str">
        <f t="shared" si="172"/>
        <v>2013-14</v>
      </c>
      <c r="G2210" s="1"/>
      <c r="H2210" s="163"/>
      <c r="I2210" s="37"/>
      <c r="J2210" s="138">
        <f t="shared" si="176"/>
        <v>0.77968490742404351</v>
      </c>
      <c r="K2210" s="114"/>
      <c r="L2210" s="37">
        <v>9.5934484415100005</v>
      </c>
      <c r="M2210" s="37" t="s">
        <v>142</v>
      </c>
      <c r="N2210" s="37">
        <v>696.6467060487804</v>
      </c>
      <c r="O2210" s="132">
        <f t="shared" si="173"/>
        <v>6683.2442564267476</v>
      </c>
      <c r="P2210" s="134">
        <f t="shared" si="174"/>
        <v>5210.8246793643593</v>
      </c>
      <c r="Q2210" s="261">
        <v>1</v>
      </c>
      <c r="R2210" s="94"/>
    </row>
    <row r="2211" spans="1:18" x14ac:dyDescent="0.25">
      <c r="A2211" s="367">
        <v>40159</v>
      </c>
      <c r="B2211" s="367" t="s">
        <v>279</v>
      </c>
      <c r="C2211" s="279" t="s">
        <v>297</v>
      </c>
      <c r="D2211" s="159" t="s">
        <v>1215</v>
      </c>
      <c r="E2211" s="45">
        <f t="shared" si="175"/>
        <v>40159</v>
      </c>
      <c r="F2211" s="148" t="str">
        <f t="shared" si="172"/>
        <v>2009-10</v>
      </c>
      <c r="G2211" s="1"/>
      <c r="H2211" s="163"/>
      <c r="I2211" s="37"/>
      <c r="J2211" s="138">
        <f t="shared" si="176"/>
        <v>0.77968490742404351</v>
      </c>
      <c r="K2211" s="114"/>
      <c r="L2211" s="37">
        <v>7.7337342119399999</v>
      </c>
      <c r="M2211" s="37" t="s">
        <v>142</v>
      </c>
      <c r="N2211" s="37">
        <v>936.5640883902438</v>
      </c>
      <c r="O2211" s="132">
        <f t="shared" si="173"/>
        <v>7243.1377320580268</v>
      </c>
      <c r="P2211" s="134">
        <f t="shared" si="174"/>
        <v>5647.3651720792586</v>
      </c>
      <c r="Q2211" s="261">
        <v>1</v>
      </c>
      <c r="R2211" s="94"/>
    </row>
    <row r="2212" spans="1:18" x14ac:dyDescent="0.25">
      <c r="A2212" s="367">
        <v>40159</v>
      </c>
      <c r="B2212" s="367" t="s">
        <v>279</v>
      </c>
      <c r="C2212" s="279" t="s">
        <v>297</v>
      </c>
      <c r="D2212" s="159" t="s">
        <v>1215</v>
      </c>
      <c r="E2212" s="45">
        <f t="shared" si="175"/>
        <v>40159</v>
      </c>
      <c r="F2212" s="148" t="str">
        <f t="shared" si="172"/>
        <v>2009-10</v>
      </c>
      <c r="G2212" s="1"/>
      <c r="H2212" s="163"/>
      <c r="I2212" s="37"/>
      <c r="J2212" s="138">
        <f t="shared" si="176"/>
        <v>0.77968490742404351</v>
      </c>
      <c r="K2212" s="114"/>
      <c r="L2212" s="37">
        <v>2.0002204878500001</v>
      </c>
      <c r="M2212" s="37" t="s">
        <v>142</v>
      </c>
      <c r="N2212" s="37">
        <v>936.5640883902438</v>
      </c>
      <c r="O2212" s="132">
        <f t="shared" si="173"/>
        <v>1873.3346777827239</v>
      </c>
      <c r="P2212" s="134">
        <f t="shared" si="174"/>
        <v>1460.6107748212735</v>
      </c>
      <c r="Q2212" s="261">
        <v>1</v>
      </c>
      <c r="R2212" s="94"/>
    </row>
    <row r="2213" spans="1:18" x14ac:dyDescent="0.25">
      <c r="A2213" s="367">
        <v>40159</v>
      </c>
      <c r="B2213" s="367" t="s">
        <v>279</v>
      </c>
      <c r="C2213" s="279" t="s">
        <v>297</v>
      </c>
      <c r="D2213" s="159" t="s">
        <v>1215</v>
      </c>
      <c r="E2213" s="45">
        <f t="shared" si="175"/>
        <v>40159</v>
      </c>
      <c r="F2213" s="148" t="str">
        <f t="shared" si="172"/>
        <v>2009-10</v>
      </c>
      <c r="G2213" s="1"/>
      <c r="H2213" s="163"/>
      <c r="I2213" s="37"/>
      <c r="J2213" s="138">
        <f t="shared" si="176"/>
        <v>0.77968490742404351</v>
      </c>
      <c r="K2213" s="114"/>
      <c r="L2213" s="37">
        <v>20.8885380981</v>
      </c>
      <c r="M2213" s="37" t="s">
        <v>142</v>
      </c>
      <c r="N2213" s="37">
        <v>936.5640883902438</v>
      </c>
      <c r="O2213" s="132">
        <f t="shared" si="173"/>
        <v>19563.454641651904</v>
      </c>
      <c r="P2213" s="134">
        <f t="shared" si="174"/>
        <v>15253.330321170839</v>
      </c>
      <c r="Q2213" s="261">
        <v>1</v>
      </c>
      <c r="R2213" s="94"/>
    </row>
    <row r="2214" spans="1:18" x14ac:dyDescent="0.25">
      <c r="A2214" s="367">
        <v>40159</v>
      </c>
      <c r="B2214" s="367" t="s">
        <v>279</v>
      </c>
      <c r="C2214" s="279" t="s">
        <v>297</v>
      </c>
      <c r="D2214" s="159" t="s">
        <v>1215</v>
      </c>
      <c r="E2214" s="45">
        <f t="shared" si="175"/>
        <v>40159</v>
      </c>
      <c r="F2214" s="148" t="str">
        <f t="shared" si="172"/>
        <v>2009-10</v>
      </c>
      <c r="G2214" s="1"/>
      <c r="H2214" s="163"/>
      <c r="I2214" s="37"/>
      <c r="J2214" s="138">
        <f t="shared" si="176"/>
        <v>0.77968490742404351</v>
      </c>
      <c r="K2214" s="114"/>
      <c r="L2214" s="37">
        <v>10.848820056999999</v>
      </c>
      <c r="M2214" s="37" t="s">
        <v>142</v>
      </c>
      <c r="N2214" s="37">
        <v>936.5640883902438</v>
      </c>
      <c r="O2214" s="132">
        <f t="shared" si="173"/>
        <v>10160.615266793997</v>
      </c>
      <c r="P2214" s="134">
        <f t="shared" si="174"/>
        <v>7922.0783736616004</v>
      </c>
      <c r="Q2214" s="261">
        <v>1</v>
      </c>
      <c r="R2214" s="94"/>
    </row>
    <row r="2215" spans="1:18" x14ac:dyDescent="0.25">
      <c r="A2215" s="367">
        <v>40159</v>
      </c>
      <c r="B2215" s="367" t="s">
        <v>279</v>
      </c>
      <c r="C2215" s="279" t="s">
        <v>297</v>
      </c>
      <c r="D2215" s="159" t="s">
        <v>1215</v>
      </c>
      <c r="E2215" s="45">
        <f t="shared" si="175"/>
        <v>40159</v>
      </c>
      <c r="F2215" s="148" t="str">
        <f t="shared" si="172"/>
        <v>2009-10</v>
      </c>
      <c r="G2215" s="1"/>
      <c r="H2215" s="163"/>
      <c r="I2215" s="37"/>
      <c r="J2215" s="138">
        <f t="shared" si="176"/>
        <v>0.77968490742404351</v>
      </c>
      <c r="K2215" s="114"/>
      <c r="L2215" s="37">
        <v>4.0180009526599996</v>
      </c>
      <c r="M2215" s="37" t="s">
        <v>142</v>
      </c>
      <c r="N2215" s="37">
        <v>936.5640883902438</v>
      </c>
      <c r="O2215" s="132">
        <f t="shared" si="173"/>
        <v>3763.1153993791436</v>
      </c>
      <c r="P2215" s="134">
        <f t="shared" si="174"/>
        <v>2934.0442817909202</v>
      </c>
      <c r="Q2215" s="261">
        <v>1</v>
      </c>
      <c r="R2215" s="94"/>
    </row>
    <row r="2216" spans="1:18" x14ac:dyDescent="0.25">
      <c r="A2216" s="367">
        <v>40159</v>
      </c>
      <c r="B2216" s="367" t="s">
        <v>279</v>
      </c>
      <c r="C2216" s="279" t="s">
        <v>297</v>
      </c>
      <c r="D2216" s="159" t="s">
        <v>1215</v>
      </c>
      <c r="E2216" s="45">
        <f t="shared" si="175"/>
        <v>40159</v>
      </c>
      <c r="F2216" s="148" t="str">
        <f t="shared" si="172"/>
        <v>2009-10</v>
      </c>
      <c r="G2216" s="1"/>
      <c r="H2216" s="163"/>
      <c r="I2216" s="37"/>
      <c r="J2216" s="138">
        <f t="shared" si="176"/>
        <v>0.77968490742404351</v>
      </c>
      <c r="K2216" s="114"/>
      <c r="L2216" s="37">
        <v>6.2132448245300003</v>
      </c>
      <c r="M2216" s="37" t="s">
        <v>142</v>
      </c>
      <c r="N2216" s="37">
        <v>936.5640883902438</v>
      </c>
      <c r="O2216" s="132">
        <f t="shared" si="173"/>
        <v>5819.1019750313399</v>
      </c>
      <c r="P2216" s="134">
        <f t="shared" si="174"/>
        <v>4537.0659846933786</v>
      </c>
      <c r="Q2216" s="261">
        <v>1</v>
      </c>
      <c r="R2216" s="94"/>
    </row>
    <row r="2217" spans="1:18" x14ac:dyDescent="0.25">
      <c r="A2217" s="367">
        <v>40159</v>
      </c>
      <c r="B2217" s="367" t="s">
        <v>279</v>
      </c>
      <c r="C2217" s="279" t="s">
        <v>297</v>
      </c>
      <c r="D2217" s="159" t="s">
        <v>1215</v>
      </c>
      <c r="E2217" s="45">
        <f t="shared" si="175"/>
        <v>40159</v>
      </c>
      <c r="F2217" s="148" t="str">
        <f t="shared" si="172"/>
        <v>2009-10</v>
      </c>
      <c r="G2217" s="1"/>
      <c r="H2217" s="163"/>
      <c r="I2217" s="37"/>
      <c r="J2217" s="138">
        <f t="shared" si="176"/>
        <v>0.77968490742404351</v>
      </c>
      <c r="K2217" s="114"/>
      <c r="L2217" s="37">
        <v>3.9995962234700002</v>
      </c>
      <c r="M2217" s="37" t="s">
        <v>142</v>
      </c>
      <c r="N2217" s="37">
        <v>771.6404230243902</v>
      </c>
      <c r="O2217" s="132">
        <f t="shared" si="173"/>
        <v>3086.2501218051443</v>
      </c>
      <c r="P2217" s="134">
        <f t="shared" si="174"/>
        <v>2406.3026405070868</v>
      </c>
      <c r="Q2217" s="261">
        <v>1</v>
      </c>
      <c r="R2217" s="94"/>
    </row>
    <row r="2218" spans="1:18" x14ac:dyDescent="0.25">
      <c r="A2218" s="367">
        <v>40159</v>
      </c>
      <c r="B2218" s="367" t="s">
        <v>279</v>
      </c>
      <c r="C2218" s="279" t="s">
        <v>297</v>
      </c>
      <c r="D2218" s="159" t="s">
        <v>1215</v>
      </c>
      <c r="E2218" s="45">
        <f t="shared" si="175"/>
        <v>40159</v>
      </c>
      <c r="F2218" s="148" t="str">
        <f t="shared" si="172"/>
        <v>2009-10</v>
      </c>
      <c r="G2218" s="1"/>
      <c r="H2218" s="163"/>
      <c r="I2218" s="37"/>
      <c r="J2218" s="138">
        <f t="shared" si="176"/>
        <v>0.77968490742404351</v>
      </c>
      <c r="K2218" s="114"/>
      <c r="L2218" s="37">
        <v>1.5307844394300001</v>
      </c>
      <c r="M2218" s="37" t="s">
        <v>142</v>
      </c>
      <c r="N2218" s="37">
        <v>936.5640883902438</v>
      </c>
      <c r="O2218" s="132">
        <f t="shared" si="173"/>
        <v>1433.6777330367283</v>
      </c>
      <c r="P2218" s="134">
        <f t="shared" si="174"/>
        <v>1117.816890558654</v>
      </c>
      <c r="Q2218" s="261">
        <v>1</v>
      </c>
      <c r="R2218" s="94"/>
    </row>
    <row r="2219" spans="1:18" x14ac:dyDescent="0.25">
      <c r="A2219" s="367">
        <v>40159</v>
      </c>
      <c r="B2219" s="367" t="s">
        <v>279</v>
      </c>
      <c r="C2219" s="279" t="s">
        <v>297</v>
      </c>
      <c r="D2219" s="159" t="s">
        <v>1215</v>
      </c>
      <c r="E2219" s="45">
        <f t="shared" si="175"/>
        <v>40159</v>
      </c>
      <c r="F2219" s="148" t="str">
        <f t="shared" si="172"/>
        <v>2009-10</v>
      </c>
      <c r="G2219" s="1"/>
      <c r="H2219" s="163"/>
      <c r="I2219" s="37"/>
      <c r="J2219" s="138">
        <f t="shared" si="176"/>
        <v>0.77968490742404351</v>
      </c>
      <c r="K2219" s="114"/>
      <c r="L2219" s="37">
        <v>4.5620260831700001</v>
      </c>
      <c r="M2219" s="37" t="s">
        <v>142</v>
      </c>
      <c r="N2219" s="37">
        <v>936.5640883902438</v>
      </c>
      <c r="O2219" s="132">
        <f t="shared" si="173"/>
        <v>4272.6297997966258</v>
      </c>
      <c r="P2219" s="134">
        <f t="shared" si="174"/>
        <v>3331.3049699116418</v>
      </c>
      <c r="Q2219" s="261">
        <v>1</v>
      </c>
      <c r="R2219" s="94"/>
    </row>
    <row r="2220" spans="1:18" x14ac:dyDescent="0.25">
      <c r="A2220" s="367">
        <v>39275</v>
      </c>
      <c r="B2220" s="367" t="s">
        <v>279</v>
      </c>
      <c r="C2220" s="279" t="s">
        <v>746</v>
      </c>
      <c r="D2220" s="159" t="s">
        <v>1216</v>
      </c>
      <c r="E2220" s="45">
        <f t="shared" si="175"/>
        <v>39275</v>
      </c>
      <c r="F2220" s="148" t="str">
        <f t="shared" si="172"/>
        <v>2007-08</v>
      </c>
      <c r="G2220" s="1"/>
      <c r="H2220" s="163"/>
      <c r="I2220" s="37"/>
      <c r="J2220" s="138">
        <f t="shared" si="176"/>
        <v>0.77968490742404351</v>
      </c>
      <c r="K2220" s="114"/>
      <c r="L2220" s="37">
        <v>6.89852911865</v>
      </c>
      <c r="M2220" s="37" t="s">
        <v>142</v>
      </c>
      <c r="N2220" s="37">
        <v>1003.0093919999996</v>
      </c>
      <c r="O2220" s="132">
        <f t="shared" si="173"/>
        <v>6919.2894969914296</v>
      </c>
      <c r="P2220" s="134">
        <f t="shared" si="174"/>
        <v>5394.8655909019189</v>
      </c>
      <c r="Q2220" s="261">
        <v>1</v>
      </c>
      <c r="R2220" s="94"/>
    </row>
    <row r="2221" spans="1:18" x14ac:dyDescent="0.25">
      <c r="A2221" s="367">
        <v>40033</v>
      </c>
      <c r="B2221" s="367" t="s">
        <v>279</v>
      </c>
      <c r="C2221" s="279" t="s">
        <v>747</v>
      </c>
      <c r="D2221" s="159" t="s">
        <v>1217</v>
      </c>
      <c r="E2221" s="45">
        <f t="shared" si="175"/>
        <v>40033</v>
      </c>
      <c r="F2221" s="148" t="str">
        <f t="shared" si="172"/>
        <v>2009-10</v>
      </c>
      <c r="G2221" s="1"/>
      <c r="H2221" s="163"/>
      <c r="I2221" s="37"/>
      <c r="J2221" s="138">
        <f t="shared" si="176"/>
        <v>0.77968490742404351</v>
      </c>
      <c r="K2221" s="114"/>
      <c r="L2221" s="37">
        <v>309.245272849</v>
      </c>
      <c r="M2221" s="37" t="s">
        <v>142</v>
      </c>
      <c r="N2221" s="37">
        <v>771.6404230243902</v>
      </c>
      <c r="O2221" s="132">
        <f t="shared" si="173"/>
        <v>238626.15315949533</v>
      </c>
      <c r="P2221" s="134">
        <f t="shared" si="174"/>
        <v>186053.21013511674</v>
      </c>
      <c r="Q2221" s="261">
        <v>1</v>
      </c>
      <c r="R2221" s="94"/>
    </row>
    <row r="2222" spans="1:18" x14ac:dyDescent="0.25">
      <c r="A2222" s="367">
        <v>40865</v>
      </c>
      <c r="B2222" s="367" t="s">
        <v>279</v>
      </c>
      <c r="C2222" s="279" t="s">
        <v>748</v>
      </c>
      <c r="D2222" s="159" t="s">
        <v>1218</v>
      </c>
      <c r="E2222" s="45">
        <f t="shared" si="175"/>
        <v>40865</v>
      </c>
      <c r="F2222" s="148" t="str">
        <f t="shared" si="172"/>
        <v>2011-12</v>
      </c>
      <c r="G2222" s="1"/>
      <c r="H2222" s="163"/>
      <c r="I2222" s="37"/>
      <c r="J2222" s="138">
        <f t="shared" si="176"/>
        <v>0.77968490742404351</v>
      </c>
      <c r="K2222" s="114"/>
      <c r="L2222" s="37">
        <v>18.119755627499998</v>
      </c>
      <c r="M2222" s="37" t="s">
        <v>142</v>
      </c>
      <c r="N2222" s="37">
        <v>1385.4167692682922</v>
      </c>
      <c r="O2222" s="132">
        <f t="shared" si="173"/>
        <v>25103.413301382006</v>
      </c>
      <c r="P2222" s="134">
        <f t="shared" si="174"/>
        <v>8011.6653729526033</v>
      </c>
      <c r="Q2222" s="261">
        <v>0.40932747618461113</v>
      </c>
      <c r="R2222" s="94"/>
    </row>
    <row r="2223" spans="1:18" x14ac:dyDescent="0.25">
      <c r="A2223" s="367">
        <v>40865</v>
      </c>
      <c r="B2223" s="367" t="s">
        <v>279</v>
      </c>
      <c r="C2223" s="279" t="s">
        <v>748</v>
      </c>
      <c r="D2223" s="159" t="s">
        <v>1218</v>
      </c>
      <c r="E2223" s="45">
        <f t="shared" si="175"/>
        <v>40865</v>
      </c>
      <c r="F2223" s="148" t="str">
        <f t="shared" si="172"/>
        <v>2011-12</v>
      </c>
      <c r="G2223" s="1"/>
      <c r="H2223" s="163"/>
      <c r="I2223" s="37"/>
      <c r="J2223" s="138">
        <f t="shared" si="176"/>
        <v>0.77968490742404351</v>
      </c>
      <c r="K2223" s="114"/>
      <c r="L2223" s="37">
        <v>11.3589070647</v>
      </c>
      <c r="M2223" s="37" t="s">
        <v>142</v>
      </c>
      <c r="N2223" s="37">
        <v>936.5640883902438</v>
      </c>
      <c r="O2223" s="132">
        <f t="shared" si="173"/>
        <v>10638.344440160256</v>
      </c>
      <c r="P2223" s="134">
        <f t="shared" si="174"/>
        <v>3395.189919136717</v>
      </c>
      <c r="Q2223" s="261">
        <v>0.40932747618461113</v>
      </c>
      <c r="R2223" s="94"/>
    </row>
    <row r="2224" spans="1:18" x14ac:dyDescent="0.25">
      <c r="A2224" s="367">
        <v>40865</v>
      </c>
      <c r="B2224" s="367" t="s">
        <v>279</v>
      </c>
      <c r="C2224" s="279" t="s">
        <v>748</v>
      </c>
      <c r="D2224" s="159" t="s">
        <v>1218</v>
      </c>
      <c r="E2224" s="45">
        <f t="shared" si="175"/>
        <v>40865</v>
      </c>
      <c r="F2224" s="148" t="str">
        <f t="shared" si="172"/>
        <v>2011-12</v>
      </c>
      <c r="G2224" s="1"/>
      <c r="H2224" s="163"/>
      <c r="I2224" s="37"/>
      <c r="J2224" s="138">
        <f t="shared" si="176"/>
        <v>0.77968490742404351</v>
      </c>
      <c r="K2224" s="114"/>
      <c r="L2224" s="37">
        <v>3.5638618156200002</v>
      </c>
      <c r="M2224" s="37" t="s">
        <v>142</v>
      </c>
      <c r="N2224" s="37">
        <v>1181.2618378536583</v>
      </c>
      <c r="O2224" s="132">
        <f t="shared" si="173"/>
        <v>4209.8539581757568</v>
      </c>
      <c r="P2224" s="134">
        <f t="shared" si="174"/>
        <v>1343.5599683986943</v>
      </c>
      <c r="Q2224" s="261">
        <v>0.40932747618461113</v>
      </c>
      <c r="R2224" s="94"/>
    </row>
    <row r="2225" spans="1:18" x14ac:dyDescent="0.25">
      <c r="A2225" s="367">
        <v>40865</v>
      </c>
      <c r="B2225" s="367" t="s">
        <v>279</v>
      </c>
      <c r="C2225" s="279" t="s">
        <v>748</v>
      </c>
      <c r="D2225" s="159" t="s">
        <v>1218</v>
      </c>
      <c r="E2225" s="45">
        <f t="shared" si="175"/>
        <v>40865</v>
      </c>
      <c r="F2225" s="148" t="str">
        <f t="shared" si="172"/>
        <v>2011-12</v>
      </c>
      <c r="G2225" s="1"/>
      <c r="H2225" s="163"/>
      <c r="I2225" s="37"/>
      <c r="J2225" s="138">
        <f t="shared" si="176"/>
        <v>0.77968490742404351</v>
      </c>
      <c r="K2225" s="114"/>
      <c r="L2225" s="37">
        <v>10.219620649599999</v>
      </c>
      <c r="M2225" s="37" t="s">
        <v>142</v>
      </c>
      <c r="N2225" s="37">
        <v>1181.2618378536583</v>
      </c>
      <c r="O2225" s="132">
        <f t="shared" si="173"/>
        <v>12072.047870713694</v>
      </c>
      <c r="P2225" s="134">
        <f t="shared" si="174"/>
        <v>3852.7512870569903</v>
      </c>
      <c r="Q2225" s="261">
        <v>0.40932747618461113</v>
      </c>
      <c r="R2225" s="94"/>
    </row>
    <row r="2226" spans="1:18" x14ac:dyDescent="0.25">
      <c r="A2226" s="367">
        <v>40865</v>
      </c>
      <c r="B2226" s="367" t="s">
        <v>279</v>
      </c>
      <c r="C2226" s="279" t="s">
        <v>748</v>
      </c>
      <c r="D2226" s="159" t="s">
        <v>1218</v>
      </c>
      <c r="E2226" s="45">
        <f t="shared" si="175"/>
        <v>40865</v>
      </c>
      <c r="F2226" s="148" t="str">
        <f t="shared" si="172"/>
        <v>2011-12</v>
      </c>
      <c r="G2226" s="1"/>
      <c r="H2226" s="163"/>
      <c r="I2226" s="37"/>
      <c r="J2226" s="138">
        <f t="shared" si="176"/>
        <v>0.77968490742404351</v>
      </c>
      <c r="K2226" s="114"/>
      <c r="L2226" s="37">
        <v>4.4798046235199998</v>
      </c>
      <c r="M2226" s="37" t="s">
        <v>142</v>
      </c>
      <c r="N2226" s="37">
        <v>936.5640883902438</v>
      </c>
      <c r="O2226" s="132">
        <f t="shared" si="173"/>
        <v>4195.6241333934076</v>
      </c>
      <c r="P2226" s="134">
        <f t="shared" si="174"/>
        <v>1339.0185702587985</v>
      </c>
      <c r="Q2226" s="261">
        <v>0.40932747618461113</v>
      </c>
      <c r="R2226" s="94"/>
    </row>
    <row r="2227" spans="1:18" x14ac:dyDescent="0.25">
      <c r="A2227" s="367">
        <v>40865</v>
      </c>
      <c r="B2227" s="367" t="s">
        <v>279</v>
      </c>
      <c r="C2227" s="279" t="s">
        <v>748</v>
      </c>
      <c r="D2227" s="159" t="s">
        <v>1218</v>
      </c>
      <c r="E2227" s="45">
        <f t="shared" si="175"/>
        <v>40865</v>
      </c>
      <c r="F2227" s="148" t="str">
        <f t="shared" si="172"/>
        <v>2011-12</v>
      </c>
      <c r="G2227" s="1"/>
      <c r="H2227" s="163"/>
      <c r="I2227" s="37"/>
      <c r="J2227" s="138">
        <f t="shared" si="176"/>
        <v>0.77968490742404351</v>
      </c>
      <c r="K2227" s="114"/>
      <c r="L2227" s="37">
        <v>7.5193227090899999</v>
      </c>
      <c r="M2227" s="37" t="s">
        <v>142</v>
      </c>
      <c r="N2227" s="37">
        <v>936.5640883902438</v>
      </c>
      <c r="O2227" s="132">
        <f t="shared" si="173"/>
        <v>7042.3276183509342</v>
      </c>
      <c r="P2227" s="134">
        <f t="shared" si="174"/>
        <v>2247.5338969869827</v>
      </c>
      <c r="Q2227" s="261">
        <v>0.40932747618461113</v>
      </c>
      <c r="R2227" s="94"/>
    </row>
    <row r="2228" spans="1:18" x14ac:dyDescent="0.25">
      <c r="A2228" s="367">
        <v>39539</v>
      </c>
      <c r="B2228" s="367" t="s">
        <v>279</v>
      </c>
      <c r="C2228" s="279" t="s">
        <v>749</v>
      </c>
      <c r="D2228" s="159" t="s">
        <v>1180</v>
      </c>
      <c r="E2228" s="45">
        <f t="shared" si="175"/>
        <v>39539</v>
      </c>
      <c r="F2228" s="148" t="str">
        <f t="shared" si="172"/>
        <v>2007-08</v>
      </c>
      <c r="G2228" s="1"/>
      <c r="H2228" s="163"/>
      <c r="I2228" s="37"/>
      <c r="J2228" s="138">
        <f t="shared" si="176"/>
        <v>0.77968490742404351</v>
      </c>
      <c r="K2228" s="114"/>
      <c r="L2228" s="37">
        <v>369.80872588699998</v>
      </c>
      <c r="M2228" s="37" t="s">
        <v>142</v>
      </c>
      <c r="N2228" s="37">
        <v>696.6467060487804</v>
      </c>
      <c r="O2228" s="132">
        <f t="shared" si="173"/>
        <v>257626.03075727489</v>
      </c>
      <c r="P2228" s="134">
        <f t="shared" si="174"/>
        <v>200867.12794100965</v>
      </c>
      <c r="Q2228" s="261">
        <v>1</v>
      </c>
      <c r="R2228" s="94"/>
    </row>
    <row r="2229" spans="1:18" x14ac:dyDescent="0.25">
      <c r="A2229" s="367">
        <v>41935</v>
      </c>
      <c r="B2229" s="367" t="s">
        <v>279</v>
      </c>
      <c r="C2229" s="279" t="s">
        <v>750</v>
      </c>
      <c r="D2229" s="159" t="s">
        <v>1090</v>
      </c>
      <c r="E2229" s="45">
        <f t="shared" si="175"/>
        <v>41935</v>
      </c>
      <c r="F2229" s="148" t="str">
        <f t="shared" si="172"/>
        <v>2014-15</v>
      </c>
      <c r="G2229" s="1"/>
      <c r="H2229" s="163"/>
      <c r="I2229" s="37"/>
      <c r="J2229" s="138">
        <f t="shared" si="176"/>
        <v>0.77968490742404351</v>
      </c>
      <c r="K2229" s="114"/>
      <c r="L2229" s="37">
        <v>332.44150771800003</v>
      </c>
      <c r="M2229" s="37" t="s">
        <v>142</v>
      </c>
      <c r="N2229" s="37">
        <v>696.6467060487804</v>
      </c>
      <c r="O2229" s="132">
        <f t="shared" si="173"/>
        <v>231594.28130563491</v>
      </c>
      <c r="P2229" s="134">
        <f t="shared" si="174"/>
        <v>180570.56577972186</v>
      </c>
      <c r="Q2229" s="261">
        <v>1</v>
      </c>
      <c r="R2229" s="94"/>
    </row>
    <row r="2230" spans="1:18" x14ac:dyDescent="0.25">
      <c r="A2230" s="367">
        <v>41935</v>
      </c>
      <c r="B2230" s="367" t="s">
        <v>279</v>
      </c>
      <c r="C2230" s="279" t="s">
        <v>750</v>
      </c>
      <c r="D2230" s="159" t="s">
        <v>1090</v>
      </c>
      <c r="E2230" s="45">
        <f t="shared" si="175"/>
        <v>41935</v>
      </c>
      <c r="F2230" s="148" t="str">
        <f t="shared" si="172"/>
        <v>2014-15</v>
      </c>
      <c r="G2230" s="1"/>
      <c r="H2230" s="163"/>
      <c r="I2230" s="37"/>
      <c r="J2230" s="138">
        <f t="shared" si="176"/>
        <v>0.77968490742404351</v>
      </c>
      <c r="K2230" s="114"/>
      <c r="L2230" s="37">
        <v>8.4148736962099999</v>
      </c>
      <c r="M2230" s="37" t="s">
        <v>142</v>
      </c>
      <c r="N2230" s="37">
        <v>696.6467060487804</v>
      </c>
      <c r="O2230" s="132">
        <f t="shared" si="173"/>
        <v>5862.1940422812222</v>
      </c>
      <c r="P2230" s="134">
        <f t="shared" si="174"/>
        <v>4570.6642191578139</v>
      </c>
      <c r="Q2230" s="261">
        <v>1</v>
      </c>
      <c r="R2230" s="94"/>
    </row>
    <row r="2231" spans="1:18" x14ac:dyDescent="0.25">
      <c r="A2231" s="367">
        <v>39539</v>
      </c>
      <c r="B2231" s="367" t="s">
        <v>279</v>
      </c>
      <c r="C2231" s="279" t="s">
        <v>749</v>
      </c>
      <c r="D2231" s="159" t="s">
        <v>1180</v>
      </c>
      <c r="E2231" s="45">
        <f t="shared" si="175"/>
        <v>39539</v>
      </c>
      <c r="F2231" s="148" t="str">
        <f t="shared" si="172"/>
        <v>2007-08</v>
      </c>
      <c r="G2231" s="1"/>
      <c r="H2231" s="163"/>
      <c r="I2231" s="37"/>
      <c r="J2231" s="138">
        <f t="shared" si="176"/>
        <v>0.77968490742404351</v>
      </c>
      <c r="K2231" s="114"/>
      <c r="L2231" s="37">
        <v>426.31948448999998</v>
      </c>
      <c r="M2231" s="37" t="s">
        <v>142</v>
      </c>
      <c r="N2231" s="37">
        <v>771.6404230243902</v>
      </c>
      <c r="O2231" s="132">
        <f t="shared" si="173"/>
        <v>328965.34735540353</v>
      </c>
      <c r="P2231" s="134">
        <f t="shared" si="174"/>
        <v>256489.31639851612</v>
      </c>
      <c r="Q2231" s="261">
        <v>1</v>
      </c>
      <c r="R2231" s="94"/>
    </row>
    <row r="2232" spans="1:18" x14ac:dyDescent="0.25">
      <c r="A2232" s="367">
        <v>39539</v>
      </c>
      <c r="B2232" s="367" t="s">
        <v>279</v>
      </c>
      <c r="C2232" s="279" t="s">
        <v>749</v>
      </c>
      <c r="D2232" s="159" t="s">
        <v>1180</v>
      </c>
      <c r="E2232" s="45">
        <f t="shared" si="175"/>
        <v>39539</v>
      </c>
      <c r="F2232" s="148" t="str">
        <f t="shared" si="172"/>
        <v>2007-08</v>
      </c>
      <c r="G2232" s="1"/>
      <c r="H2232" s="163"/>
      <c r="I2232" s="37"/>
      <c r="J2232" s="138">
        <f t="shared" si="176"/>
        <v>0.77968490742404351</v>
      </c>
      <c r="K2232" s="114"/>
      <c r="L2232" s="37">
        <v>19.384719895300002</v>
      </c>
      <c r="M2232" s="37" t="s">
        <v>142</v>
      </c>
      <c r="N2232" s="37">
        <v>696.6467060487804</v>
      </c>
      <c r="O2232" s="132">
        <f t="shared" si="173"/>
        <v>13504.301262739005</v>
      </c>
      <c r="P2232" s="134">
        <f t="shared" si="174"/>
        <v>10529.099879865054</v>
      </c>
      <c r="Q2232" s="261">
        <v>1</v>
      </c>
      <c r="R2232" s="94"/>
    </row>
    <row r="2233" spans="1:18" x14ac:dyDescent="0.25">
      <c r="A2233" s="367">
        <v>39539</v>
      </c>
      <c r="B2233" s="367" t="s">
        <v>279</v>
      </c>
      <c r="C2233" s="279" t="s">
        <v>749</v>
      </c>
      <c r="D2233" s="159" t="s">
        <v>1180</v>
      </c>
      <c r="E2233" s="45">
        <f t="shared" si="175"/>
        <v>39539</v>
      </c>
      <c r="F2233" s="148" t="str">
        <f t="shared" si="172"/>
        <v>2007-08</v>
      </c>
      <c r="G2233" s="1"/>
      <c r="H2233" s="163"/>
      <c r="I2233" s="37"/>
      <c r="J2233" s="138">
        <f t="shared" si="176"/>
        <v>0.77968490742404351</v>
      </c>
      <c r="K2233" s="114"/>
      <c r="L2233" s="37">
        <v>17.953613644099999</v>
      </c>
      <c r="M2233" s="37" t="s">
        <v>142</v>
      </c>
      <c r="N2233" s="37">
        <v>771.6404230243902</v>
      </c>
      <c r="O2233" s="132">
        <f t="shared" si="173"/>
        <v>13853.734027149787</v>
      </c>
      <c r="P2233" s="134">
        <f t="shared" si="174"/>
        <v>10801.547332435603</v>
      </c>
      <c r="Q2233" s="261">
        <v>1</v>
      </c>
      <c r="R2233" s="94"/>
    </row>
    <row r="2234" spans="1:18" x14ac:dyDescent="0.25">
      <c r="A2234" s="367">
        <v>39539</v>
      </c>
      <c r="B2234" s="367" t="s">
        <v>279</v>
      </c>
      <c r="C2234" s="279" t="s">
        <v>749</v>
      </c>
      <c r="D2234" s="159" t="s">
        <v>1180</v>
      </c>
      <c r="E2234" s="45">
        <f t="shared" si="175"/>
        <v>39539</v>
      </c>
      <c r="F2234" s="148" t="str">
        <f t="shared" si="172"/>
        <v>2007-08</v>
      </c>
      <c r="G2234" s="1"/>
      <c r="H2234" s="163"/>
      <c r="I2234" s="37"/>
      <c r="J2234" s="138">
        <f t="shared" si="176"/>
        <v>0.77968490742404351</v>
      </c>
      <c r="K2234" s="114"/>
      <c r="L2234" s="37">
        <v>2.5001215968400001</v>
      </c>
      <c r="M2234" s="37" t="s">
        <v>142</v>
      </c>
      <c r="N2234" s="37">
        <v>1181.2618378536583</v>
      </c>
      <c r="O2234" s="132">
        <f t="shared" si="173"/>
        <v>2953.2982323408414</v>
      </c>
      <c r="P2234" s="134">
        <f t="shared" si="174"/>
        <v>2302.6420588782603</v>
      </c>
      <c r="Q2234" s="261">
        <v>1</v>
      </c>
      <c r="R2234" s="94"/>
    </row>
    <row r="2235" spans="1:18" x14ac:dyDescent="0.25">
      <c r="A2235" s="367">
        <v>41820</v>
      </c>
      <c r="B2235" s="367" t="s">
        <v>279</v>
      </c>
      <c r="C2235" s="279" t="s">
        <v>751</v>
      </c>
      <c r="D2235" s="159" t="s">
        <v>1219</v>
      </c>
      <c r="E2235" s="45">
        <f t="shared" si="175"/>
        <v>41820</v>
      </c>
      <c r="F2235" s="148" t="str">
        <f t="shared" si="172"/>
        <v>2013-14</v>
      </c>
      <c r="G2235" s="1"/>
      <c r="H2235" s="163"/>
      <c r="I2235" s="37"/>
      <c r="J2235" s="138">
        <f t="shared" si="176"/>
        <v>0.77968490742404351</v>
      </c>
      <c r="K2235" s="114"/>
      <c r="L2235" s="37">
        <v>108.621884888</v>
      </c>
      <c r="M2235" s="37" t="s">
        <v>142</v>
      </c>
      <c r="N2235" s="37">
        <v>771.6404230243902</v>
      </c>
      <c r="O2235" s="132">
        <f t="shared" si="173"/>
        <v>83817.037204682929</v>
      </c>
      <c r="P2235" s="134">
        <f t="shared" si="174"/>
        <v>65350.878893490823</v>
      </c>
      <c r="Q2235" s="261">
        <v>1</v>
      </c>
      <c r="R2235" s="94"/>
    </row>
    <row r="2236" spans="1:18" x14ac:dyDescent="0.25">
      <c r="A2236" s="367">
        <v>41820</v>
      </c>
      <c r="B2236" s="367" t="s">
        <v>279</v>
      </c>
      <c r="C2236" s="279" t="s">
        <v>751</v>
      </c>
      <c r="D2236" s="159" t="s">
        <v>1219</v>
      </c>
      <c r="E2236" s="45">
        <f t="shared" si="175"/>
        <v>41820</v>
      </c>
      <c r="F2236" s="148" t="str">
        <f t="shared" si="172"/>
        <v>2013-14</v>
      </c>
      <c r="G2236" s="1"/>
      <c r="H2236" s="163"/>
      <c r="I2236" s="37"/>
      <c r="J2236" s="138">
        <f t="shared" si="176"/>
        <v>0.77968490742404351</v>
      </c>
      <c r="K2236" s="114"/>
      <c r="L2236" s="37">
        <v>17.9272279433</v>
      </c>
      <c r="M2236" s="37" t="s">
        <v>142</v>
      </c>
      <c r="N2236" s="37">
        <v>771.6404230243902</v>
      </c>
      <c r="O2236" s="132">
        <f t="shared" si="173"/>
        <v>13833.373753822681</v>
      </c>
      <c r="P2236" s="134">
        <f t="shared" si="174"/>
        <v>10785.672734611431</v>
      </c>
      <c r="Q2236" s="261">
        <v>1</v>
      </c>
      <c r="R2236" s="94"/>
    </row>
    <row r="2237" spans="1:18" x14ac:dyDescent="0.25">
      <c r="A2237" s="367">
        <v>41820</v>
      </c>
      <c r="B2237" s="367" t="s">
        <v>279</v>
      </c>
      <c r="C2237" s="279" t="s">
        <v>751</v>
      </c>
      <c r="D2237" s="159" t="s">
        <v>1219</v>
      </c>
      <c r="E2237" s="45">
        <f t="shared" si="175"/>
        <v>41820</v>
      </c>
      <c r="F2237" s="148" t="str">
        <f t="shared" si="172"/>
        <v>2013-14</v>
      </c>
      <c r="G2237" s="1"/>
      <c r="H2237" s="163"/>
      <c r="I2237" s="37"/>
      <c r="J2237" s="138">
        <f t="shared" si="176"/>
        <v>0.77968490742404351</v>
      </c>
      <c r="K2237" s="114"/>
      <c r="L2237" s="37">
        <v>2.9992422853199998</v>
      </c>
      <c r="M2237" s="37" t="s">
        <v>142</v>
      </c>
      <c r="N2237" s="37">
        <v>771.6404230243902</v>
      </c>
      <c r="O2237" s="132">
        <f t="shared" si="173"/>
        <v>2314.3365857969634</v>
      </c>
      <c r="P2237" s="134">
        <f t="shared" si="174"/>
        <v>1804.4533066451822</v>
      </c>
      <c r="Q2237" s="261">
        <v>1</v>
      </c>
      <c r="R2237" s="94"/>
    </row>
    <row r="2238" spans="1:18" x14ac:dyDescent="0.25">
      <c r="A2238" s="367">
        <v>41820</v>
      </c>
      <c r="B2238" s="367" t="s">
        <v>279</v>
      </c>
      <c r="C2238" s="279" t="s">
        <v>751</v>
      </c>
      <c r="D2238" s="159" t="s">
        <v>1219</v>
      </c>
      <c r="E2238" s="45">
        <f t="shared" si="175"/>
        <v>41820</v>
      </c>
      <c r="F2238" s="148" t="str">
        <f t="shared" si="172"/>
        <v>2013-14</v>
      </c>
      <c r="G2238" s="1"/>
      <c r="H2238" s="163"/>
      <c r="I2238" s="37"/>
      <c r="J2238" s="138">
        <f t="shared" si="176"/>
        <v>0.77968490742404351</v>
      </c>
      <c r="K2238" s="114"/>
      <c r="L2238" s="37">
        <v>0.79938101053300004</v>
      </c>
      <c r="M2238" s="37" t="s">
        <v>142</v>
      </c>
      <c r="N2238" s="37">
        <v>771.6404230243902</v>
      </c>
      <c r="O2238" s="132">
        <f t="shared" si="173"/>
        <v>616.83470112534872</v>
      </c>
      <c r="P2238" s="134">
        <f t="shared" si="174"/>
        <v>480.93670684285507</v>
      </c>
      <c r="Q2238" s="261">
        <v>1</v>
      </c>
      <c r="R2238" s="94"/>
    </row>
    <row r="2239" spans="1:18" x14ac:dyDescent="0.25">
      <c r="A2239" s="367">
        <v>40488</v>
      </c>
      <c r="B2239" s="367" t="s">
        <v>279</v>
      </c>
      <c r="C2239" s="279" t="s">
        <v>752</v>
      </c>
      <c r="D2239" s="159" t="s">
        <v>1220</v>
      </c>
      <c r="E2239" s="45">
        <f t="shared" si="175"/>
        <v>40488</v>
      </c>
      <c r="F2239" s="148" t="str">
        <f t="shared" si="172"/>
        <v>2010-11</v>
      </c>
      <c r="G2239" s="1"/>
      <c r="H2239" s="163"/>
      <c r="I2239" s="37"/>
      <c r="J2239" s="138">
        <f t="shared" si="176"/>
        <v>0.77968490742404351</v>
      </c>
      <c r="K2239" s="114"/>
      <c r="L2239" s="37">
        <v>37.391443205599998</v>
      </c>
      <c r="M2239" s="37" t="s">
        <v>142</v>
      </c>
      <c r="N2239" s="37">
        <v>2683.0915094634142</v>
      </c>
      <c r="O2239" s="132">
        <f t="shared" si="173"/>
        <v>100324.66379152883</v>
      </c>
      <c r="P2239" s="134">
        <f t="shared" si="174"/>
        <v>60526.289364725839</v>
      </c>
      <c r="Q2239" s="261">
        <v>0.7737794815140987</v>
      </c>
      <c r="R2239" s="94"/>
    </row>
    <row r="2240" spans="1:18" x14ac:dyDescent="0.25">
      <c r="A2240" s="367">
        <v>40488</v>
      </c>
      <c r="B2240" s="367" t="s">
        <v>279</v>
      </c>
      <c r="C2240" s="279" t="s">
        <v>752</v>
      </c>
      <c r="D2240" s="159" t="s">
        <v>1220</v>
      </c>
      <c r="E2240" s="45">
        <f t="shared" si="175"/>
        <v>40488</v>
      </c>
      <c r="F2240" s="148" t="str">
        <f t="shared" si="172"/>
        <v>2010-11</v>
      </c>
      <c r="G2240" s="1"/>
      <c r="H2240" s="163"/>
      <c r="I2240" s="37"/>
      <c r="J2240" s="138">
        <f t="shared" si="176"/>
        <v>0.77968490742404351</v>
      </c>
      <c r="K2240" s="114"/>
      <c r="L2240" s="37">
        <v>14.257992398900001</v>
      </c>
      <c r="M2240" s="37" t="s">
        <v>142</v>
      </c>
      <c r="N2240" s="37">
        <v>2683.0915094634142</v>
      </c>
      <c r="O2240" s="132">
        <f t="shared" si="173"/>
        <v>38255.498347482491</v>
      </c>
      <c r="P2240" s="134">
        <f t="shared" si="174"/>
        <v>23079.702191506658</v>
      </c>
      <c r="Q2240" s="261">
        <v>0.7737794815140987</v>
      </c>
      <c r="R2240" s="94"/>
    </row>
    <row r="2241" spans="1:18" x14ac:dyDescent="0.25">
      <c r="A2241" s="367">
        <v>40488</v>
      </c>
      <c r="B2241" s="367" t="s">
        <v>279</v>
      </c>
      <c r="C2241" s="279" t="s">
        <v>752</v>
      </c>
      <c r="D2241" s="159" t="s">
        <v>1220</v>
      </c>
      <c r="E2241" s="45">
        <f t="shared" si="175"/>
        <v>40488</v>
      </c>
      <c r="F2241" s="148" t="str">
        <f t="shared" si="172"/>
        <v>2010-11</v>
      </c>
      <c r="G2241" s="1"/>
      <c r="H2241" s="163"/>
      <c r="I2241" s="37"/>
      <c r="J2241" s="138">
        <f t="shared" si="176"/>
        <v>0.77968490742404351</v>
      </c>
      <c r="K2241" s="114"/>
      <c r="L2241" s="37">
        <v>2.3729681835199998</v>
      </c>
      <c r="M2241" s="37" t="s">
        <v>142</v>
      </c>
      <c r="N2241" s="37">
        <v>2679.5507189268287</v>
      </c>
      <c r="O2241" s="132">
        <f t="shared" si="173"/>
        <v>6358.4886021415068</v>
      </c>
      <c r="P2241" s="134">
        <f t="shared" si="174"/>
        <v>3836.1027738427792</v>
      </c>
      <c r="Q2241" s="261">
        <v>0.7737794815140987</v>
      </c>
      <c r="R2241" s="94"/>
    </row>
    <row r="2242" spans="1:18" x14ac:dyDescent="0.25">
      <c r="A2242" s="367">
        <v>40488</v>
      </c>
      <c r="B2242" s="367" t="s">
        <v>279</v>
      </c>
      <c r="C2242" s="279" t="s">
        <v>752</v>
      </c>
      <c r="D2242" s="159" t="s">
        <v>1220</v>
      </c>
      <c r="E2242" s="45">
        <f t="shared" si="175"/>
        <v>40488</v>
      </c>
      <c r="F2242" s="148" t="str">
        <f t="shared" si="172"/>
        <v>2010-11</v>
      </c>
      <c r="G2242" s="1"/>
      <c r="H2242" s="163"/>
      <c r="I2242" s="37"/>
      <c r="J2242" s="138">
        <f t="shared" si="176"/>
        <v>0.77968490742404351</v>
      </c>
      <c r="K2242" s="114"/>
      <c r="L2242" s="37">
        <v>4.9988941222000003</v>
      </c>
      <c r="M2242" s="37" t="s">
        <v>142</v>
      </c>
      <c r="N2242" s="37">
        <v>2683.0915094634142</v>
      </c>
      <c r="O2242" s="132">
        <f t="shared" si="173"/>
        <v>13412.490375981388</v>
      </c>
      <c r="P2242" s="134">
        <f t="shared" si="174"/>
        <v>8091.8115537886024</v>
      </c>
      <c r="Q2242" s="261">
        <v>0.7737794815140987</v>
      </c>
      <c r="R2242" s="94"/>
    </row>
    <row r="2243" spans="1:18" x14ac:dyDescent="0.25">
      <c r="A2243" s="367">
        <v>40488</v>
      </c>
      <c r="B2243" s="367" t="s">
        <v>279</v>
      </c>
      <c r="C2243" s="279" t="s">
        <v>752</v>
      </c>
      <c r="D2243" s="159" t="s">
        <v>1220</v>
      </c>
      <c r="E2243" s="45">
        <f t="shared" si="175"/>
        <v>40488</v>
      </c>
      <c r="F2243" s="148" t="str">
        <f t="shared" si="172"/>
        <v>2010-11</v>
      </c>
      <c r="G2243" s="1"/>
      <c r="H2243" s="163"/>
      <c r="I2243" s="37"/>
      <c r="J2243" s="138">
        <f t="shared" si="176"/>
        <v>0.77968490742404351</v>
      </c>
      <c r="K2243" s="114"/>
      <c r="L2243" s="37">
        <v>7.62937763538</v>
      </c>
      <c r="M2243" s="37" t="s">
        <v>142</v>
      </c>
      <c r="N2243" s="37">
        <v>2683.0915094634142</v>
      </c>
      <c r="O2243" s="132">
        <f t="shared" si="173"/>
        <v>20470.318355978139</v>
      </c>
      <c r="P2243" s="134">
        <f t="shared" si="174"/>
        <v>12349.828699915457</v>
      </c>
      <c r="Q2243" s="261">
        <v>0.7737794815140987</v>
      </c>
      <c r="R2243" s="94"/>
    </row>
    <row r="2244" spans="1:18" x14ac:dyDescent="0.25">
      <c r="A2244" s="367">
        <v>40488</v>
      </c>
      <c r="B2244" s="367" t="s">
        <v>279</v>
      </c>
      <c r="C2244" s="279" t="s">
        <v>752</v>
      </c>
      <c r="D2244" s="159" t="s">
        <v>1220</v>
      </c>
      <c r="E2244" s="45">
        <f t="shared" si="175"/>
        <v>40488</v>
      </c>
      <c r="F2244" s="148" t="str">
        <f t="shared" si="172"/>
        <v>2010-11</v>
      </c>
      <c r="G2244" s="1"/>
      <c r="H2244" s="163"/>
      <c r="I2244" s="37"/>
      <c r="J2244" s="138">
        <f t="shared" si="176"/>
        <v>0.77968490742404351</v>
      </c>
      <c r="K2244" s="114"/>
      <c r="L2244" s="37">
        <v>2.49973118555</v>
      </c>
      <c r="M2244" s="37" t="s">
        <v>142</v>
      </c>
      <c r="N2244" s="37">
        <v>2679.5507189268287</v>
      </c>
      <c r="O2244" s="132">
        <f t="shared" si="173"/>
        <v>6698.1564953643165</v>
      </c>
      <c r="P2244" s="134">
        <f t="shared" si="174"/>
        <v>4041.0258347944823</v>
      </c>
      <c r="Q2244" s="261">
        <v>0.7737794815140987</v>
      </c>
      <c r="R2244" s="94"/>
    </row>
    <row r="2245" spans="1:18" x14ac:dyDescent="0.25">
      <c r="A2245" s="367">
        <v>40488</v>
      </c>
      <c r="B2245" s="367" t="s">
        <v>279</v>
      </c>
      <c r="C2245" s="279" t="s">
        <v>752</v>
      </c>
      <c r="D2245" s="159" t="s">
        <v>1220</v>
      </c>
      <c r="E2245" s="45">
        <f t="shared" si="175"/>
        <v>40488</v>
      </c>
      <c r="F2245" s="148" t="str">
        <f t="shared" si="172"/>
        <v>2010-11</v>
      </c>
      <c r="G2245" s="1"/>
      <c r="H2245" s="163"/>
      <c r="I2245" s="37"/>
      <c r="J2245" s="138">
        <f t="shared" si="176"/>
        <v>0.77968490742404351</v>
      </c>
      <c r="K2245" s="114"/>
      <c r="L2245" s="37">
        <v>5.99885106296</v>
      </c>
      <c r="M2245" s="37" t="s">
        <v>142</v>
      </c>
      <c r="N2245" s="37">
        <v>2683.0915094634142</v>
      </c>
      <c r="O2245" s="132">
        <f t="shared" si="173"/>
        <v>16095.466353563554</v>
      </c>
      <c r="P2245" s="134">
        <f t="shared" si="174"/>
        <v>9710.4621850549902</v>
      </c>
      <c r="Q2245" s="261">
        <v>0.7737794815140987</v>
      </c>
      <c r="R2245" s="94"/>
    </row>
    <row r="2246" spans="1:18" x14ac:dyDescent="0.25">
      <c r="A2246" s="367">
        <v>40312</v>
      </c>
      <c r="B2246" s="367" t="s">
        <v>279</v>
      </c>
      <c r="C2246" s="279" t="s">
        <v>753</v>
      </c>
      <c r="D2246" s="159" t="s">
        <v>1221</v>
      </c>
      <c r="E2246" s="45">
        <f t="shared" si="175"/>
        <v>40312</v>
      </c>
      <c r="F2246" s="148" t="str">
        <f t="shared" si="172"/>
        <v>2009-10</v>
      </c>
      <c r="G2246" s="1"/>
      <c r="H2246" s="163"/>
      <c r="I2246" s="37"/>
      <c r="J2246" s="138">
        <f t="shared" si="176"/>
        <v>0.77968490742404351</v>
      </c>
      <c r="K2246" s="114"/>
      <c r="L2246" s="37">
        <v>15.5967633798</v>
      </c>
      <c r="M2246" s="37" t="s">
        <v>142</v>
      </c>
      <c r="N2246" s="37">
        <v>771.6404230243902</v>
      </c>
      <c r="O2246" s="132">
        <f t="shared" si="173"/>
        <v>12035.09309220019</v>
      </c>
      <c r="P2246" s="134">
        <f t="shared" si="174"/>
        <v>9383.5804434318507</v>
      </c>
      <c r="Q2246" s="261">
        <v>1</v>
      </c>
      <c r="R2246" s="94"/>
    </row>
    <row r="2247" spans="1:18" x14ac:dyDescent="0.25">
      <c r="A2247" s="367">
        <v>40765</v>
      </c>
      <c r="B2247" s="367" t="s">
        <v>279</v>
      </c>
      <c r="C2247" s="279" t="s">
        <v>754</v>
      </c>
      <c r="D2247" s="159" t="s">
        <v>1221</v>
      </c>
      <c r="E2247" s="45">
        <f t="shared" si="175"/>
        <v>40765</v>
      </c>
      <c r="F2247" s="148" t="str">
        <f t="shared" si="172"/>
        <v>2011-12</v>
      </c>
      <c r="G2247" s="1"/>
      <c r="H2247" s="163"/>
      <c r="I2247" s="37"/>
      <c r="J2247" s="138">
        <f t="shared" si="176"/>
        <v>0.77968490742404351</v>
      </c>
      <c r="K2247" s="114"/>
      <c r="L2247" s="37">
        <v>2.99954288653</v>
      </c>
      <c r="M2247" s="37" t="s">
        <v>142</v>
      </c>
      <c r="N2247" s="37">
        <v>771.6404230243902</v>
      </c>
      <c r="O2247" s="132">
        <f t="shared" si="173"/>
        <v>2314.5685418418097</v>
      </c>
      <c r="P2247" s="134">
        <f t="shared" si="174"/>
        <v>1804.6341592725348</v>
      </c>
      <c r="Q2247" s="261">
        <v>1</v>
      </c>
      <c r="R2247" s="94"/>
    </row>
    <row r="2248" spans="1:18" x14ac:dyDescent="0.25">
      <c r="A2248" s="367">
        <v>40765</v>
      </c>
      <c r="B2248" s="367" t="s">
        <v>279</v>
      </c>
      <c r="C2248" s="279" t="s">
        <v>754</v>
      </c>
      <c r="D2248" s="159" t="s">
        <v>1221</v>
      </c>
      <c r="E2248" s="45">
        <f t="shared" si="175"/>
        <v>40765</v>
      </c>
      <c r="F2248" s="148" t="str">
        <f t="shared" si="172"/>
        <v>2011-12</v>
      </c>
      <c r="G2248" s="1"/>
      <c r="H2248" s="163"/>
      <c r="I2248" s="37"/>
      <c r="J2248" s="138">
        <f t="shared" si="176"/>
        <v>0.77968490742404351</v>
      </c>
      <c r="K2248" s="114"/>
      <c r="L2248" s="37">
        <v>4.1393207643799999</v>
      </c>
      <c r="M2248" s="37" t="s">
        <v>142</v>
      </c>
      <c r="N2248" s="37">
        <v>1128.7084557073169</v>
      </c>
      <c r="O2248" s="132">
        <f t="shared" si="173"/>
        <v>4672.0863476405802</v>
      </c>
      <c r="P2248" s="134">
        <f t="shared" si="174"/>
        <v>3642.7552114372834</v>
      </c>
      <c r="Q2248" s="261">
        <v>1</v>
      </c>
      <c r="R2248" s="94"/>
    </row>
    <row r="2249" spans="1:18" x14ac:dyDescent="0.25">
      <c r="A2249" s="367">
        <v>40765</v>
      </c>
      <c r="B2249" s="367" t="s">
        <v>279</v>
      </c>
      <c r="C2249" s="279" t="s">
        <v>754</v>
      </c>
      <c r="D2249" s="159" t="s">
        <v>1209</v>
      </c>
      <c r="E2249" s="45">
        <f t="shared" si="175"/>
        <v>40765</v>
      </c>
      <c r="F2249" s="148" t="str">
        <f t="shared" si="172"/>
        <v>2011-12</v>
      </c>
      <c r="G2249" s="1"/>
      <c r="H2249" s="163"/>
      <c r="I2249" s="37"/>
      <c r="J2249" s="138">
        <f t="shared" si="176"/>
        <v>0.77968490742404351</v>
      </c>
      <c r="K2249" s="114"/>
      <c r="L2249" s="37">
        <v>233.41908799000001</v>
      </c>
      <c r="M2249" s="37" t="s">
        <v>142</v>
      </c>
      <c r="N2249" s="37">
        <v>771.6404230243902</v>
      </c>
      <c r="O2249" s="132">
        <f t="shared" si="173"/>
        <v>180115.60379857096</v>
      </c>
      <c r="P2249" s="134">
        <f t="shared" si="174"/>
        <v>140433.41787331449</v>
      </c>
      <c r="Q2249" s="261">
        <v>1</v>
      </c>
      <c r="R2249" s="94"/>
    </row>
    <row r="2250" spans="1:18" x14ac:dyDescent="0.25">
      <c r="A2250" s="367">
        <v>40765</v>
      </c>
      <c r="B2250" s="367" t="s">
        <v>279</v>
      </c>
      <c r="C2250" s="279" t="s">
        <v>754</v>
      </c>
      <c r="D2250" s="159" t="s">
        <v>1221</v>
      </c>
      <c r="E2250" s="45">
        <f t="shared" si="175"/>
        <v>40765</v>
      </c>
      <c r="F2250" s="148" t="str">
        <f t="shared" si="172"/>
        <v>2011-12</v>
      </c>
      <c r="G2250" s="1"/>
      <c r="H2250" s="163"/>
      <c r="I2250" s="37"/>
      <c r="J2250" s="138">
        <f t="shared" si="176"/>
        <v>0.77968490742404351</v>
      </c>
      <c r="K2250" s="114"/>
      <c r="L2250" s="37">
        <v>19.117892195500001</v>
      </c>
      <c r="M2250" s="37" t="s">
        <v>142</v>
      </c>
      <c r="N2250" s="37">
        <v>771.6404230243902</v>
      </c>
      <c r="O2250" s="132">
        <f t="shared" si="173"/>
        <v>14752.138421070309</v>
      </c>
      <c r="P2250" s="134">
        <f t="shared" si="174"/>
        <v>11502.019679138879</v>
      </c>
      <c r="Q2250" s="261">
        <v>1</v>
      </c>
      <c r="R2250" s="94"/>
    </row>
    <row r="2251" spans="1:18" x14ac:dyDescent="0.25">
      <c r="A2251" s="367">
        <v>40765</v>
      </c>
      <c r="B2251" s="367" t="s">
        <v>279</v>
      </c>
      <c r="C2251" s="279" t="s">
        <v>754</v>
      </c>
      <c r="D2251" s="159" t="s">
        <v>1209</v>
      </c>
      <c r="E2251" s="45">
        <f t="shared" si="175"/>
        <v>40765</v>
      </c>
      <c r="F2251" s="148" t="str">
        <f t="shared" si="172"/>
        <v>2011-12</v>
      </c>
      <c r="G2251" s="1"/>
      <c r="H2251" s="163"/>
      <c r="I2251" s="37"/>
      <c r="J2251" s="138">
        <f t="shared" si="176"/>
        <v>0.77968490742404351</v>
      </c>
      <c r="K2251" s="114"/>
      <c r="L2251" s="37">
        <v>2.4000804153200002</v>
      </c>
      <c r="M2251" s="37" t="s">
        <v>142</v>
      </c>
      <c r="N2251" s="37">
        <v>771.6404230243902</v>
      </c>
      <c r="O2251" s="132">
        <f t="shared" si="173"/>
        <v>1851.999066970079</v>
      </c>
      <c r="P2251" s="134">
        <f t="shared" si="174"/>
        <v>1443.975721079981</v>
      </c>
      <c r="Q2251" s="261">
        <v>1</v>
      </c>
      <c r="R2251" s="94"/>
    </row>
    <row r="2252" spans="1:18" x14ac:dyDescent="0.25">
      <c r="A2252" s="367">
        <v>41913</v>
      </c>
      <c r="B2252" s="367" t="s">
        <v>279</v>
      </c>
      <c r="C2252" s="279" t="s">
        <v>300</v>
      </c>
      <c r="D2252" s="159" t="s">
        <v>1222</v>
      </c>
      <c r="E2252" s="45">
        <f t="shared" si="175"/>
        <v>41913</v>
      </c>
      <c r="F2252" s="148" t="str">
        <f t="shared" si="172"/>
        <v>2014-15</v>
      </c>
      <c r="G2252" s="1"/>
      <c r="H2252" s="163"/>
      <c r="I2252" s="37"/>
      <c r="J2252" s="138">
        <f t="shared" si="176"/>
        <v>0.77968490742404351</v>
      </c>
      <c r="K2252" s="114"/>
      <c r="L2252" s="37">
        <v>2.82062855149</v>
      </c>
      <c r="M2252" s="37" t="s">
        <v>142</v>
      </c>
      <c r="N2252" s="37">
        <v>936.5640883902438</v>
      </c>
      <c r="O2252" s="132">
        <f t="shared" si="173"/>
        <v>2641.6994080137256</v>
      </c>
      <c r="P2252" s="134">
        <f t="shared" si="174"/>
        <v>2059.6931583793321</v>
      </c>
      <c r="Q2252" s="261">
        <v>1</v>
      </c>
      <c r="R2252" s="94"/>
    </row>
    <row r="2253" spans="1:18" x14ac:dyDescent="0.25">
      <c r="A2253" s="367">
        <v>41913</v>
      </c>
      <c r="B2253" s="367" t="s">
        <v>279</v>
      </c>
      <c r="C2253" s="279" t="s">
        <v>300</v>
      </c>
      <c r="D2253" s="159" t="s">
        <v>1222</v>
      </c>
      <c r="E2253" s="45">
        <f t="shared" si="175"/>
        <v>41913</v>
      </c>
      <c r="F2253" s="148" t="str">
        <f t="shared" si="172"/>
        <v>2014-15</v>
      </c>
      <c r="G2253" s="1"/>
      <c r="H2253" s="163"/>
      <c r="I2253" s="37"/>
      <c r="J2253" s="138">
        <f t="shared" si="176"/>
        <v>0.77968490742404351</v>
      </c>
      <c r="K2253" s="114"/>
      <c r="L2253" s="37">
        <v>3.3983303095299999</v>
      </c>
      <c r="M2253" s="37" t="s">
        <v>142</v>
      </c>
      <c r="N2253" s="37">
        <v>1003.0093919999996</v>
      </c>
      <c r="O2253" s="132">
        <f t="shared" si="173"/>
        <v>3408.5572175768557</v>
      </c>
      <c r="P2253" s="134">
        <f t="shared" si="174"/>
        <v>2657.6006186359659</v>
      </c>
      <c r="Q2253" s="261">
        <v>1</v>
      </c>
      <c r="R2253" s="94"/>
    </row>
    <row r="2254" spans="1:18" x14ac:dyDescent="0.25">
      <c r="A2254" s="367">
        <v>41913</v>
      </c>
      <c r="B2254" s="367" t="s">
        <v>279</v>
      </c>
      <c r="C2254" s="279" t="s">
        <v>300</v>
      </c>
      <c r="D2254" s="159" t="s">
        <v>1222</v>
      </c>
      <c r="E2254" s="45">
        <f t="shared" si="175"/>
        <v>41913</v>
      </c>
      <c r="F2254" s="148" t="str">
        <f t="shared" si="172"/>
        <v>2014-15</v>
      </c>
      <c r="G2254" s="1"/>
      <c r="H2254" s="163"/>
      <c r="I2254" s="37"/>
      <c r="J2254" s="138">
        <f t="shared" si="176"/>
        <v>0.77968490742404351</v>
      </c>
      <c r="K2254" s="114"/>
      <c r="L2254" s="37">
        <v>1.86127055876</v>
      </c>
      <c r="M2254" s="37" t="s">
        <v>142</v>
      </c>
      <c r="N2254" s="37">
        <v>771.6404230243902</v>
      </c>
      <c r="O2254" s="132">
        <f t="shared" si="173"/>
        <v>1436.2316013244094</v>
      </c>
      <c r="P2254" s="134">
        <f t="shared" si="174"/>
        <v>1119.808103118108</v>
      </c>
      <c r="Q2254" s="261">
        <v>1</v>
      </c>
      <c r="R2254" s="94"/>
    </row>
    <row r="2255" spans="1:18" x14ac:dyDescent="0.25">
      <c r="A2255" s="367">
        <v>40568</v>
      </c>
      <c r="B2255" s="367" t="s">
        <v>279</v>
      </c>
      <c r="C2255" s="279" t="s">
        <v>755</v>
      </c>
      <c r="D2255" s="159" t="s">
        <v>1175</v>
      </c>
      <c r="E2255" s="45">
        <f t="shared" si="175"/>
        <v>40568</v>
      </c>
      <c r="F2255" s="148" t="str">
        <f t="shared" si="172"/>
        <v>2010-11</v>
      </c>
      <c r="G2255" s="1"/>
      <c r="H2255" s="163"/>
      <c r="I2255" s="37"/>
      <c r="J2255" s="138">
        <f t="shared" si="176"/>
        <v>0.77968490742404351</v>
      </c>
      <c r="K2255" s="114"/>
      <c r="L2255" s="37">
        <v>4.5988256487100001</v>
      </c>
      <c r="M2255" s="37" t="s">
        <v>142</v>
      </c>
      <c r="N2255" s="37">
        <v>1385.4167692682922</v>
      </c>
      <c r="O2255" s="132">
        <f t="shared" si="173"/>
        <v>6371.2901726639666</v>
      </c>
      <c r="P2255" s="134">
        <f t="shared" si="174"/>
        <v>1566.4503094244169</v>
      </c>
      <c r="Q2255" s="261">
        <v>0.31533349936955962</v>
      </c>
      <c r="R2255" s="94"/>
    </row>
    <row r="2256" spans="1:18" x14ac:dyDescent="0.25">
      <c r="A2256" s="367">
        <v>40568</v>
      </c>
      <c r="B2256" s="367" t="s">
        <v>279</v>
      </c>
      <c r="C2256" s="279" t="s">
        <v>755</v>
      </c>
      <c r="D2256" s="159" t="s">
        <v>1175</v>
      </c>
      <c r="E2256" s="45">
        <f t="shared" si="175"/>
        <v>40568</v>
      </c>
      <c r="F2256" s="148" t="str">
        <f t="shared" si="172"/>
        <v>2010-11</v>
      </c>
      <c r="G2256" s="1"/>
      <c r="H2256" s="163"/>
      <c r="I2256" s="37"/>
      <c r="J2256" s="138">
        <f t="shared" si="176"/>
        <v>0.77968490742404351</v>
      </c>
      <c r="K2256" s="114"/>
      <c r="L2256" s="37">
        <v>1.9996979772000001</v>
      </c>
      <c r="M2256" s="37" t="s">
        <v>142</v>
      </c>
      <c r="N2256" s="37">
        <v>771.6404230243902</v>
      </c>
      <c r="O2256" s="132">
        <f t="shared" si="173"/>
        <v>1543.0477930476254</v>
      </c>
      <c r="P2256" s="134">
        <f t="shared" si="174"/>
        <v>379.37491895232176</v>
      </c>
      <c r="Q2256" s="261">
        <v>0.31533349936955962</v>
      </c>
      <c r="R2256" s="94"/>
    </row>
    <row r="2257" spans="1:18" x14ac:dyDescent="0.25">
      <c r="A2257" s="367">
        <v>41913</v>
      </c>
      <c r="B2257" s="367" t="s">
        <v>279</v>
      </c>
      <c r="C2257" s="279" t="s">
        <v>300</v>
      </c>
      <c r="D2257" s="159" t="s">
        <v>1222</v>
      </c>
      <c r="E2257" s="45">
        <f t="shared" si="175"/>
        <v>41913</v>
      </c>
      <c r="F2257" s="148" t="str">
        <f t="shared" si="172"/>
        <v>2014-15</v>
      </c>
      <c r="G2257" s="1"/>
      <c r="H2257" s="163"/>
      <c r="I2257" s="37"/>
      <c r="J2257" s="138">
        <f t="shared" si="176"/>
        <v>0.77968490742404351</v>
      </c>
      <c r="K2257" s="114"/>
      <c r="L2257" s="37">
        <v>128.05326438500001</v>
      </c>
      <c r="M2257" s="37" t="s">
        <v>142</v>
      </c>
      <c r="N2257" s="37">
        <v>1003.0093919999996</v>
      </c>
      <c r="O2257" s="132">
        <f t="shared" si="173"/>
        <v>128438.62685441406</v>
      </c>
      <c r="P2257" s="134">
        <f t="shared" si="174"/>
        <v>100141.65888865509</v>
      </c>
      <c r="Q2257" s="261">
        <v>1</v>
      </c>
      <c r="R2257" s="94"/>
    </row>
    <row r="2258" spans="1:18" x14ac:dyDescent="0.25">
      <c r="A2258" s="367">
        <v>40312</v>
      </c>
      <c r="B2258" s="367" t="s">
        <v>279</v>
      </c>
      <c r="C2258" s="279" t="s">
        <v>753</v>
      </c>
      <c r="D2258" s="159" t="s">
        <v>1221</v>
      </c>
      <c r="E2258" s="45">
        <f t="shared" si="175"/>
        <v>40312</v>
      </c>
      <c r="F2258" s="148" t="str">
        <f t="shared" ref="F2258:F2321" si="177">IF(E2258="","-",IF(OR(E2258&lt;$E$15,E2258&gt;$E$16),"ERROR - date outside of range",IF(MONTH(E2258)&gt;=7,YEAR(E2258)&amp;"-"&amp;IF(YEAR(E2258)=1999,"00",IF(AND(YEAR(E2258)&gt;=2000,YEAR(E2258)&lt;2009),"0","")&amp;RIGHT(YEAR(E2258),2)+1),RIGHT(YEAR(E2258),4)-1&amp;"-"&amp;RIGHT(YEAR(E2258),2))))</f>
        <v>2009-10</v>
      </c>
      <c r="G2258" s="1"/>
      <c r="H2258" s="163"/>
      <c r="I2258" s="37"/>
      <c r="J2258" s="138">
        <f t="shared" si="176"/>
        <v>0.77968490742404351</v>
      </c>
      <c r="K2258" s="114"/>
      <c r="L2258" s="37">
        <v>123.930650509</v>
      </c>
      <c r="M2258" s="37" t="s">
        <v>142</v>
      </c>
      <c r="N2258" s="37">
        <v>771.6404230243902</v>
      </c>
      <c r="O2258" s="132">
        <f t="shared" ref="O2258:O2321" si="178">IF(N2258="","-",L2258*N2258)</f>
        <v>95629.899584452622</v>
      </c>
      <c r="P2258" s="134">
        <f t="shared" ref="P2258:P2321" si="179">IF(O2258="-","-",IF(OR(E2258&lt;$E$15,E2258&gt;$E$16),0,O2258*J2258))*Q2258</f>
        <v>74561.189404474513</v>
      </c>
      <c r="Q2258" s="261">
        <v>1</v>
      </c>
      <c r="R2258" s="94"/>
    </row>
    <row r="2259" spans="1:18" x14ac:dyDescent="0.25">
      <c r="A2259" s="367">
        <v>40312</v>
      </c>
      <c r="B2259" s="367" t="s">
        <v>279</v>
      </c>
      <c r="C2259" s="279" t="s">
        <v>753</v>
      </c>
      <c r="D2259" s="159" t="s">
        <v>1221</v>
      </c>
      <c r="E2259" s="45">
        <f t="shared" si="175"/>
        <v>40312</v>
      </c>
      <c r="F2259" s="148" t="str">
        <f t="shared" si="177"/>
        <v>2009-10</v>
      </c>
      <c r="G2259" s="1"/>
      <c r="H2259" s="163"/>
      <c r="I2259" s="37"/>
      <c r="J2259" s="138">
        <f t="shared" si="176"/>
        <v>0.77968490742404351</v>
      </c>
      <c r="K2259" s="114"/>
      <c r="L2259" s="37">
        <v>3.59855873927</v>
      </c>
      <c r="M2259" s="37" t="s">
        <v>142</v>
      </c>
      <c r="N2259" s="37">
        <v>1128.7084557073169</v>
      </c>
      <c r="O2259" s="132">
        <f t="shared" si="178"/>
        <v>4061.7236773735112</v>
      </c>
      <c r="P2259" s="134">
        <f t="shared" si="179"/>
        <v>3166.8646493750116</v>
      </c>
      <c r="Q2259" s="261">
        <v>1</v>
      </c>
      <c r="R2259" s="94"/>
    </row>
    <row r="2260" spans="1:18" x14ac:dyDescent="0.25">
      <c r="A2260" s="367">
        <v>40312</v>
      </c>
      <c r="B2260" s="367" t="s">
        <v>279</v>
      </c>
      <c r="C2260" s="279" t="s">
        <v>753</v>
      </c>
      <c r="D2260" s="159" t="s">
        <v>1221</v>
      </c>
      <c r="E2260" s="45">
        <f t="shared" si="175"/>
        <v>40312</v>
      </c>
      <c r="F2260" s="148" t="str">
        <f t="shared" si="177"/>
        <v>2009-10</v>
      </c>
      <c r="G2260" s="1"/>
      <c r="H2260" s="163"/>
      <c r="I2260" s="37"/>
      <c r="J2260" s="138">
        <f t="shared" si="176"/>
        <v>0.77968490742404351</v>
      </c>
      <c r="K2260" s="114"/>
      <c r="L2260" s="37">
        <v>3.4989931408900001</v>
      </c>
      <c r="M2260" s="37" t="s">
        <v>142</v>
      </c>
      <c r="N2260" s="37">
        <v>1128.7084557073169</v>
      </c>
      <c r="O2260" s="132">
        <f t="shared" si="178"/>
        <v>3949.3431445844467</v>
      </c>
      <c r="P2260" s="134">
        <f t="shared" si="179"/>
        <v>3079.243244071105</v>
      </c>
      <c r="Q2260" s="261">
        <v>1</v>
      </c>
      <c r="R2260" s="94"/>
    </row>
    <row r="2261" spans="1:18" x14ac:dyDescent="0.25">
      <c r="A2261" s="367">
        <v>40312</v>
      </c>
      <c r="B2261" s="367" t="s">
        <v>279</v>
      </c>
      <c r="C2261" s="279" t="s">
        <v>753</v>
      </c>
      <c r="D2261" s="159" t="s">
        <v>1221</v>
      </c>
      <c r="E2261" s="45">
        <f t="shared" si="175"/>
        <v>40312</v>
      </c>
      <c r="F2261" s="148" t="str">
        <f t="shared" si="177"/>
        <v>2009-10</v>
      </c>
      <c r="G2261" s="1"/>
      <c r="H2261" s="163"/>
      <c r="I2261" s="37"/>
      <c r="J2261" s="138">
        <f t="shared" si="176"/>
        <v>0.77968490742404351</v>
      </c>
      <c r="K2261" s="114"/>
      <c r="L2261" s="37">
        <v>3.4995385410100002</v>
      </c>
      <c r="M2261" s="37" t="s">
        <v>142</v>
      </c>
      <c r="N2261" s="37">
        <v>1128.7084557073169</v>
      </c>
      <c r="O2261" s="132">
        <f t="shared" si="178"/>
        <v>3949.9587423116345</v>
      </c>
      <c r="P2261" s="134">
        <f t="shared" si="179"/>
        <v>3079.7232163280382</v>
      </c>
      <c r="Q2261" s="261">
        <v>1</v>
      </c>
      <c r="R2261" s="94"/>
    </row>
    <row r="2262" spans="1:18" x14ac:dyDescent="0.25">
      <c r="A2262" s="367">
        <v>40312</v>
      </c>
      <c r="B2262" s="367" t="s">
        <v>279</v>
      </c>
      <c r="C2262" s="279" t="s">
        <v>753</v>
      </c>
      <c r="D2262" s="159" t="s">
        <v>1221</v>
      </c>
      <c r="E2262" s="45">
        <f t="shared" si="175"/>
        <v>40312</v>
      </c>
      <c r="F2262" s="148" t="str">
        <f t="shared" si="177"/>
        <v>2009-10</v>
      </c>
      <c r="G2262" s="1"/>
      <c r="H2262" s="163"/>
      <c r="I2262" s="37"/>
      <c r="J2262" s="138">
        <f t="shared" si="176"/>
        <v>0.77968490742404351</v>
      </c>
      <c r="K2262" s="114"/>
      <c r="L2262" s="37">
        <v>5.5992111051500002</v>
      </c>
      <c r="M2262" s="37" t="s">
        <v>142</v>
      </c>
      <c r="N2262" s="37">
        <v>771.6404230243902</v>
      </c>
      <c r="O2262" s="132">
        <f t="shared" si="178"/>
        <v>4320.5776257808093</v>
      </c>
      <c r="P2262" s="134">
        <f t="shared" si="179"/>
        <v>3368.6891661753039</v>
      </c>
      <c r="Q2262" s="261">
        <v>1</v>
      </c>
      <c r="R2262" s="94"/>
    </row>
    <row r="2263" spans="1:18" x14ac:dyDescent="0.25">
      <c r="A2263" s="367">
        <v>40312</v>
      </c>
      <c r="B2263" s="367" t="s">
        <v>279</v>
      </c>
      <c r="C2263" s="279" t="s">
        <v>753</v>
      </c>
      <c r="D2263" s="159" t="s">
        <v>1221</v>
      </c>
      <c r="E2263" s="45">
        <f t="shared" ref="E2263:E2326" si="180">IF(A2263&lt;2022,DATEVALUE("30 Jun "&amp;A2263),A2263)</f>
        <v>40312</v>
      </c>
      <c r="F2263" s="148" t="str">
        <f t="shared" si="177"/>
        <v>2009-10</v>
      </c>
      <c r="G2263" s="1"/>
      <c r="H2263" s="163"/>
      <c r="I2263" s="37"/>
      <c r="J2263" s="138">
        <f t="shared" si="176"/>
        <v>0.77968490742404351</v>
      </c>
      <c r="K2263" s="114"/>
      <c r="L2263" s="37">
        <v>157.507770698</v>
      </c>
      <c r="M2263" s="37" t="s">
        <v>142</v>
      </c>
      <c r="N2263" s="37">
        <v>771.6404230243902</v>
      </c>
      <c r="O2263" s="132">
        <f t="shared" si="178"/>
        <v>121539.36281103337</v>
      </c>
      <c r="P2263" s="134">
        <f t="shared" si="179"/>
        <v>94762.406841697783</v>
      </c>
      <c r="Q2263" s="261">
        <v>1</v>
      </c>
      <c r="R2263" s="94"/>
    </row>
    <row r="2264" spans="1:18" x14ac:dyDescent="0.25">
      <c r="A2264" s="367">
        <v>40568</v>
      </c>
      <c r="B2264" s="367" t="s">
        <v>279</v>
      </c>
      <c r="C2264" s="279" t="s">
        <v>755</v>
      </c>
      <c r="D2264" s="159" t="s">
        <v>1175</v>
      </c>
      <c r="E2264" s="45">
        <f t="shared" si="180"/>
        <v>40568</v>
      </c>
      <c r="F2264" s="148" t="str">
        <f t="shared" si="177"/>
        <v>2010-11</v>
      </c>
      <c r="G2264" s="1"/>
      <c r="H2264" s="163"/>
      <c r="I2264" s="37"/>
      <c r="J2264" s="138">
        <f t="shared" ref="J2264:J2327" si="181">J2263</f>
        <v>0.77968490742404351</v>
      </c>
      <c r="K2264" s="114"/>
      <c r="L2264" s="37">
        <v>35.291702197500001</v>
      </c>
      <c r="M2264" s="37" t="s">
        <v>142</v>
      </c>
      <c r="N2264" s="37">
        <v>771.6404230243902</v>
      </c>
      <c r="O2264" s="132">
        <f t="shared" si="178"/>
        <v>27232.504012929701</v>
      </c>
      <c r="P2264" s="134">
        <f t="shared" si="179"/>
        <v>6695.4044128269661</v>
      </c>
      <c r="Q2264" s="261">
        <v>0.31533349936955962</v>
      </c>
      <c r="R2264" s="94"/>
    </row>
    <row r="2265" spans="1:18" x14ac:dyDescent="0.25">
      <c r="A2265" s="367">
        <v>40568</v>
      </c>
      <c r="B2265" s="367" t="s">
        <v>279</v>
      </c>
      <c r="C2265" s="279" t="s">
        <v>755</v>
      </c>
      <c r="D2265" s="159" t="s">
        <v>1175</v>
      </c>
      <c r="E2265" s="45">
        <f t="shared" si="180"/>
        <v>40568</v>
      </c>
      <c r="F2265" s="148" t="str">
        <f t="shared" si="177"/>
        <v>2010-11</v>
      </c>
      <c r="G2265" s="1"/>
      <c r="H2265" s="163"/>
      <c r="I2265" s="37"/>
      <c r="J2265" s="138">
        <f t="shared" si="181"/>
        <v>0.77968490742404351</v>
      </c>
      <c r="K2265" s="114"/>
      <c r="L2265" s="37">
        <v>32.596615407100003</v>
      </c>
      <c r="M2265" s="37" t="s">
        <v>142</v>
      </c>
      <c r="N2265" s="37">
        <v>1385.4167692682922</v>
      </c>
      <c r="O2265" s="132">
        <f t="shared" si="178"/>
        <v>45159.897606385523</v>
      </c>
      <c r="P2265" s="134">
        <f t="shared" si="179"/>
        <v>11103.047210533725</v>
      </c>
      <c r="Q2265" s="261">
        <v>0.31533349936955962</v>
      </c>
      <c r="R2265" s="94"/>
    </row>
    <row r="2266" spans="1:18" x14ac:dyDescent="0.25">
      <c r="A2266" s="367">
        <v>40568</v>
      </c>
      <c r="B2266" s="367" t="s">
        <v>279</v>
      </c>
      <c r="C2266" s="279" t="s">
        <v>755</v>
      </c>
      <c r="D2266" s="159" t="s">
        <v>1175</v>
      </c>
      <c r="E2266" s="45">
        <f t="shared" si="180"/>
        <v>40568</v>
      </c>
      <c r="F2266" s="148" t="str">
        <f t="shared" si="177"/>
        <v>2010-11</v>
      </c>
      <c r="G2266" s="1"/>
      <c r="H2266" s="163"/>
      <c r="I2266" s="37"/>
      <c r="J2266" s="138">
        <f t="shared" si="181"/>
        <v>0.77968490742404351</v>
      </c>
      <c r="K2266" s="114"/>
      <c r="L2266" s="37">
        <v>7.2979575188699997</v>
      </c>
      <c r="M2266" s="37" t="s">
        <v>142</v>
      </c>
      <c r="N2266" s="37">
        <v>1385.4167692682922</v>
      </c>
      <c r="O2266" s="132">
        <f t="shared" si="178"/>
        <v>10110.712728050117</v>
      </c>
      <c r="P2266" s="134">
        <f t="shared" si="179"/>
        <v>2485.8276192329404</v>
      </c>
      <c r="Q2266" s="261">
        <v>0.31533349936955962</v>
      </c>
      <c r="R2266" s="94"/>
    </row>
    <row r="2267" spans="1:18" x14ac:dyDescent="0.25">
      <c r="A2267" s="367">
        <v>40568</v>
      </c>
      <c r="B2267" s="367" t="s">
        <v>279</v>
      </c>
      <c r="C2267" s="279" t="s">
        <v>755</v>
      </c>
      <c r="D2267" s="159" t="s">
        <v>1175</v>
      </c>
      <c r="E2267" s="45">
        <f t="shared" si="180"/>
        <v>40568</v>
      </c>
      <c r="F2267" s="148" t="str">
        <f t="shared" si="177"/>
        <v>2010-11</v>
      </c>
      <c r="G2267" s="1"/>
      <c r="H2267" s="163"/>
      <c r="I2267" s="37"/>
      <c r="J2267" s="138">
        <f t="shared" si="181"/>
        <v>0.77968490742404351</v>
      </c>
      <c r="K2267" s="114"/>
      <c r="L2267" s="37">
        <v>1.99921684667</v>
      </c>
      <c r="M2267" s="37" t="s">
        <v>142</v>
      </c>
      <c r="N2267" s="37">
        <v>771.6404230243902</v>
      </c>
      <c r="O2267" s="132">
        <f t="shared" si="178"/>
        <v>1542.6765332819261</v>
      </c>
      <c r="P2267" s="134">
        <f t="shared" si="179"/>
        <v>379.28364074035898</v>
      </c>
      <c r="Q2267" s="261">
        <v>0.31533349936955962</v>
      </c>
      <c r="R2267" s="94"/>
    </row>
    <row r="2268" spans="1:18" x14ac:dyDescent="0.25">
      <c r="A2268" s="367">
        <v>40568</v>
      </c>
      <c r="B2268" s="367" t="s">
        <v>279</v>
      </c>
      <c r="C2268" s="279" t="s">
        <v>755</v>
      </c>
      <c r="D2268" s="159" t="s">
        <v>1175</v>
      </c>
      <c r="E2268" s="45">
        <f t="shared" si="180"/>
        <v>40568</v>
      </c>
      <c r="F2268" s="148" t="str">
        <f t="shared" si="177"/>
        <v>2010-11</v>
      </c>
      <c r="G2268" s="1"/>
      <c r="H2268" s="163"/>
      <c r="I2268" s="37"/>
      <c r="J2268" s="138">
        <f t="shared" si="181"/>
        <v>0.77968490742404351</v>
      </c>
      <c r="K2268" s="114"/>
      <c r="L2268" s="37">
        <v>31.858343036000001</v>
      </c>
      <c r="M2268" s="37" t="s">
        <v>142</v>
      </c>
      <c r="N2268" s="37">
        <v>771.6404230243902</v>
      </c>
      <c r="O2268" s="132">
        <f t="shared" si="178"/>
        <v>24583.185297155178</v>
      </c>
      <c r="P2268" s="134">
        <f t="shared" si="179"/>
        <v>6044.0408726927253</v>
      </c>
      <c r="Q2268" s="261">
        <v>0.31533349936955962</v>
      </c>
      <c r="R2268" s="94"/>
    </row>
    <row r="2269" spans="1:18" x14ac:dyDescent="0.25">
      <c r="A2269" s="367">
        <v>40568</v>
      </c>
      <c r="B2269" s="367" t="s">
        <v>279</v>
      </c>
      <c r="C2269" s="279" t="s">
        <v>755</v>
      </c>
      <c r="D2269" s="159" t="s">
        <v>1175</v>
      </c>
      <c r="E2269" s="45">
        <f t="shared" si="180"/>
        <v>40568</v>
      </c>
      <c r="F2269" s="148" t="str">
        <f t="shared" si="177"/>
        <v>2010-11</v>
      </c>
      <c r="G2269" s="1"/>
      <c r="H2269" s="163"/>
      <c r="I2269" s="37"/>
      <c r="J2269" s="138">
        <f t="shared" si="181"/>
        <v>0.77968490742404351</v>
      </c>
      <c r="K2269" s="114"/>
      <c r="L2269" s="37">
        <v>5.5990015181299997</v>
      </c>
      <c r="M2269" s="37" t="s">
        <v>142</v>
      </c>
      <c r="N2269" s="37">
        <v>771.6404230243902</v>
      </c>
      <c r="O2269" s="132">
        <f t="shared" si="178"/>
        <v>4320.4158999640358</v>
      </c>
      <c r="P2269" s="134">
        <f t="shared" si="179"/>
        <v>1062.220781024499</v>
      </c>
      <c r="Q2269" s="261">
        <v>0.31533349936955962</v>
      </c>
      <c r="R2269" s="94"/>
    </row>
    <row r="2270" spans="1:18" x14ac:dyDescent="0.25">
      <c r="A2270" s="367">
        <v>40959</v>
      </c>
      <c r="B2270" s="367" t="s">
        <v>279</v>
      </c>
      <c r="C2270" s="279" t="s">
        <v>756</v>
      </c>
      <c r="D2270" s="159" t="s">
        <v>1222</v>
      </c>
      <c r="E2270" s="45">
        <f t="shared" si="180"/>
        <v>40959</v>
      </c>
      <c r="F2270" s="148" t="str">
        <f t="shared" si="177"/>
        <v>2011-12</v>
      </c>
      <c r="G2270" s="1"/>
      <c r="H2270" s="163"/>
      <c r="I2270" s="37"/>
      <c r="J2270" s="138">
        <f t="shared" si="181"/>
        <v>0.77968490742404351</v>
      </c>
      <c r="K2270" s="114"/>
      <c r="L2270" s="37">
        <v>25.550944865799998</v>
      </c>
      <c r="M2270" s="37" t="s">
        <v>142</v>
      </c>
      <c r="N2270" s="37">
        <v>771.6404230243902</v>
      </c>
      <c r="O2270" s="132">
        <f t="shared" si="178"/>
        <v>19716.141904918783</v>
      </c>
      <c r="P2270" s="134">
        <f t="shared" si="179"/>
        <v>15372.378275895906</v>
      </c>
      <c r="Q2270" s="261">
        <v>1</v>
      </c>
      <c r="R2270" s="94"/>
    </row>
    <row r="2271" spans="1:18" x14ac:dyDescent="0.25">
      <c r="A2271" s="367">
        <v>40312</v>
      </c>
      <c r="B2271" s="367" t="s">
        <v>279</v>
      </c>
      <c r="C2271" s="279" t="s">
        <v>753</v>
      </c>
      <c r="D2271" s="159" t="s">
        <v>1222</v>
      </c>
      <c r="E2271" s="45">
        <f t="shared" si="180"/>
        <v>40312</v>
      </c>
      <c r="F2271" s="148" t="str">
        <f t="shared" si="177"/>
        <v>2009-10</v>
      </c>
      <c r="G2271" s="1"/>
      <c r="H2271" s="163"/>
      <c r="I2271" s="37"/>
      <c r="J2271" s="138">
        <f t="shared" si="181"/>
        <v>0.77968490742404351</v>
      </c>
      <c r="K2271" s="114"/>
      <c r="L2271" s="37">
        <v>3.1988955189100001</v>
      </c>
      <c r="M2271" s="37" t="s">
        <v>142</v>
      </c>
      <c r="N2271" s="37">
        <v>771.6404230243902</v>
      </c>
      <c r="O2271" s="132">
        <f t="shared" si="178"/>
        <v>2468.3970914225388</v>
      </c>
      <c r="P2271" s="134">
        <f t="shared" si="179"/>
        <v>1924.5719577115603</v>
      </c>
      <c r="Q2271" s="261">
        <v>1</v>
      </c>
      <c r="R2271" s="94"/>
    </row>
    <row r="2272" spans="1:18" x14ac:dyDescent="0.25">
      <c r="A2272" s="367">
        <v>40959</v>
      </c>
      <c r="B2272" s="367" t="s">
        <v>279</v>
      </c>
      <c r="C2272" s="279" t="s">
        <v>756</v>
      </c>
      <c r="D2272" s="159" t="s">
        <v>1222</v>
      </c>
      <c r="E2272" s="45">
        <f t="shared" si="180"/>
        <v>40959</v>
      </c>
      <c r="F2272" s="148" t="str">
        <f t="shared" si="177"/>
        <v>2011-12</v>
      </c>
      <c r="G2272" s="1"/>
      <c r="H2272" s="163"/>
      <c r="I2272" s="37"/>
      <c r="J2272" s="138">
        <f t="shared" si="181"/>
        <v>0.77968490742404351</v>
      </c>
      <c r="K2272" s="114"/>
      <c r="L2272" s="37">
        <v>1.5201269683800001</v>
      </c>
      <c r="M2272" s="37" t="s">
        <v>142</v>
      </c>
      <c r="N2272" s="37">
        <v>771.6404230243902</v>
      </c>
      <c r="O2272" s="132">
        <f t="shared" si="178"/>
        <v>1172.9914169315271</v>
      </c>
      <c r="P2272" s="134">
        <f t="shared" si="179"/>
        <v>914.56370431945527</v>
      </c>
      <c r="Q2272" s="261">
        <v>1</v>
      </c>
      <c r="R2272" s="94"/>
    </row>
    <row r="2273" spans="1:18" x14ac:dyDescent="0.25">
      <c r="A2273" s="367">
        <v>40312</v>
      </c>
      <c r="B2273" s="367" t="s">
        <v>279</v>
      </c>
      <c r="C2273" s="279" t="s">
        <v>753</v>
      </c>
      <c r="D2273" s="159" t="s">
        <v>1221</v>
      </c>
      <c r="E2273" s="45">
        <f t="shared" si="180"/>
        <v>40312</v>
      </c>
      <c r="F2273" s="148" t="str">
        <f t="shared" si="177"/>
        <v>2009-10</v>
      </c>
      <c r="G2273" s="1"/>
      <c r="H2273" s="163"/>
      <c r="I2273" s="37"/>
      <c r="J2273" s="138">
        <f t="shared" si="181"/>
        <v>0.77968490742404351</v>
      </c>
      <c r="K2273" s="114"/>
      <c r="L2273" s="37">
        <v>225.50361040999999</v>
      </c>
      <c r="M2273" s="37" t="s">
        <v>142</v>
      </c>
      <c r="N2273" s="37">
        <v>771.6404230243902</v>
      </c>
      <c r="O2273" s="132">
        <f t="shared" si="178"/>
        <v>174007.70133029966</v>
      </c>
      <c r="P2273" s="134">
        <f t="shared" si="179"/>
        <v>135671.1785027853</v>
      </c>
      <c r="Q2273" s="261">
        <v>1</v>
      </c>
      <c r="R2273" s="94"/>
    </row>
    <row r="2274" spans="1:18" x14ac:dyDescent="0.25">
      <c r="A2274" s="367">
        <v>40312</v>
      </c>
      <c r="B2274" s="367" t="s">
        <v>279</v>
      </c>
      <c r="C2274" s="279" t="s">
        <v>753</v>
      </c>
      <c r="D2274" s="159" t="s">
        <v>1221</v>
      </c>
      <c r="E2274" s="45">
        <f t="shared" si="180"/>
        <v>40312</v>
      </c>
      <c r="F2274" s="148" t="str">
        <f t="shared" si="177"/>
        <v>2009-10</v>
      </c>
      <c r="G2274" s="1"/>
      <c r="H2274" s="163"/>
      <c r="I2274" s="37"/>
      <c r="J2274" s="138">
        <f t="shared" si="181"/>
        <v>0.77968490742404351</v>
      </c>
      <c r="K2274" s="114"/>
      <c r="L2274" s="37">
        <v>99.1828553</v>
      </c>
      <c r="M2274" s="37" t="s">
        <v>142</v>
      </c>
      <c r="N2274" s="37">
        <v>771.6404230243902</v>
      </c>
      <c r="O2274" s="132">
        <f t="shared" si="178"/>
        <v>76533.500420458877</v>
      </c>
      <c r="P2274" s="134">
        <f t="shared" si="179"/>
        <v>59672.015190163474</v>
      </c>
      <c r="Q2274" s="261">
        <v>1</v>
      </c>
      <c r="R2274" s="94"/>
    </row>
    <row r="2275" spans="1:18" x14ac:dyDescent="0.25">
      <c r="A2275" s="367">
        <v>40312</v>
      </c>
      <c r="B2275" s="367" t="s">
        <v>279</v>
      </c>
      <c r="C2275" s="279" t="s">
        <v>753</v>
      </c>
      <c r="D2275" s="159" t="s">
        <v>1221</v>
      </c>
      <c r="E2275" s="45">
        <f t="shared" si="180"/>
        <v>40312</v>
      </c>
      <c r="F2275" s="148" t="str">
        <f t="shared" si="177"/>
        <v>2009-10</v>
      </c>
      <c r="G2275" s="1"/>
      <c r="H2275" s="163"/>
      <c r="I2275" s="37"/>
      <c r="J2275" s="138">
        <f t="shared" si="181"/>
        <v>0.77968490742404351</v>
      </c>
      <c r="K2275" s="114"/>
      <c r="L2275" s="37">
        <v>39.990824160899997</v>
      </c>
      <c r="M2275" s="37" t="s">
        <v>142</v>
      </c>
      <c r="N2275" s="37">
        <v>1272.2340968780488</v>
      </c>
      <c r="O2275" s="132">
        <f t="shared" si="178"/>
        <v>50877.690059751461</v>
      </c>
      <c r="P2275" s="134">
        <f t="shared" si="179"/>
        <v>39668.5670641865</v>
      </c>
      <c r="Q2275" s="261">
        <v>1</v>
      </c>
      <c r="R2275" s="94"/>
    </row>
    <row r="2276" spans="1:18" x14ac:dyDescent="0.25">
      <c r="A2276" s="367">
        <v>40312</v>
      </c>
      <c r="B2276" s="367" t="s">
        <v>279</v>
      </c>
      <c r="C2276" s="279" t="s">
        <v>753</v>
      </c>
      <c r="D2276" s="159" t="s">
        <v>1221</v>
      </c>
      <c r="E2276" s="45">
        <f t="shared" si="180"/>
        <v>40312</v>
      </c>
      <c r="F2276" s="148" t="str">
        <f t="shared" si="177"/>
        <v>2009-10</v>
      </c>
      <c r="G2276" s="1"/>
      <c r="H2276" s="163"/>
      <c r="I2276" s="37"/>
      <c r="J2276" s="138">
        <f t="shared" si="181"/>
        <v>0.77968490742404351</v>
      </c>
      <c r="K2276" s="114"/>
      <c r="L2276" s="37">
        <v>30.4528048273</v>
      </c>
      <c r="M2276" s="37" t="s">
        <v>142</v>
      </c>
      <c r="N2276" s="37">
        <v>771.6404230243902</v>
      </c>
      <c r="O2276" s="132">
        <f t="shared" si="178"/>
        <v>23498.615199216965</v>
      </c>
      <c r="P2276" s="134">
        <f t="shared" si="179"/>
        <v>18321.515616194702</v>
      </c>
      <c r="Q2276" s="261">
        <v>1</v>
      </c>
      <c r="R2276" s="94"/>
    </row>
    <row r="2277" spans="1:18" x14ac:dyDescent="0.25">
      <c r="A2277" s="367">
        <v>40765</v>
      </c>
      <c r="B2277" s="367" t="s">
        <v>279</v>
      </c>
      <c r="C2277" s="279" t="s">
        <v>754</v>
      </c>
      <c r="D2277" s="159" t="s">
        <v>1209</v>
      </c>
      <c r="E2277" s="45">
        <f t="shared" si="180"/>
        <v>40765</v>
      </c>
      <c r="F2277" s="148" t="str">
        <f t="shared" si="177"/>
        <v>2011-12</v>
      </c>
      <c r="G2277" s="1"/>
      <c r="H2277" s="163"/>
      <c r="I2277" s="37"/>
      <c r="J2277" s="138">
        <f t="shared" si="181"/>
        <v>0.77968490742404351</v>
      </c>
      <c r="K2277" s="114"/>
      <c r="L2277" s="37">
        <v>274.43585943400001</v>
      </c>
      <c r="M2277" s="37" t="s">
        <v>142</v>
      </c>
      <c r="N2277" s="37">
        <v>771.6404230243902</v>
      </c>
      <c r="O2277" s="132">
        <f t="shared" si="178"/>
        <v>211765.80266671386</v>
      </c>
      <c r="P2277" s="134">
        <f t="shared" si="179"/>
        <v>165110.60024777506</v>
      </c>
      <c r="Q2277" s="261">
        <v>1</v>
      </c>
      <c r="R2277" s="94"/>
    </row>
    <row r="2278" spans="1:18" x14ac:dyDescent="0.25">
      <c r="A2278" s="367">
        <v>40765</v>
      </c>
      <c r="B2278" s="367" t="s">
        <v>279</v>
      </c>
      <c r="C2278" s="279" t="s">
        <v>754</v>
      </c>
      <c r="D2278" s="159" t="s">
        <v>1209</v>
      </c>
      <c r="E2278" s="45">
        <f t="shared" si="180"/>
        <v>40765</v>
      </c>
      <c r="F2278" s="148" t="str">
        <f t="shared" si="177"/>
        <v>2011-12</v>
      </c>
      <c r="G2278" s="1"/>
      <c r="H2278" s="163"/>
      <c r="I2278" s="37"/>
      <c r="J2278" s="138">
        <f t="shared" si="181"/>
        <v>0.77968490742404351</v>
      </c>
      <c r="K2278" s="114"/>
      <c r="L2278" s="37">
        <v>34.685099728200001</v>
      </c>
      <c r="M2278" s="37" t="s">
        <v>142</v>
      </c>
      <c r="N2278" s="37">
        <v>771.6404230243902</v>
      </c>
      <c r="O2278" s="132">
        <f t="shared" si="178"/>
        <v>26764.425026911409</v>
      </c>
      <c r="P2278" s="134">
        <f t="shared" si="179"/>
        <v>20867.818249365177</v>
      </c>
      <c r="Q2278" s="261">
        <v>1</v>
      </c>
      <c r="R2278" s="94"/>
    </row>
    <row r="2279" spans="1:18" x14ac:dyDescent="0.25">
      <c r="A2279" s="367">
        <v>40765</v>
      </c>
      <c r="B2279" s="367" t="s">
        <v>279</v>
      </c>
      <c r="C2279" s="279" t="s">
        <v>754</v>
      </c>
      <c r="D2279" s="159" t="s">
        <v>1209</v>
      </c>
      <c r="E2279" s="45">
        <f t="shared" si="180"/>
        <v>40765</v>
      </c>
      <c r="F2279" s="148" t="str">
        <f t="shared" si="177"/>
        <v>2011-12</v>
      </c>
      <c r="G2279" s="1"/>
      <c r="H2279" s="163"/>
      <c r="I2279" s="37"/>
      <c r="J2279" s="138">
        <f t="shared" si="181"/>
        <v>0.77968490742404351</v>
      </c>
      <c r="K2279" s="114"/>
      <c r="L2279" s="37">
        <v>26.153772187600001</v>
      </c>
      <c r="M2279" s="37" t="s">
        <v>142</v>
      </c>
      <c r="N2279" s="37">
        <v>771.6404230243902</v>
      </c>
      <c r="O2279" s="132">
        <f t="shared" si="178"/>
        <v>20181.307834523195</v>
      </c>
      <c r="P2279" s="134">
        <f t="shared" si="179"/>
        <v>15735.061130656341</v>
      </c>
      <c r="Q2279" s="261">
        <v>1</v>
      </c>
      <c r="R2279" s="94"/>
    </row>
    <row r="2280" spans="1:18" x14ac:dyDescent="0.25">
      <c r="A2280" s="367">
        <v>40765</v>
      </c>
      <c r="B2280" s="367" t="s">
        <v>279</v>
      </c>
      <c r="C2280" s="279" t="s">
        <v>754</v>
      </c>
      <c r="D2280" s="159" t="s">
        <v>1209</v>
      </c>
      <c r="E2280" s="45">
        <f t="shared" si="180"/>
        <v>40765</v>
      </c>
      <c r="F2280" s="148" t="str">
        <f t="shared" si="177"/>
        <v>2011-12</v>
      </c>
      <c r="G2280" s="1"/>
      <c r="H2280" s="163"/>
      <c r="I2280" s="37"/>
      <c r="J2280" s="138">
        <f t="shared" si="181"/>
        <v>0.77968490742404351</v>
      </c>
      <c r="K2280" s="114"/>
      <c r="L2280" s="37">
        <v>268.23623978500001</v>
      </c>
      <c r="M2280" s="37" t="s">
        <v>142</v>
      </c>
      <c r="N2280" s="37">
        <v>771.6404230243902</v>
      </c>
      <c r="O2280" s="132">
        <f t="shared" si="178"/>
        <v>206981.92553816916</v>
      </c>
      <c r="P2280" s="134">
        <f t="shared" si="179"/>
        <v>161380.6834516777</v>
      </c>
      <c r="Q2280" s="261">
        <v>1</v>
      </c>
      <c r="R2280" s="94"/>
    </row>
    <row r="2281" spans="1:18" x14ac:dyDescent="0.25">
      <c r="A2281" s="367">
        <v>40765</v>
      </c>
      <c r="B2281" s="367" t="s">
        <v>279</v>
      </c>
      <c r="C2281" s="279" t="s">
        <v>754</v>
      </c>
      <c r="D2281" s="159" t="s">
        <v>1209</v>
      </c>
      <c r="E2281" s="45">
        <f t="shared" si="180"/>
        <v>40765</v>
      </c>
      <c r="F2281" s="148" t="str">
        <f t="shared" si="177"/>
        <v>2011-12</v>
      </c>
      <c r="G2281" s="1"/>
      <c r="H2281" s="163"/>
      <c r="I2281" s="37"/>
      <c r="J2281" s="138">
        <f t="shared" si="181"/>
        <v>0.77968490742404351</v>
      </c>
      <c r="K2281" s="114"/>
      <c r="L2281" s="37">
        <v>15.3936349624</v>
      </c>
      <c r="M2281" s="37" t="s">
        <v>142</v>
      </c>
      <c r="N2281" s="37">
        <v>771.6404230243902</v>
      </c>
      <c r="O2281" s="132">
        <f t="shared" si="178"/>
        <v>11878.35099426938</v>
      </c>
      <c r="P2281" s="134">
        <f t="shared" si="179"/>
        <v>9261.3709953172165</v>
      </c>
      <c r="Q2281" s="261">
        <v>1</v>
      </c>
      <c r="R2281" s="94"/>
    </row>
    <row r="2282" spans="1:18" x14ac:dyDescent="0.25">
      <c r="A2282" s="367">
        <v>40228</v>
      </c>
      <c r="B2282" s="367" t="s">
        <v>279</v>
      </c>
      <c r="C2282" s="279" t="s">
        <v>757</v>
      </c>
      <c r="D2282" s="159" t="s">
        <v>1223</v>
      </c>
      <c r="E2282" s="45">
        <f t="shared" si="180"/>
        <v>40228</v>
      </c>
      <c r="F2282" s="148" t="str">
        <f t="shared" si="177"/>
        <v>2009-10</v>
      </c>
      <c r="G2282" s="1"/>
      <c r="H2282" s="163"/>
      <c r="I2282" s="37"/>
      <c r="J2282" s="138">
        <f t="shared" si="181"/>
        <v>0.77968490742404351</v>
      </c>
      <c r="K2282" s="114"/>
      <c r="L2282" s="37">
        <v>7.3649685574700001</v>
      </c>
      <c r="M2282" s="37" t="s">
        <v>142</v>
      </c>
      <c r="N2282" s="37">
        <v>696.6467060487804</v>
      </c>
      <c r="O2282" s="132">
        <f t="shared" si="178"/>
        <v>5130.7810857143131</v>
      </c>
      <c r="P2282" s="134">
        <f t="shared" si="179"/>
        <v>4000.3925758281976</v>
      </c>
      <c r="Q2282" s="261">
        <v>1</v>
      </c>
      <c r="R2282" s="94"/>
    </row>
    <row r="2283" spans="1:18" x14ac:dyDescent="0.25">
      <c r="A2283" s="367">
        <v>40228</v>
      </c>
      <c r="B2283" s="367" t="s">
        <v>279</v>
      </c>
      <c r="C2283" s="279" t="s">
        <v>757</v>
      </c>
      <c r="D2283" s="159" t="s">
        <v>1223</v>
      </c>
      <c r="E2283" s="45">
        <f t="shared" si="180"/>
        <v>40228</v>
      </c>
      <c r="F2283" s="148" t="str">
        <f t="shared" si="177"/>
        <v>2009-10</v>
      </c>
      <c r="G2283" s="1"/>
      <c r="H2283" s="163"/>
      <c r="I2283" s="37"/>
      <c r="J2283" s="138">
        <f t="shared" si="181"/>
        <v>0.77968490742404351</v>
      </c>
      <c r="K2283" s="114"/>
      <c r="L2283" s="37">
        <v>105.54683178400001</v>
      </c>
      <c r="M2283" s="37" t="s">
        <v>142</v>
      </c>
      <c r="N2283" s="37">
        <v>696.6467060487804</v>
      </c>
      <c r="O2283" s="132">
        <f t="shared" si="178"/>
        <v>73528.852696208327</v>
      </c>
      <c r="P2283" s="134">
        <f t="shared" si="179"/>
        <v>57329.336707439325</v>
      </c>
      <c r="Q2283" s="261">
        <v>1</v>
      </c>
      <c r="R2283" s="94"/>
    </row>
    <row r="2284" spans="1:18" x14ac:dyDescent="0.25">
      <c r="A2284" s="367">
        <v>40793</v>
      </c>
      <c r="B2284" s="367" t="s">
        <v>279</v>
      </c>
      <c r="C2284" s="279" t="s">
        <v>297</v>
      </c>
      <c r="D2284" s="159" t="s">
        <v>1224</v>
      </c>
      <c r="E2284" s="45">
        <f t="shared" si="180"/>
        <v>40793</v>
      </c>
      <c r="F2284" s="148" t="str">
        <f t="shared" si="177"/>
        <v>2011-12</v>
      </c>
      <c r="G2284" s="1"/>
      <c r="H2284" s="163"/>
      <c r="I2284" s="37"/>
      <c r="J2284" s="138">
        <f t="shared" si="181"/>
        <v>0.77968490742404351</v>
      </c>
      <c r="K2284" s="114"/>
      <c r="L2284" s="37">
        <v>6.6985324117799996</v>
      </c>
      <c r="M2284" s="37" t="s">
        <v>142</v>
      </c>
      <c r="N2284" s="37">
        <v>1422.8419512195119</v>
      </c>
      <c r="O2284" s="132">
        <f t="shared" si="178"/>
        <v>9530.9529270841977</v>
      </c>
      <c r="P2284" s="134">
        <f t="shared" si="179"/>
        <v>7431.1401506165594</v>
      </c>
      <c r="Q2284" s="261">
        <v>1</v>
      </c>
      <c r="R2284" s="94"/>
    </row>
    <row r="2285" spans="1:18" x14ac:dyDescent="0.25">
      <c r="A2285" s="367">
        <v>40793</v>
      </c>
      <c r="B2285" s="367" t="s">
        <v>279</v>
      </c>
      <c r="C2285" s="279" t="s">
        <v>297</v>
      </c>
      <c r="D2285" s="159" t="s">
        <v>1224</v>
      </c>
      <c r="E2285" s="45">
        <f t="shared" si="180"/>
        <v>40793</v>
      </c>
      <c r="F2285" s="148" t="str">
        <f t="shared" si="177"/>
        <v>2011-12</v>
      </c>
      <c r="G2285" s="1"/>
      <c r="H2285" s="163"/>
      <c r="I2285" s="37"/>
      <c r="J2285" s="138">
        <f t="shared" si="181"/>
        <v>0.77968490742404351</v>
      </c>
      <c r="K2285" s="114"/>
      <c r="L2285" s="37">
        <v>5.0835200402899998</v>
      </c>
      <c r="M2285" s="37" t="s">
        <v>142</v>
      </c>
      <c r="N2285" s="37">
        <v>1422.8419512195119</v>
      </c>
      <c r="O2285" s="132">
        <f t="shared" si="178"/>
        <v>7233.0455731897146</v>
      </c>
      <c r="P2285" s="134">
        <f t="shared" si="179"/>
        <v>5639.49646812631</v>
      </c>
      <c r="Q2285" s="261">
        <v>1</v>
      </c>
      <c r="R2285" s="94"/>
    </row>
    <row r="2286" spans="1:18" x14ac:dyDescent="0.25">
      <c r="A2286" s="367">
        <v>40308</v>
      </c>
      <c r="B2286" s="367" t="s">
        <v>279</v>
      </c>
      <c r="C2286" s="279" t="s">
        <v>758</v>
      </c>
      <c r="D2286" s="159" t="s">
        <v>1225</v>
      </c>
      <c r="E2286" s="45">
        <f t="shared" si="180"/>
        <v>40308</v>
      </c>
      <c r="F2286" s="148" t="str">
        <f t="shared" si="177"/>
        <v>2009-10</v>
      </c>
      <c r="G2286" s="1"/>
      <c r="H2286" s="163"/>
      <c r="I2286" s="37"/>
      <c r="J2286" s="138">
        <f t="shared" si="181"/>
        <v>0.77968490742404351</v>
      </c>
      <c r="K2286" s="114"/>
      <c r="L2286" s="37">
        <v>2.5398236159200001</v>
      </c>
      <c r="M2286" s="37" t="s">
        <v>142</v>
      </c>
      <c r="N2286" s="37">
        <v>1003.0093919999996</v>
      </c>
      <c r="O2286" s="132">
        <f t="shared" si="178"/>
        <v>2547.4669407911597</v>
      </c>
      <c r="P2286" s="134">
        <f t="shared" si="179"/>
        <v>1986.2215258965666</v>
      </c>
      <c r="Q2286" s="261">
        <v>1</v>
      </c>
      <c r="R2286" s="94"/>
    </row>
    <row r="2287" spans="1:18" x14ac:dyDescent="0.25">
      <c r="A2287" s="367">
        <v>40308</v>
      </c>
      <c r="B2287" s="367" t="s">
        <v>279</v>
      </c>
      <c r="C2287" s="279" t="s">
        <v>758</v>
      </c>
      <c r="D2287" s="159" t="s">
        <v>1225</v>
      </c>
      <c r="E2287" s="45">
        <f t="shared" si="180"/>
        <v>40308</v>
      </c>
      <c r="F2287" s="148" t="str">
        <f t="shared" si="177"/>
        <v>2009-10</v>
      </c>
      <c r="G2287" s="1"/>
      <c r="H2287" s="163"/>
      <c r="I2287" s="37"/>
      <c r="J2287" s="138">
        <f t="shared" si="181"/>
        <v>0.77968490742404351</v>
      </c>
      <c r="K2287" s="114"/>
      <c r="L2287" s="37">
        <v>153.82794848899999</v>
      </c>
      <c r="M2287" s="37" t="s">
        <v>142</v>
      </c>
      <c r="N2287" s="37">
        <v>916.51999999999987</v>
      </c>
      <c r="O2287" s="132">
        <f t="shared" si="178"/>
        <v>140986.39134913826</v>
      </c>
      <c r="P2287" s="134">
        <f t="shared" si="179"/>
        <v>109924.96148710283</v>
      </c>
      <c r="Q2287" s="261">
        <v>1</v>
      </c>
      <c r="R2287" s="94"/>
    </row>
    <row r="2288" spans="1:18" x14ac:dyDescent="0.25">
      <c r="A2288" s="367">
        <v>40357</v>
      </c>
      <c r="B2288" s="367" t="s">
        <v>279</v>
      </c>
      <c r="C2288" s="279" t="s">
        <v>759</v>
      </c>
      <c r="D2288" s="159" t="s">
        <v>1226</v>
      </c>
      <c r="E2288" s="45">
        <f t="shared" si="180"/>
        <v>40357</v>
      </c>
      <c r="F2288" s="148" t="str">
        <f t="shared" si="177"/>
        <v>2009-10</v>
      </c>
      <c r="G2288" s="1"/>
      <c r="H2288" s="163"/>
      <c r="I2288" s="37"/>
      <c r="J2288" s="138">
        <f t="shared" si="181"/>
        <v>0.77968490742404351</v>
      </c>
      <c r="K2288" s="114"/>
      <c r="L2288" s="37">
        <v>2.9992842666200001</v>
      </c>
      <c r="M2288" s="37" t="s">
        <v>142</v>
      </c>
      <c r="N2288" s="37">
        <v>696.6467060487804</v>
      </c>
      <c r="O2288" s="132">
        <f t="shared" si="178"/>
        <v>2089.4415048447549</v>
      </c>
      <c r="P2288" s="134">
        <f t="shared" si="179"/>
        <v>1629.106006272837</v>
      </c>
      <c r="Q2288" s="261">
        <v>1</v>
      </c>
      <c r="R2288" s="94"/>
    </row>
    <row r="2289" spans="1:18" x14ac:dyDescent="0.25">
      <c r="A2289" s="367">
        <v>40357</v>
      </c>
      <c r="B2289" s="367" t="s">
        <v>279</v>
      </c>
      <c r="C2289" s="279" t="s">
        <v>759</v>
      </c>
      <c r="D2289" s="159" t="s">
        <v>1227</v>
      </c>
      <c r="E2289" s="45">
        <f t="shared" si="180"/>
        <v>40357</v>
      </c>
      <c r="F2289" s="148" t="str">
        <f t="shared" si="177"/>
        <v>2009-10</v>
      </c>
      <c r="G2289" s="1"/>
      <c r="H2289" s="163"/>
      <c r="I2289" s="37"/>
      <c r="J2289" s="138">
        <f t="shared" si="181"/>
        <v>0.77968490742404351</v>
      </c>
      <c r="K2289" s="114"/>
      <c r="L2289" s="37">
        <v>237.10143459299999</v>
      </c>
      <c r="M2289" s="37" t="s">
        <v>142</v>
      </c>
      <c r="N2289" s="37">
        <v>1128.7084557073169</v>
      </c>
      <c r="O2289" s="132">
        <f t="shared" si="178"/>
        <v>267618.39408545446</v>
      </c>
      <c r="P2289" s="134">
        <f t="shared" si="179"/>
        <v>208658.02281748876</v>
      </c>
      <c r="Q2289" s="261">
        <v>1</v>
      </c>
      <c r="R2289" s="94"/>
    </row>
    <row r="2290" spans="1:18" x14ac:dyDescent="0.25">
      <c r="A2290" s="367">
        <v>40357</v>
      </c>
      <c r="B2290" s="367" t="s">
        <v>279</v>
      </c>
      <c r="C2290" s="279" t="s">
        <v>759</v>
      </c>
      <c r="D2290" s="159" t="s">
        <v>1227</v>
      </c>
      <c r="E2290" s="45">
        <f t="shared" si="180"/>
        <v>40357</v>
      </c>
      <c r="F2290" s="148" t="str">
        <f t="shared" si="177"/>
        <v>2009-10</v>
      </c>
      <c r="G2290" s="1"/>
      <c r="H2290" s="163"/>
      <c r="I2290" s="37"/>
      <c r="J2290" s="138">
        <f t="shared" si="181"/>
        <v>0.77968490742404351</v>
      </c>
      <c r="K2290" s="114"/>
      <c r="L2290" s="37">
        <v>4.6554365696</v>
      </c>
      <c r="M2290" s="37" t="s">
        <v>142</v>
      </c>
      <c r="N2290" s="37">
        <v>696.6467060487804</v>
      </c>
      <c r="O2290" s="132">
        <f t="shared" si="178"/>
        <v>3243.1945514308736</v>
      </c>
      <c r="P2290" s="134">
        <f t="shared" si="179"/>
        <v>2528.6698435905432</v>
      </c>
      <c r="Q2290" s="261">
        <v>1</v>
      </c>
      <c r="R2290" s="94"/>
    </row>
    <row r="2291" spans="1:18" x14ac:dyDescent="0.25">
      <c r="A2291" s="367">
        <v>39589</v>
      </c>
      <c r="B2291" s="367" t="s">
        <v>279</v>
      </c>
      <c r="C2291" s="279" t="s">
        <v>760</v>
      </c>
      <c r="D2291" s="159" t="s">
        <v>1228</v>
      </c>
      <c r="E2291" s="45">
        <f t="shared" si="180"/>
        <v>39589</v>
      </c>
      <c r="F2291" s="148" t="str">
        <f t="shared" si="177"/>
        <v>2007-08</v>
      </c>
      <c r="G2291" s="1"/>
      <c r="H2291" s="163"/>
      <c r="I2291" s="37"/>
      <c r="J2291" s="138">
        <f t="shared" si="181"/>
        <v>0.77968490742404351</v>
      </c>
      <c r="K2291" s="114"/>
      <c r="L2291" s="37">
        <v>6.5717957381999996</v>
      </c>
      <c r="M2291" s="37" t="s">
        <v>142</v>
      </c>
      <c r="N2291" s="37">
        <v>696.6467060487804</v>
      </c>
      <c r="O2291" s="132">
        <f t="shared" si="178"/>
        <v>4578.2198538424427</v>
      </c>
      <c r="P2291" s="134">
        <f t="shared" si="179"/>
        <v>3569.5689229100631</v>
      </c>
      <c r="Q2291" s="261">
        <v>1</v>
      </c>
      <c r="R2291" s="94"/>
    </row>
    <row r="2292" spans="1:18" x14ac:dyDescent="0.25">
      <c r="A2292" s="367">
        <v>40401</v>
      </c>
      <c r="B2292" s="367" t="s">
        <v>279</v>
      </c>
      <c r="C2292" s="279" t="s">
        <v>297</v>
      </c>
      <c r="D2292" s="159" t="s">
        <v>1229</v>
      </c>
      <c r="E2292" s="45">
        <f t="shared" si="180"/>
        <v>40401</v>
      </c>
      <c r="F2292" s="148" t="str">
        <f t="shared" si="177"/>
        <v>2010-11</v>
      </c>
      <c r="G2292" s="1"/>
      <c r="H2292" s="163"/>
      <c r="I2292" s="37"/>
      <c r="J2292" s="138">
        <f t="shared" si="181"/>
        <v>0.77968490742404351</v>
      </c>
      <c r="K2292" s="114"/>
      <c r="L2292" s="37">
        <v>34.110713353400001</v>
      </c>
      <c r="M2292" s="37" t="s">
        <v>142</v>
      </c>
      <c r="N2292" s="37">
        <v>771.6404230243902</v>
      </c>
      <c r="O2292" s="132">
        <f t="shared" si="178"/>
        <v>26321.205281681294</v>
      </c>
      <c r="P2292" s="134">
        <f t="shared" si="179"/>
        <v>20522.246503336926</v>
      </c>
      <c r="Q2292" s="261">
        <v>1</v>
      </c>
      <c r="R2292" s="94"/>
    </row>
    <row r="2293" spans="1:18" x14ac:dyDescent="0.25">
      <c r="A2293" s="367">
        <v>40401</v>
      </c>
      <c r="B2293" s="367" t="s">
        <v>279</v>
      </c>
      <c r="C2293" s="279" t="s">
        <v>297</v>
      </c>
      <c r="D2293" s="159" t="s">
        <v>1229</v>
      </c>
      <c r="E2293" s="45">
        <f t="shared" si="180"/>
        <v>40401</v>
      </c>
      <c r="F2293" s="148" t="str">
        <f t="shared" si="177"/>
        <v>2010-11</v>
      </c>
      <c r="G2293" s="1"/>
      <c r="H2293" s="163"/>
      <c r="I2293" s="37"/>
      <c r="J2293" s="138">
        <f t="shared" si="181"/>
        <v>0.77968490742404351</v>
      </c>
      <c r="K2293" s="114"/>
      <c r="L2293" s="37">
        <v>12.9817515082</v>
      </c>
      <c r="M2293" s="37" t="s">
        <v>142</v>
      </c>
      <c r="N2293" s="37">
        <v>771.6404230243902</v>
      </c>
      <c r="O2293" s="132">
        <f t="shared" si="178"/>
        <v>10017.244225384964</v>
      </c>
      <c r="P2293" s="134">
        <f t="shared" si="179"/>
        <v>7810.2941365133101</v>
      </c>
      <c r="Q2293" s="261">
        <v>1</v>
      </c>
      <c r="R2293" s="94"/>
    </row>
    <row r="2294" spans="1:18" x14ac:dyDescent="0.25">
      <c r="A2294" s="367">
        <v>40402</v>
      </c>
      <c r="B2294" s="367" t="s">
        <v>279</v>
      </c>
      <c r="C2294" s="279" t="s">
        <v>297</v>
      </c>
      <c r="D2294" s="159" t="s">
        <v>1229</v>
      </c>
      <c r="E2294" s="45">
        <f t="shared" si="180"/>
        <v>40402</v>
      </c>
      <c r="F2294" s="148" t="str">
        <f t="shared" si="177"/>
        <v>2010-11</v>
      </c>
      <c r="G2294" s="1"/>
      <c r="H2294" s="163"/>
      <c r="I2294" s="37"/>
      <c r="J2294" s="138">
        <f t="shared" si="181"/>
        <v>0.77968490742404351</v>
      </c>
      <c r="K2294" s="114"/>
      <c r="L2294" s="37">
        <v>9.9897288296000006</v>
      </c>
      <c r="M2294" s="37" t="s">
        <v>142</v>
      </c>
      <c r="N2294" s="37">
        <v>696.6467060487804</v>
      </c>
      <c r="O2294" s="132">
        <f t="shared" si="178"/>
        <v>6959.3116834613784</v>
      </c>
      <c r="P2294" s="134">
        <f t="shared" si="179"/>
        <v>5426.0702856546495</v>
      </c>
      <c r="Q2294" s="261">
        <v>1</v>
      </c>
      <c r="R2294" s="94"/>
    </row>
    <row r="2295" spans="1:18" x14ac:dyDescent="0.25">
      <c r="A2295" s="367">
        <v>40402</v>
      </c>
      <c r="B2295" s="367" t="s">
        <v>279</v>
      </c>
      <c r="C2295" s="279" t="s">
        <v>297</v>
      </c>
      <c r="D2295" s="159" t="s">
        <v>1229</v>
      </c>
      <c r="E2295" s="45">
        <f t="shared" si="180"/>
        <v>40402</v>
      </c>
      <c r="F2295" s="148" t="str">
        <f t="shared" si="177"/>
        <v>2010-11</v>
      </c>
      <c r="G2295" s="1"/>
      <c r="H2295" s="163"/>
      <c r="I2295" s="37"/>
      <c r="J2295" s="138">
        <f t="shared" si="181"/>
        <v>0.77968490742404351</v>
      </c>
      <c r="K2295" s="114"/>
      <c r="L2295" s="37">
        <v>6.9996537766299998</v>
      </c>
      <c r="M2295" s="37" t="s">
        <v>142</v>
      </c>
      <c r="N2295" s="37">
        <v>696.6467060487804</v>
      </c>
      <c r="O2295" s="132">
        <f t="shared" si="178"/>
        <v>4876.2857469711953</v>
      </c>
      <c r="P2295" s="134">
        <f t="shared" si="179"/>
        <v>3801.9664012004191</v>
      </c>
      <c r="Q2295" s="261">
        <v>1</v>
      </c>
      <c r="R2295" s="94"/>
    </row>
    <row r="2296" spans="1:18" x14ac:dyDescent="0.25">
      <c r="A2296" s="367">
        <v>40402</v>
      </c>
      <c r="B2296" s="367" t="s">
        <v>279</v>
      </c>
      <c r="C2296" s="279" t="s">
        <v>297</v>
      </c>
      <c r="D2296" s="159" t="s">
        <v>1229</v>
      </c>
      <c r="E2296" s="45">
        <f t="shared" si="180"/>
        <v>40402</v>
      </c>
      <c r="F2296" s="148" t="str">
        <f t="shared" si="177"/>
        <v>2010-11</v>
      </c>
      <c r="G2296" s="1"/>
      <c r="H2296" s="163"/>
      <c r="I2296" s="37"/>
      <c r="J2296" s="138">
        <f t="shared" si="181"/>
        <v>0.77968490742404351</v>
      </c>
      <c r="K2296" s="114"/>
      <c r="L2296" s="37">
        <v>7.9984301584699997</v>
      </c>
      <c r="M2296" s="37" t="s">
        <v>142</v>
      </c>
      <c r="N2296" s="37">
        <v>696.6467060487804</v>
      </c>
      <c r="O2296" s="132">
        <f t="shared" si="178"/>
        <v>5572.0800234593498</v>
      </c>
      <c r="P2296" s="134">
        <f t="shared" si="179"/>
        <v>4344.4666972502655</v>
      </c>
      <c r="Q2296" s="261">
        <v>1</v>
      </c>
      <c r="R2296" s="94"/>
    </row>
    <row r="2297" spans="1:18" x14ac:dyDescent="0.25">
      <c r="A2297" s="367">
        <v>40402</v>
      </c>
      <c r="B2297" s="367" t="s">
        <v>279</v>
      </c>
      <c r="C2297" s="279" t="s">
        <v>297</v>
      </c>
      <c r="D2297" s="159" t="s">
        <v>1229</v>
      </c>
      <c r="E2297" s="45">
        <f t="shared" si="180"/>
        <v>40402</v>
      </c>
      <c r="F2297" s="148" t="str">
        <f t="shared" si="177"/>
        <v>2010-11</v>
      </c>
      <c r="G2297" s="1"/>
      <c r="H2297" s="163"/>
      <c r="I2297" s="37"/>
      <c r="J2297" s="138">
        <f t="shared" si="181"/>
        <v>0.77968490742404351</v>
      </c>
      <c r="K2297" s="114"/>
      <c r="L2297" s="37">
        <v>7.4880876730999999</v>
      </c>
      <c r="M2297" s="37" t="s">
        <v>142</v>
      </c>
      <c r="N2297" s="37">
        <v>696.6467060487804</v>
      </c>
      <c r="O2297" s="132">
        <f t="shared" si="178"/>
        <v>5216.551612069592</v>
      </c>
      <c r="P2297" s="134">
        <f t="shared" si="179"/>
        <v>4067.2665607292247</v>
      </c>
      <c r="Q2297" s="261">
        <v>1</v>
      </c>
      <c r="R2297" s="94"/>
    </row>
    <row r="2298" spans="1:18" x14ac:dyDescent="0.25">
      <c r="A2298" s="367">
        <v>40402</v>
      </c>
      <c r="B2298" s="367" t="s">
        <v>279</v>
      </c>
      <c r="C2298" s="279" t="s">
        <v>297</v>
      </c>
      <c r="D2298" s="159" t="s">
        <v>1229</v>
      </c>
      <c r="E2298" s="45">
        <f t="shared" si="180"/>
        <v>40402</v>
      </c>
      <c r="F2298" s="148" t="str">
        <f t="shared" si="177"/>
        <v>2010-11</v>
      </c>
      <c r="G2298" s="1"/>
      <c r="H2298" s="163"/>
      <c r="I2298" s="37"/>
      <c r="J2298" s="138">
        <f t="shared" si="181"/>
        <v>0.77968490742404351</v>
      </c>
      <c r="K2298" s="114"/>
      <c r="L2298" s="37">
        <v>2.9998301618599998</v>
      </c>
      <c r="M2298" s="37" t="s">
        <v>142</v>
      </c>
      <c r="N2298" s="37">
        <v>696.6467060487804</v>
      </c>
      <c r="O2298" s="132">
        <f t="shared" si="178"/>
        <v>2089.8218009655488</v>
      </c>
      <c r="P2298" s="134">
        <f t="shared" si="179"/>
        <v>1629.4025174185717</v>
      </c>
      <c r="Q2298" s="261">
        <v>1</v>
      </c>
      <c r="R2298" s="94"/>
    </row>
    <row r="2299" spans="1:18" x14ac:dyDescent="0.25">
      <c r="A2299" s="367">
        <v>42471</v>
      </c>
      <c r="B2299" s="367" t="s">
        <v>279</v>
      </c>
      <c r="C2299" s="279" t="s">
        <v>761</v>
      </c>
      <c r="D2299" s="159" t="s">
        <v>1230</v>
      </c>
      <c r="E2299" s="45">
        <f t="shared" si="180"/>
        <v>42471</v>
      </c>
      <c r="F2299" s="148" t="str">
        <f t="shared" si="177"/>
        <v>2015-16</v>
      </c>
      <c r="G2299" s="1"/>
      <c r="H2299" s="163"/>
      <c r="I2299" s="37"/>
      <c r="J2299" s="138">
        <f t="shared" si="181"/>
        <v>0.77968490742404351</v>
      </c>
      <c r="K2299" s="114"/>
      <c r="L2299" s="37">
        <v>105.52627202399999</v>
      </c>
      <c r="M2299" s="37" t="s">
        <v>142</v>
      </c>
      <c r="N2299" s="37">
        <v>696.6467060487804</v>
      </c>
      <c r="O2299" s="132">
        <f t="shared" si="178"/>
        <v>73514.529807127168</v>
      </c>
      <c r="P2299" s="134">
        <f t="shared" si="179"/>
        <v>57318.169366992035</v>
      </c>
      <c r="Q2299" s="261">
        <v>1</v>
      </c>
      <c r="R2299" s="94"/>
    </row>
    <row r="2300" spans="1:18" x14ac:dyDescent="0.25">
      <c r="A2300" s="367">
        <v>42471</v>
      </c>
      <c r="B2300" s="367" t="s">
        <v>279</v>
      </c>
      <c r="C2300" s="279" t="s">
        <v>761</v>
      </c>
      <c r="D2300" s="159" t="s">
        <v>1048</v>
      </c>
      <c r="E2300" s="45">
        <f t="shared" si="180"/>
        <v>42471</v>
      </c>
      <c r="F2300" s="148" t="str">
        <f t="shared" si="177"/>
        <v>2015-16</v>
      </c>
      <c r="G2300" s="1"/>
      <c r="H2300" s="163"/>
      <c r="I2300" s="37"/>
      <c r="J2300" s="138">
        <f t="shared" si="181"/>
        <v>0.77968490742404351</v>
      </c>
      <c r="K2300" s="114"/>
      <c r="L2300" s="37">
        <v>8.0709262169800002</v>
      </c>
      <c r="M2300" s="37" t="s">
        <v>142</v>
      </c>
      <c r="N2300" s="37">
        <v>696.6467060487804</v>
      </c>
      <c r="O2300" s="132">
        <f t="shared" si="178"/>
        <v>5622.5841638218617</v>
      </c>
      <c r="P2300" s="134">
        <f t="shared" si="179"/>
        <v>4383.8440132533415</v>
      </c>
      <c r="Q2300" s="261">
        <v>1</v>
      </c>
      <c r="R2300" s="94"/>
    </row>
    <row r="2301" spans="1:18" x14ac:dyDescent="0.25">
      <c r="A2301" s="367">
        <v>42471</v>
      </c>
      <c r="B2301" s="367" t="s">
        <v>279</v>
      </c>
      <c r="C2301" s="279" t="s">
        <v>761</v>
      </c>
      <c r="D2301" s="159" t="s">
        <v>1048</v>
      </c>
      <c r="E2301" s="45">
        <f t="shared" si="180"/>
        <v>42471</v>
      </c>
      <c r="F2301" s="148" t="str">
        <f t="shared" si="177"/>
        <v>2015-16</v>
      </c>
      <c r="G2301" s="1"/>
      <c r="H2301" s="163"/>
      <c r="I2301" s="37"/>
      <c r="J2301" s="138">
        <f t="shared" si="181"/>
        <v>0.77968490742404351</v>
      </c>
      <c r="K2301" s="114"/>
      <c r="L2301" s="37">
        <v>133.01102645</v>
      </c>
      <c r="M2301" s="37" t="s">
        <v>142</v>
      </c>
      <c r="N2301" s="37">
        <v>696.6467060487804</v>
      </c>
      <c r="O2301" s="132">
        <f t="shared" si="178"/>
        <v>92661.6934445597</v>
      </c>
      <c r="P2301" s="134">
        <f t="shared" si="179"/>
        <v>72246.923875076624</v>
      </c>
      <c r="Q2301" s="261">
        <v>1</v>
      </c>
      <c r="R2301" s="94"/>
    </row>
    <row r="2302" spans="1:18" x14ac:dyDescent="0.25">
      <c r="A2302" s="367">
        <v>42471</v>
      </c>
      <c r="B2302" s="367" t="s">
        <v>279</v>
      </c>
      <c r="C2302" s="279" t="s">
        <v>761</v>
      </c>
      <c r="D2302" s="159" t="s">
        <v>1048</v>
      </c>
      <c r="E2302" s="45">
        <f t="shared" si="180"/>
        <v>42471</v>
      </c>
      <c r="F2302" s="148" t="str">
        <f t="shared" si="177"/>
        <v>2015-16</v>
      </c>
      <c r="G2302" s="1"/>
      <c r="H2302" s="163"/>
      <c r="I2302" s="37"/>
      <c r="J2302" s="138">
        <f t="shared" si="181"/>
        <v>0.77968490742404351</v>
      </c>
      <c r="K2302" s="114"/>
      <c r="L2302" s="37">
        <v>58.711098797399998</v>
      </c>
      <c r="M2302" s="37" t="s">
        <v>142</v>
      </c>
      <c r="N2302" s="37">
        <v>696.6467060487804</v>
      </c>
      <c r="O2302" s="132">
        <f t="shared" si="178"/>
        <v>40900.893585713224</v>
      </c>
      <c r="P2302" s="134">
        <f t="shared" si="179"/>
        <v>31889.809428937471</v>
      </c>
      <c r="Q2302" s="261">
        <v>1</v>
      </c>
      <c r="R2302" s="94"/>
    </row>
    <row r="2303" spans="1:18" x14ac:dyDescent="0.25">
      <c r="A2303" s="367">
        <v>43910</v>
      </c>
      <c r="B2303" s="367" t="s">
        <v>279</v>
      </c>
      <c r="C2303" s="279" t="s">
        <v>762</v>
      </c>
      <c r="D2303" s="159" t="s">
        <v>1231</v>
      </c>
      <c r="E2303" s="45">
        <f t="shared" si="180"/>
        <v>43910</v>
      </c>
      <c r="F2303" s="148" t="str">
        <f t="shared" si="177"/>
        <v>2019-20</v>
      </c>
      <c r="G2303" s="1"/>
      <c r="H2303" s="163"/>
      <c r="I2303" s="37"/>
      <c r="J2303" s="138">
        <f t="shared" si="181"/>
        <v>0.77968490742404351</v>
      </c>
      <c r="K2303" s="114"/>
      <c r="L2303" s="37">
        <v>59.104355147100001</v>
      </c>
      <c r="M2303" s="37" t="s">
        <v>142</v>
      </c>
      <c r="N2303" s="37">
        <v>1003.0093919999996</v>
      </c>
      <c r="O2303" s="132">
        <f t="shared" si="178"/>
        <v>59282.223320644822</v>
      </c>
      <c r="P2303" s="134">
        <f t="shared" si="179"/>
        <v>46221.454801648433</v>
      </c>
      <c r="Q2303" s="261">
        <v>1</v>
      </c>
      <c r="R2303" s="94"/>
    </row>
    <row r="2304" spans="1:18" x14ac:dyDescent="0.25">
      <c r="A2304" s="367">
        <v>43910</v>
      </c>
      <c r="B2304" s="367" t="s">
        <v>279</v>
      </c>
      <c r="C2304" s="279" t="s">
        <v>762</v>
      </c>
      <c r="D2304" s="159" t="s">
        <v>1231</v>
      </c>
      <c r="E2304" s="45">
        <f t="shared" si="180"/>
        <v>43910</v>
      </c>
      <c r="F2304" s="148" t="str">
        <f t="shared" si="177"/>
        <v>2019-20</v>
      </c>
      <c r="G2304" s="1"/>
      <c r="H2304" s="163"/>
      <c r="I2304" s="37"/>
      <c r="J2304" s="138">
        <f t="shared" si="181"/>
        <v>0.77968490742404351</v>
      </c>
      <c r="K2304" s="114"/>
      <c r="L2304" s="37">
        <v>0.986067441913</v>
      </c>
      <c r="M2304" s="37" t="s">
        <v>142</v>
      </c>
      <c r="N2304" s="37">
        <v>696.6467060487804</v>
      </c>
      <c r="O2304" s="132">
        <f t="shared" si="178"/>
        <v>686.94063535063856</v>
      </c>
      <c r="P2304" s="134">
        <f t="shared" si="179"/>
        <v>535.59724567917624</v>
      </c>
      <c r="Q2304" s="261">
        <v>1</v>
      </c>
      <c r="R2304" s="94"/>
    </row>
    <row r="2305" spans="1:18" x14ac:dyDescent="0.25">
      <c r="A2305" s="367">
        <v>39790</v>
      </c>
      <c r="B2305" s="367" t="s">
        <v>279</v>
      </c>
      <c r="C2305" s="279" t="s">
        <v>763</v>
      </c>
      <c r="D2305" s="159" t="s">
        <v>1232</v>
      </c>
      <c r="E2305" s="45">
        <f t="shared" si="180"/>
        <v>39790</v>
      </c>
      <c r="F2305" s="148" t="str">
        <f t="shared" si="177"/>
        <v>2008-09</v>
      </c>
      <c r="G2305" s="1"/>
      <c r="H2305" s="163"/>
      <c r="I2305" s="37"/>
      <c r="J2305" s="138">
        <f t="shared" si="181"/>
        <v>0.77968490742404351</v>
      </c>
      <c r="K2305" s="114"/>
      <c r="L2305" s="37">
        <v>2.9989513167099999</v>
      </c>
      <c r="M2305" s="37" t="s">
        <v>142</v>
      </c>
      <c r="N2305" s="37">
        <v>771.6404230243902</v>
      </c>
      <c r="O2305" s="132">
        <f t="shared" si="178"/>
        <v>2314.1120626556562</v>
      </c>
      <c r="P2305" s="134">
        <f t="shared" si="179"/>
        <v>1804.2782493405377</v>
      </c>
      <c r="Q2305" s="261">
        <v>1</v>
      </c>
      <c r="R2305" s="94"/>
    </row>
    <row r="2306" spans="1:18" x14ac:dyDescent="0.25">
      <c r="A2306" s="367">
        <v>39790</v>
      </c>
      <c r="B2306" s="367" t="s">
        <v>279</v>
      </c>
      <c r="C2306" s="279" t="s">
        <v>763</v>
      </c>
      <c r="D2306" s="159" t="s">
        <v>1232</v>
      </c>
      <c r="E2306" s="45">
        <f t="shared" si="180"/>
        <v>39790</v>
      </c>
      <c r="F2306" s="148" t="str">
        <f t="shared" si="177"/>
        <v>2008-09</v>
      </c>
      <c r="G2306" s="1"/>
      <c r="H2306" s="163"/>
      <c r="I2306" s="37"/>
      <c r="J2306" s="138">
        <f t="shared" si="181"/>
        <v>0.77968490742404351</v>
      </c>
      <c r="K2306" s="114"/>
      <c r="L2306" s="37">
        <v>4.1317934752300003</v>
      </c>
      <c r="M2306" s="37" t="s">
        <v>142</v>
      </c>
      <c r="N2306" s="37">
        <v>771.6404230243902</v>
      </c>
      <c r="O2306" s="132">
        <f t="shared" si="178"/>
        <v>3188.2588650758926</v>
      </c>
      <c r="P2306" s="134">
        <f t="shared" si="179"/>
        <v>2485.8373180605831</v>
      </c>
      <c r="Q2306" s="261">
        <v>1</v>
      </c>
      <c r="R2306" s="94"/>
    </row>
    <row r="2307" spans="1:18" x14ac:dyDescent="0.25">
      <c r="A2307" s="367">
        <v>39395</v>
      </c>
      <c r="B2307" s="367" t="s">
        <v>279</v>
      </c>
      <c r="C2307" s="279" t="s">
        <v>764</v>
      </c>
      <c r="D2307" s="159" t="s">
        <v>1233</v>
      </c>
      <c r="E2307" s="45">
        <f t="shared" si="180"/>
        <v>39395</v>
      </c>
      <c r="F2307" s="148" t="str">
        <f t="shared" si="177"/>
        <v>2007-08</v>
      </c>
      <c r="G2307" s="1"/>
      <c r="H2307" s="163"/>
      <c r="I2307" s="37"/>
      <c r="J2307" s="138">
        <f t="shared" si="181"/>
        <v>0.77968490742404351</v>
      </c>
      <c r="K2307" s="114"/>
      <c r="L2307" s="37">
        <v>193.95027709799999</v>
      </c>
      <c r="M2307" s="37" t="s">
        <v>142</v>
      </c>
      <c r="N2307" s="37">
        <v>936.5640883902438</v>
      </c>
      <c r="O2307" s="132">
        <f t="shared" si="178"/>
        <v>181646.86446332352</v>
      </c>
      <c r="P2307" s="134">
        <f t="shared" si="179"/>
        <v>141627.31870295419</v>
      </c>
      <c r="Q2307" s="261">
        <v>1</v>
      </c>
      <c r="R2307" s="94"/>
    </row>
    <row r="2308" spans="1:18" x14ac:dyDescent="0.25">
      <c r="A2308" s="367">
        <v>40057</v>
      </c>
      <c r="B2308" s="367" t="s">
        <v>279</v>
      </c>
      <c r="C2308" s="279" t="s">
        <v>765</v>
      </c>
      <c r="D2308" s="159" t="s">
        <v>1233</v>
      </c>
      <c r="E2308" s="45">
        <f t="shared" si="180"/>
        <v>40057</v>
      </c>
      <c r="F2308" s="148" t="str">
        <f t="shared" si="177"/>
        <v>2009-10</v>
      </c>
      <c r="G2308" s="1"/>
      <c r="H2308" s="163"/>
      <c r="I2308" s="37"/>
      <c r="J2308" s="138">
        <f t="shared" si="181"/>
        <v>0.77968490742404351</v>
      </c>
      <c r="K2308" s="114"/>
      <c r="L2308" s="37">
        <v>308.90875328999999</v>
      </c>
      <c r="M2308" s="37" t="s">
        <v>142</v>
      </c>
      <c r="N2308" s="37">
        <v>1422.8419512195119</v>
      </c>
      <c r="O2308" s="132">
        <f t="shared" si="178"/>
        <v>439528.3332799304</v>
      </c>
      <c r="P2308" s="134">
        <f t="shared" si="179"/>
        <v>342693.60784360667</v>
      </c>
      <c r="Q2308" s="261">
        <v>1</v>
      </c>
      <c r="R2308" s="94"/>
    </row>
    <row r="2309" spans="1:18" x14ac:dyDescent="0.25">
      <c r="A2309" s="367">
        <v>40057</v>
      </c>
      <c r="B2309" s="367" t="s">
        <v>279</v>
      </c>
      <c r="C2309" s="279" t="s">
        <v>765</v>
      </c>
      <c r="D2309" s="159" t="s">
        <v>1233</v>
      </c>
      <c r="E2309" s="45">
        <f t="shared" si="180"/>
        <v>40057</v>
      </c>
      <c r="F2309" s="148" t="str">
        <f t="shared" si="177"/>
        <v>2009-10</v>
      </c>
      <c r="G2309" s="1"/>
      <c r="H2309" s="163"/>
      <c r="I2309" s="37"/>
      <c r="J2309" s="138">
        <f t="shared" si="181"/>
        <v>0.77968490742404351</v>
      </c>
      <c r="K2309" s="114"/>
      <c r="L2309" s="37">
        <v>15.510604106400001</v>
      </c>
      <c r="M2309" s="37" t="s">
        <v>142</v>
      </c>
      <c r="N2309" s="37">
        <v>1422.8466506341463</v>
      </c>
      <c r="O2309" s="132">
        <f t="shared" si="178"/>
        <v>22069.211102103476</v>
      </c>
      <c r="P2309" s="134">
        <f t="shared" si="179"/>
        <v>17207.030815065224</v>
      </c>
      <c r="Q2309" s="261">
        <v>1</v>
      </c>
      <c r="R2309" s="94"/>
    </row>
    <row r="2310" spans="1:18" x14ac:dyDescent="0.25">
      <c r="A2310" s="367">
        <v>40057</v>
      </c>
      <c r="B2310" s="367" t="s">
        <v>279</v>
      </c>
      <c r="C2310" s="279" t="s">
        <v>765</v>
      </c>
      <c r="D2310" s="159" t="s">
        <v>1233</v>
      </c>
      <c r="E2310" s="45">
        <f t="shared" si="180"/>
        <v>40057</v>
      </c>
      <c r="F2310" s="148" t="str">
        <f t="shared" si="177"/>
        <v>2009-10</v>
      </c>
      <c r="G2310" s="1"/>
      <c r="H2310" s="163"/>
      <c r="I2310" s="37"/>
      <c r="J2310" s="138">
        <f t="shared" si="181"/>
        <v>0.77968490742404351</v>
      </c>
      <c r="K2310" s="114"/>
      <c r="L2310" s="37">
        <v>11.796852581</v>
      </c>
      <c r="M2310" s="37" t="s">
        <v>142</v>
      </c>
      <c r="N2310" s="37">
        <v>936.5640883902438</v>
      </c>
      <c r="O2310" s="132">
        <f t="shared" si="178"/>
        <v>11048.50848339836</v>
      </c>
      <c r="P2310" s="134">
        <f t="shared" si="179"/>
        <v>8614.355314052209</v>
      </c>
      <c r="Q2310" s="261">
        <v>1</v>
      </c>
      <c r="R2310" s="94"/>
    </row>
    <row r="2311" spans="1:18" x14ac:dyDescent="0.25">
      <c r="A2311" s="367">
        <v>40057</v>
      </c>
      <c r="B2311" s="367" t="s">
        <v>279</v>
      </c>
      <c r="C2311" s="279" t="s">
        <v>765</v>
      </c>
      <c r="D2311" s="159" t="s">
        <v>1233</v>
      </c>
      <c r="E2311" s="45">
        <f t="shared" si="180"/>
        <v>40057</v>
      </c>
      <c r="F2311" s="148" t="str">
        <f t="shared" si="177"/>
        <v>2009-10</v>
      </c>
      <c r="G2311" s="1"/>
      <c r="H2311" s="163"/>
      <c r="I2311" s="37"/>
      <c r="J2311" s="138">
        <f t="shared" si="181"/>
        <v>0.77968490742404351</v>
      </c>
      <c r="K2311" s="114"/>
      <c r="L2311" s="37">
        <v>5.7419889704899996</v>
      </c>
      <c r="M2311" s="37" t="s">
        <v>142</v>
      </c>
      <c r="N2311" s="37">
        <v>936.5640883902438</v>
      </c>
      <c r="O2311" s="132">
        <f t="shared" si="178"/>
        <v>5377.740665693801</v>
      </c>
      <c r="P2311" s="134">
        <f t="shared" si="179"/>
        <v>4192.9432330819855</v>
      </c>
      <c r="Q2311" s="261">
        <v>1</v>
      </c>
      <c r="R2311" s="94"/>
    </row>
    <row r="2312" spans="1:18" x14ac:dyDescent="0.25">
      <c r="A2312" s="367">
        <v>40057</v>
      </c>
      <c r="B2312" s="367" t="s">
        <v>279</v>
      </c>
      <c r="C2312" s="279" t="s">
        <v>765</v>
      </c>
      <c r="D2312" s="159" t="s">
        <v>1233</v>
      </c>
      <c r="E2312" s="45">
        <f t="shared" si="180"/>
        <v>40057</v>
      </c>
      <c r="F2312" s="148" t="str">
        <f t="shared" si="177"/>
        <v>2009-10</v>
      </c>
      <c r="G2312" s="1"/>
      <c r="H2312" s="163"/>
      <c r="I2312" s="37"/>
      <c r="J2312" s="138">
        <f t="shared" si="181"/>
        <v>0.77968490742404351</v>
      </c>
      <c r="K2312" s="114"/>
      <c r="L2312" s="37">
        <v>1.50001933321</v>
      </c>
      <c r="M2312" s="37" t="s">
        <v>142</v>
      </c>
      <c r="N2312" s="37">
        <v>936.5640883902438</v>
      </c>
      <c r="O2312" s="132">
        <f t="shared" si="178"/>
        <v>1404.8642393755649</v>
      </c>
      <c r="P2312" s="134">
        <f t="shared" si="179"/>
        <v>1095.3514444208865</v>
      </c>
      <c r="Q2312" s="261">
        <v>1</v>
      </c>
      <c r="R2312" s="94"/>
    </row>
    <row r="2313" spans="1:18" x14ac:dyDescent="0.25">
      <c r="A2313" s="367">
        <v>39395</v>
      </c>
      <c r="B2313" s="367" t="s">
        <v>279</v>
      </c>
      <c r="C2313" s="279" t="s">
        <v>764</v>
      </c>
      <c r="D2313" s="159" t="s">
        <v>1233</v>
      </c>
      <c r="E2313" s="45">
        <f t="shared" si="180"/>
        <v>39395</v>
      </c>
      <c r="F2313" s="148" t="str">
        <f t="shared" si="177"/>
        <v>2007-08</v>
      </c>
      <c r="G2313" s="1"/>
      <c r="H2313" s="163"/>
      <c r="I2313" s="37"/>
      <c r="J2313" s="138">
        <f t="shared" si="181"/>
        <v>0.77968490742404351</v>
      </c>
      <c r="K2313" s="114"/>
      <c r="L2313" s="37">
        <v>10.587907210999999</v>
      </c>
      <c r="M2313" s="37" t="s">
        <v>142</v>
      </c>
      <c r="N2313" s="37">
        <v>936.5640883902438</v>
      </c>
      <c r="O2313" s="132">
        <f t="shared" si="178"/>
        <v>9916.2536650307029</v>
      </c>
      <c r="P2313" s="134">
        <f t="shared" si="179"/>
        <v>7731.5533208127954</v>
      </c>
      <c r="Q2313" s="261">
        <v>1</v>
      </c>
      <c r="R2313" s="94"/>
    </row>
    <row r="2314" spans="1:18" x14ac:dyDescent="0.25">
      <c r="A2314" s="367">
        <v>40057</v>
      </c>
      <c r="B2314" s="367" t="s">
        <v>279</v>
      </c>
      <c r="C2314" s="279" t="s">
        <v>765</v>
      </c>
      <c r="D2314" s="159" t="s">
        <v>1233</v>
      </c>
      <c r="E2314" s="45">
        <f t="shared" si="180"/>
        <v>40057</v>
      </c>
      <c r="F2314" s="148" t="str">
        <f t="shared" si="177"/>
        <v>2009-10</v>
      </c>
      <c r="G2314" s="1"/>
      <c r="H2314" s="163"/>
      <c r="I2314" s="37"/>
      <c r="J2314" s="138">
        <f t="shared" si="181"/>
        <v>0.77968490742404351</v>
      </c>
      <c r="K2314" s="114"/>
      <c r="L2314" s="37">
        <v>4.1454125247100002</v>
      </c>
      <c r="M2314" s="37" t="s">
        <v>142</v>
      </c>
      <c r="N2314" s="37">
        <v>936.5640883902438</v>
      </c>
      <c r="O2314" s="132">
        <f t="shared" si="178"/>
        <v>3882.4445022065202</v>
      </c>
      <c r="P2314" s="134">
        <f t="shared" si="179"/>
        <v>3027.0833822818772</v>
      </c>
      <c r="Q2314" s="261">
        <v>1</v>
      </c>
      <c r="R2314" s="94"/>
    </row>
    <row r="2315" spans="1:18" x14ac:dyDescent="0.25">
      <c r="A2315" s="367">
        <v>39395</v>
      </c>
      <c r="B2315" s="367" t="s">
        <v>279</v>
      </c>
      <c r="C2315" s="279" t="s">
        <v>764</v>
      </c>
      <c r="D2315" s="159" t="s">
        <v>1233</v>
      </c>
      <c r="E2315" s="45">
        <f t="shared" si="180"/>
        <v>39395</v>
      </c>
      <c r="F2315" s="148" t="str">
        <f t="shared" si="177"/>
        <v>2007-08</v>
      </c>
      <c r="G2315" s="1"/>
      <c r="H2315" s="163"/>
      <c r="I2315" s="37"/>
      <c r="J2315" s="138">
        <f t="shared" si="181"/>
        <v>0.77968490742404351</v>
      </c>
      <c r="K2315" s="114"/>
      <c r="L2315" s="37">
        <v>1.1996407795699999</v>
      </c>
      <c r="M2315" s="37" t="s">
        <v>142</v>
      </c>
      <c r="N2315" s="37">
        <v>936.5640883902438</v>
      </c>
      <c r="O2315" s="132">
        <f t="shared" si="178"/>
        <v>1123.5404731137385</v>
      </c>
      <c r="P2315" s="134">
        <f t="shared" si="179"/>
        <v>876.00754976685118</v>
      </c>
      <c r="Q2315" s="261">
        <v>1</v>
      </c>
      <c r="R2315" s="94"/>
    </row>
    <row r="2316" spans="1:18" x14ac:dyDescent="0.25">
      <c r="A2316" s="367">
        <v>40057</v>
      </c>
      <c r="B2316" s="367" t="s">
        <v>279</v>
      </c>
      <c r="C2316" s="279" t="s">
        <v>765</v>
      </c>
      <c r="D2316" s="159" t="s">
        <v>1233</v>
      </c>
      <c r="E2316" s="45">
        <f t="shared" si="180"/>
        <v>40057</v>
      </c>
      <c r="F2316" s="148" t="str">
        <f t="shared" si="177"/>
        <v>2009-10</v>
      </c>
      <c r="G2316" s="1"/>
      <c r="H2316" s="163"/>
      <c r="I2316" s="37"/>
      <c r="J2316" s="138">
        <f t="shared" si="181"/>
        <v>0.77968490742404351</v>
      </c>
      <c r="K2316" s="114"/>
      <c r="L2316" s="37">
        <v>11.6972571887</v>
      </c>
      <c r="M2316" s="37" t="s">
        <v>142</v>
      </c>
      <c r="N2316" s="37">
        <v>1422.8466506341463</v>
      </c>
      <c r="O2316" s="132">
        <f t="shared" si="178"/>
        <v>16643.403212547986</v>
      </c>
      <c r="P2316" s="134">
        <f t="shared" si="179"/>
        <v>12976.610292996505</v>
      </c>
      <c r="Q2316" s="261">
        <v>1</v>
      </c>
      <c r="R2316" s="94"/>
    </row>
    <row r="2317" spans="1:18" x14ac:dyDescent="0.25">
      <c r="A2317" s="367">
        <v>39395</v>
      </c>
      <c r="B2317" s="367" t="s">
        <v>279</v>
      </c>
      <c r="C2317" s="279" t="s">
        <v>764</v>
      </c>
      <c r="D2317" s="159" t="s">
        <v>1233</v>
      </c>
      <c r="E2317" s="45">
        <f t="shared" si="180"/>
        <v>39395</v>
      </c>
      <c r="F2317" s="148" t="str">
        <f t="shared" si="177"/>
        <v>2007-08</v>
      </c>
      <c r="G2317" s="1"/>
      <c r="H2317" s="163"/>
      <c r="I2317" s="37"/>
      <c r="J2317" s="138">
        <f t="shared" si="181"/>
        <v>0.77968490742404351</v>
      </c>
      <c r="K2317" s="114"/>
      <c r="L2317" s="37">
        <v>102.098133318</v>
      </c>
      <c r="M2317" s="37" t="s">
        <v>142</v>
      </c>
      <c r="N2317" s="37">
        <v>936.5640883902438</v>
      </c>
      <c r="O2317" s="132">
        <f t="shared" si="178"/>
        <v>95621.445157318245</v>
      </c>
      <c r="P2317" s="134">
        <f t="shared" si="179"/>
        <v>74554.597615236926</v>
      </c>
      <c r="Q2317" s="261">
        <v>1</v>
      </c>
      <c r="R2317" s="94"/>
    </row>
    <row r="2318" spans="1:18" x14ac:dyDescent="0.25">
      <c r="A2318" s="367">
        <v>39395</v>
      </c>
      <c r="B2318" s="367" t="s">
        <v>279</v>
      </c>
      <c r="C2318" s="279" t="s">
        <v>764</v>
      </c>
      <c r="D2318" s="159" t="s">
        <v>1233</v>
      </c>
      <c r="E2318" s="45">
        <f t="shared" si="180"/>
        <v>39395</v>
      </c>
      <c r="F2318" s="148" t="str">
        <f t="shared" si="177"/>
        <v>2007-08</v>
      </c>
      <c r="G2318" s="1"/>
      <c r="H2318" s="163"/>
      <c r="I2318" s="37"/>
      <c r="J2318" s="138">
        <f t="shared" si="181"/>
        <v>0.77968490742404351</v>
      </c>
      <c r="K2318" s="114"/>
      <c r="L2318" s="37">
        <v>2.4993329110000002</v>
      </c>
      <c r="M2318" s="37" t="s">
        <v>142</v>
      </c>
      <c r="N2318" s="37">
        <v>936.5640883902438</v>
      </c>
      <c r="O2318" s="132">
        <f t="shared" si="178"/>
        <v>2340.7854493744494</v>
      </c>
      <c r="P2318" s="134">
        <f t="shared" si="179"/>
        <v>1825.0750863950657</v>
      </c>
      <c r="Q2318" s="261">
        <v>1</v>
      </c>
      <c r="R2318" s="94"/>
    </row>
    <row r="2319" spans="1:18" x14ac:dyDescent="0.25">
      <c r="A2319" s="367">
        <v>39395</v>
      </c>
      <c r="B2319" s="367" t="s">
        <v>279</v>
      </c>
      <c r="C2319" s="279" t="s">
        <v>764</v>
      </c>
      <c r="D2319" s="159" t="s">
        <v>1233</v>
      </c>
      <c r="E2319" s="45">
        <f t="shared" si="180"/>
        <v>39395</v>
      </c>
      <c r="F2319" s="148" t="str">
        <f t="shared" si="177"/>
        <v>2007-08</v>
      </c>
      <c r="G2319" s="1"/>
      <c r="H2319" s="163"/>
      <c r="I2319" s="37"/>
      <c r="J2319" s="138">
        <f t="shared" si="181"/>
        <v>0.77968490742404351</v>
      </c>
      <c r="K2319" s="114"/>
      <c r="L2319" s="37">
        <v>34.539652401200001</v>
      </c>
      <c r="M2319" s="37" t="s">
        <v>142</v>
      </c>
      <c r="N2319" s="37">
        <v>936.5640883902438</v>
      </c>
      <c r="O2319" s="132">
        <f t="shared" si="178"/>
        <v>32348.598064445774</v>
      </c>
      <c r="P2319" s="134">
        <f t="shared" si="179"/>
        <v>25221.713687174997</v>
      </c>
      <c r="Q2319" s="261">
        <v>1</v>
      </c>
      <c r="R2319" s="94"/>
    </row>
    <row r="2320" spans="1:18" x14ac:dyDescent="0.25">
      <c r="A2320" s="367">
        <v>39395</v>
      </c>
      <c r="B2320" s="367" t="s">
        <v>279</v>
      </c>
      <c r="C2320" s="279" t="s">
        <v>764</v>
      </c>
      <c r="D2320" s="159" t="s">
        <v>1233</v>
      </c>
      <c r="E2320" s="45">
        <f t="shared" si="180"/>
        <v>39395</v>
      </c>
      <c r="F2320" s="148" t="str">
        <f t="shared" si="177"/>
        <v>2007-08</v>
      </c>
      <c r="G2320" s="1"/>
      <c r="H2320" s="163"/>
      <c r="I2320" s="37"/>
      <c r="J2320" s="138">
        <f t="shared" si="181"/>
        <v>0.77968490742404351</v>
      </c>
      <c r="K2320" s="114"/>
      <c r="L2320" s="37">
        <v>7.3142093215899999</v>
      </c>
      <c r="M2320" s="37" t="s">
        <v>142</v>
      </c>
      <c r="N2320" s="37">
        <v>936.5640883902438</v>
      </c>
      <c r="O2320" s="132">
        <f t="shared" si="178"/>
        <v>6850.2257855703619</v>
      </c>
      <c r="P2320" s="134">
        <f t="shared" si="179"/>
        <v>5341.0176574562238</v>
      </c>
      <c r="Q2320" s="261">
        <v>1</v>
      </c>
      <c r="R2320" s="94"/>
    </row>
    <row r="2321" spans="1:18" x14ac:dyDescent="0.25">
      <c r="A2321" s="367">
        <v>39395</v>
      </c>
      <c r="B2321" s="367" t="s">
        <v>279</v>
      </c>
      <c r="C2321" s="279" t="s">
        <v>764</v>
      </c>
      <c r="D2321" s="159" t="s">
        <v>1233</v>
      </c>
      <c r="E2321" s="45">
        <f t="shared" si="180"/>
        <v>39395</v>
      </c>
      <c r="F2321" s="148" t="str">
        <f t="shared" si="177"/>
        <v>2007-08</v>
      </c>
      <c r="G2321" s="1"/>
      <c r="H2321" s="163"/>
      <c r="I2321" s="37"/>
      <c r="J2321" s="138">
        <f t="shared" si="181"/>
        <v>0.77968490742404351</v>
      </c>
      <c r="K2321" s="114"/>
      <c r="L2321" s="37">
        <v>1.19990832983</v>
      </c>
      <c r="M2321" s="37" t="s">
        <v>142</v>
      </c>
      <c r="N2321" s="37">
        <v>771.6404230243902</v>
      </c>
      <c r="O2321" s="132">
        <f t="shared" si="178"/>
        <v>925.89777122051066</v>
      </c>
      <c r="P2321" s="134">
        <f t="shared" si="179"/>
        <v>721.90851803819203</v>
      </c>
      <c r="Q2321" s="261">
        <v>1</v>
      </c>
      <c r="R2321" s="94"/>
    </row>
    <row r="2322" spans="1:18" x14ac:dyDescent="0.25">
      <c r="A2322" s="367">
        <v>39395</v>
      </c>
      <c r="B2322" s="367" t="s">
        <v>279</v>
      </c>
      <c r="C2322" s="279" t="s">
        <v>764</v>
      </c>
      <c r="D2322" s="159" t="s">
        <v>1233</v>
      </c>
      <c r="E2322" s="45">
        <f t="shared" si="180"/>
        <v>39395</v>
      </c>
      <c r="F2322" s="148" t="str">
        <f t="shared" ref="F2322:F2385" si="182">IF(E2322="","-",IF(OR(E2322&lt;$E$15,E2322&gt;$E$16),"ERROR - date outside of range",IF(MONTH(E2322)&gt;=7,YEAR(E2322)&amp;"-"&amp;IF(YEAR(E2322)=1999,"00",IF(AND(YEAR(E2322)&gt;=2000,YEAR(E2322)&lt;2009),"0","")&amp;RIGHT(YEAR(E2322),2)+1),RIGHT(YEAR(E2322),4)-1&amp;"-"&amp;RIGHT(YEAR(E2322),2))))</f>
        <v>2007-08</v>
      </c>
      <c r="G2322" s="1"/>
      <c r="H2322" s="163"/>
      <c r="I2322" s="37"/>
      <c r="J2322" s="138">
        <f t="shared" si="181"/>
        <v>0.77968490742404351</v>
      </c>
      <c r="K2322" s="114"/>
      <c r="L2322" s="37">
        <v>1.1991955436499999</v>
      </c>
      <c r="M2322" s="37" t="s">
        <v>142</v>
      </c>
      <c r="N2322" s="37">
        <v>936.5640883902438</v>
      </c>
      <c r="O2322" s="132">
        <f t="shared" ref="O2322:O2385" si="183">IF(N2322="","-",L2322*N2322)</f>
        <v>1123.1234811402051</v>
      </c>
      <c r="P2322" s="134">
        <f t="shared" ref="P2322:P2385" si="184">IF(O2322="-","-",IF(OR(E2322&lt;$E$15,E2322&gt;$E$16),0,O2322*J2322))*Q2322</f>
        <v>875.68242741857023</v>
      </c>
      <c r="Q2322" s="261">
        <v>1</v>
      </c>
      <c r="R2322" s="94"/>
    </row>
    <row r="2323" spans="1:18" x14ac:dyDescent="0.25">
      <c r="A2323" s="367">
        <v>39395</v>
      </c>
      <c r="B2323" s="367" t="s">
        <v>279</v>
      </c>
      <c r="C2323" s="279" t="s">
        <v>764</v>
      </c>
      <c r="D2323" s="159" t="s">
        <v>1233</v>
      </c>
      <c r="E2323" s="45">
        <f t="shared" si="180"/>
        <v>39395</v>
      </c>
      <c r="F2323" s="148" t="str">
        <f t="shared" si="182"/>
        <v>2007-08</v>
      </c>
      <c r="G2323" s="1"/>
      <c r="H2323" s="163"/>
      <c r="I2323" s="37"/>
      <c r="J2323" s="138">
        <f t="shared" si="181"/>
        <v>0.77968490742404351</v>
      </c>
      <c r="K2323" s="114"/>
      <c r="L2323" s="37">
        <v>2.5193871999400002</v>
      </c>
      <c r="M2323" s="37" t="s">
        <v>142</v>
      </c>
      <c r="N2323" s="37">
        <v>771.6404230243902</v>
      </c>
      <c r="O2323" s="132">
        <f t="shared" si="183"/>
        <v>1944.0610047239356</v>
      </c>
      <c r="P2323" s="134">
        <f t="shared" si="184"/>
        <v>1515.7550244948748</v>
      </c>
      <c r="Q2323" s="261">
        <v>1</v>
      </c>
      <c r="R2323" s="94"/>
    </row>
    <row r="2324" spans="1:18" x14ac:dyDescent="0.25">
      <c r="A2324" s="367">
        <v>40381</v>
      </c>
      <c r="B2324" s="367" t="s">
        <v>279</v>
      </c>
      <c r="C2324" s="279" t="s">
        <v>297</v>
      </c>
      <c r="D2324" s="159" t="s">
        <v>1232</v>
      </c>
      <c r="E2324" s="45">
        <f t="shared" si="180"/>
        <v>40381</v>
      </c>
      <c r="F2324" s="148" t="str">
        <f t="shared" si="182"/>
        <v>2010-11</v>
      </c>
      <c r="G2324" s="1"/>
      <c r="H2324" s="163"/>
      <c r="I2324" s="37"/>
      <c r="J2324" s="138">
        <f t="shared" si="181"/>
        <v>0.77968490742404351</v>
      </c>
      <c r="K2324" s="114"/>
      <c r="L2324" s="37">
        <v>2.7378634361900001</v>
      </c>
      <c r="M2324" s="37" t="s">
        <v>142</v>
      </c>
      <c r="N2324" s="37">
        <v>771.6404230243902</v>
      </c>
      <c r="O2324" s="132">
        <f t="shared" si="183"/>
        <v>2112.6461000846621</v>
      </c>
      <c r="P2324" s="134">
        <f t="shared" si="184"/>
        <v>1647.1982789642764</v>
      </c>
      <c r="Q2324" s="261">
        <v>1</v>
      </c>
      <c r="R2324" s="94"/>
    </row>
    <row r="2325" spans="1:18" x14ac:dyDescent="0.25">
      <c r="A2325" s="367">
        <v>40381</v>
      </c>
      <c r="B2325" s="367" t="s">
        <v>279</v>
      </c>
      <c r="C2325" s="279" t="s">
        <v>297</v>
      </c>
      <c r="D2325" s="159" t="s">
        <v>1232</v>
      </c>
      <c r="E2325" s="45">
        <f t="shared" si="180"/>
        <v>40381</v>
      </c>
      <c r="F2325" s="148" t="str">
        <f t="shared" si="182"/>
        <v>2010-11</v>
      </c>
      <c r="G2325" s="1"/>
      <c r="H2325" s="163"/>
      <c r="I2325" s="37"/>
      <c r="J2325" s="138">
        <f t="shared" si="181"/>
        <v>0.77968490742404351</v>
      </c>
      <c r="K2325" s="114"/>
      <c r="L2325" s="37">
        <v>3.6578892931699998</v>
      </c>
      <c r="M2325" s="37" t="s">
        <v>142</v>
      </c>
      <c r="N2325" s="37">
        <v>771.6404230243902</v>
      </c>
      <c r="O2325" s="132">
        <f t="shared" si="183"/>
        <v>2822.5752415580864</v>
      </c>
      <c r="P2325" s="134">
        <f t="shared" si="184"/>
        <v>2200.7193159116136</v>
      </c>
      <c r="Q2325" s="261">
        <v>1</v>
      </c>
      <c r="R2325" s="94"/>
    </row>
    <row r="2326" spans="1:18" x14ac:dyDescent="0.25">
      <c r="A2326" s="367">
        <v>40380</v>
      </c>
      <c r="B2326" s="367" t="s">
        <v>279</v>
      </c>
      <c r="C2326" s="279" t="s">
        <v>297</v>
      </c>
      <c r="D2326" s="159" t="s">
        <v>1232</v>
      </c>
      <c r="E2326" s="45">
        <f t="shared" si="180"/>
        <v>40380</v>
      </c>
      <c r="F2326" s="148" t="str">
        <f t="shared" si="182"/>
        <v>2010-11</v>
      </c>
      <c r="G2326" s="1"/>
      <c r="H2326" s="163"/>
      <c r="I2326" s="37"/>
      <c r="J2326" s="138">
        <f t="shared" si="181"/>
        <v>0.77968490742404351</v>
      </c>
      <c r="K2326" s="114"/>
      <c r="L2326" s="37">
        <v>1.99951345291</v>
      </c>
      <c r="M2326" s="37" t="s">
        <v>142</v>
      </c>
      <c r="N2326" s="37">
        <v>771.6404230243902</v>
      </c>
      <c r="O2326" s="132">
        <f t="shared" si="183"/>
        <v>1542.9054066464316</v>
      </c>
      <c r="P2326" s="134">
        <f t="shared" si="184"/>
        <v>1202.9800591451792</v>
      </c>
      <c r="Q2326" s="261">
        <v>1</v>
      </c>
      <c r="R2326" s="94"/>
    </row>
    <row r="2327" spans="1:18" x14ac:dyDescent="0.25">
      <c r="A2327" s="367">
        <v>42814</v>
      </c>
      <c r="B2327" s="367" t="s">
        <v>279</v>
      </c>
      <c r="C2327" s="279" t="s">
        <v>766</v>
      </c>
      <c r="D2327" s="159" t="s">
        <v>1234</v>
      </c>
      <c r="E2327" s="45">
        <f t="shared" ref="E2327:E2390" si="185">IF(A2327&lt;2022,DATEVALUE("30 Jun "&amp;A2327),A2327)</f>
        <v>42814</v>
      </c>
      <c r="F2327" s="148" t="str">
        <f t="shared" si="182"/>
        <v>2016-17</v>
      </c>
      <c r="G2327" s="1"/>
      <c r="H2327" s="163"/>
      <c r="I2327" s="37"/>
      <c r="J2327" s="138">
        <f t="shared" si="181"/>
        <v>0.77968490742404351</v>
      </c>
      <c r="K2327" s="114"/>
      <c r="L2327" s="37">
        <v>5.9993909690900002</v>
      </c>
      <c r="M2327" s="37" t="s">
        <v>142</v>
      </c>
      <c r="N2327" s="37">
        <v>771.6404230243902</v>
      </c>
      <c r="O2327" s="132">
        <f t="shared" si="183"/>
        <v>4629.3725852773141</v>
      </c>
      <c r="P2327" s="134">
        <f t="shared" si="184"/>
        <v>3609.4519355833477</v>
      </c>
      <c r="Q2327" s="261">
        <v>1</v>
      </c>
      <c r="R2327" s="94"/>
    </row>
    <row r="2328" spans="1:18" x14ac:dyDescent="0.25">
      <c r="A2328" s="367">
        <v>42814</v>
      </c>
      <c r="B2328" s="367" t="s">
        <v>279</v>
      </c>
      <c r="C2328" s="279" t="s">
        <v>766</v>
      </c>
      <c r="D2328" s="159" t="s">
        <v>1234</v>
      </c>
      <c r="E2328" s="45">
        <f t="shared" si="185"/>
        <v>42814</v>
      </c>
      <c r="F2328" s="148" t="str">
        <f t="shared" si="182"/>
        <v>2016-17</v>
      </c>
      <c r="G2328" s="1"/>
      <c r="H2328" s="163"/>
      <c r="I2328" s="37"/>
      <c r="J2328" s="138">
        <f t="shared" ref="J2328:J2391" si="186">J2327</f>
        <v>0.77968490742404351</v>
      </c>
      <c r="K2328" s="114"/>
      <c r="L2328" s="37">
        <v>4.3995509998199998</v>
      </c>
      <c r="M2328" s="37" t="s">
        <v>142</v>
      </c>
      <c r="N2328" s="37">
        <v>1181.2618378536583</v>
      </c>
      <c r="O2328" s="132">
        <f t="shared" si="183"/>
        <v>5197.0216997782727</v>
      </c>
      <c r="P2328" s="134">
        <f t="shared" si="184"/>
        <v>4052.0393828723677</v>
      </c>
      <c r="Q2328" s="261">
        <v>1</v>
      </c>
      <c r="R2328" s="94"/>
    </row>
    <row r="2329" spans="1:18" x14ac:dyDescent="0.25">
      <c r="A2329" s="367">
        <v>42814</v>
      </c>
      <c r="B2329" s="367" t="s">
        <v>279</v>
      </c>
      <c r="C2329" s="279" t="s">
        <v>766</v>
      </c>
      <c r="D2329" s="159" t="s">
        <v>1234</v>
      </c>
      <c r="E2329" s="45">
        <f t="shared" si="185"/>
        <v>42814</v>
      </c>
      <c r="F2329" s="148" t="str">
        <f t="shared" si="182"/>
        <v>2016-17</v>
      </c>
      <c r="G2329" s="1"/>
      <c r="H2329" s="163"/>
      <c r="I2329" s="37"/>
      <c r="J2329" s="138">
        <f t="shared" si="186"/>
        <v>0.77968490742404351</v>
      </c>
      <c r="K2329" s="114"/>
      <c r="L2329" s="37">
        <v>6.5989312013400001</v>
      </c>
      <c r="M2329" s="37" t="s">
        <v>142</v>
      </c>
      <c r="N2329" s="37">
        <v>1385.4167692682922</v>
      </c>
      <c r="O2329" s="132">
        <f t="shared" si="183"/>
        <v>9142.2699455841939</v>
      </c>
      <c r="P2329" s="134">
        <f t="shared" si="184"/>
        <v>7128.0898961684279</v>
      </c>
      <c r="Q2329" s="261">
        <v>1</v>
      </c>
      <c r="R2329" s="94"/>
    </row>
    <row r="2330" spans="1:18" x14ac:dyDescent="0.25">
      <c r="A2330" s="367">
        <v>42814</v>
      </c>
      <c r="B2330" s="367" t="s">
        <v>279</v>
      </c>
      <c r="C2330" s="279" t="s">
        <v>766</v>
      </c>
      <c r="D2330" s="159" t="s">
        <v>1234</v>
      </c>
      <c r="E2330" s="45">
        <f t="shared" si="185"/>
        <v>42814</v>
      </c>
      <c r="F2330" s="148" t="str">
        <f t="shared" si="182"/>
        <v>2016-17</v>
      </c>
      <c r="G2330" s="1"/>
      <c r="H2330" s="163"/>
      <c r="I2330" s="37"/>
      <c r="J2330" s="138">
        <f t="shared" si="186"/>
        <v>0.77968490742404351</v>
      </c>
      <c r="K2330" s="114"/>
      <c r="L2330" s="37">
        <v>4.3994950846699998</v>
      </c>
      <c r="M2330" s="37" t="s">
        <v>142</v>
      </c>
      <c r="N2330" s="37">
        <v>1181.2618378536583</v>
      </c>
      <c r="O2330" s="132">
        <f t="shared" si="183"/>
        <v>5196.9556493454202</v>
      </c>
      <c r="P2330" s="134">
        <f t="shared" si="184"/>
        <v>4051.9878843467436</v>
      </c>
      <c r="Q2330" s="261">
        <v>1</v>
      </c>
      <c r="R2330" s="94"/>
    </row>
    <row r="2331" spans="1:18" x14ac:dyDescent="0.25">
      <c r="A2331" s="367">
        <v>42814</v>
      </c>
      <c r="B2331" s="367" t="s">
        <v>279</v>
      </c>
      <c r="C2331" s="279" t="s">
        <v>766</v>
      </c>
      <c r="D2331" s="159" t="s">
        <v>1234</v>
      </c>
      <c r="E2331" s="45">
        <f t="shared" si="185"/>
        <v>42814</v>
      </c>
      <c r="F2331" s="148" t="str">
        <f t="shared" si="182"/>
        <v>2016-17</v>
      </c>
      <c r="G2331" s="1"/>
      <c r="H2331" s="163"/>
      <c r="I2331" s="37"/>
      <c r="J2331" s="138">
        <f t="shared" si="186"/>
        <v>0.77968490742404351</v>
      </c>
      <c r="K2331" s="114"/>
      <c r="L2331" s="37">
        <v>5.9993909690900002</v>
      </c>
      <c r="M2331" s="37" t="s">
        <v>142</v>
      </c>
      <c r="N2331" s="37">
        <v>771.6404230243902</v>
      </c>
      <c r="O2331" s="132">
        <f t="shared" si="183"/>
        <v>4629.3725852773141</v>
      </c>
      <c r="P2331" s="134">
        <f t="shared" si="184"/>
        <v>3609.4519355833477</v>
      </c>
      <c r="Q2331" s="261">
        <v>1</v>
      </c>
      <c r="R2331" s="94"/>
    </row>
    <row r="2332" spans="1:18" x14ac:dyDescent="0.25">
      <c r="A2332" s="367">
        <v>42814</v>
      </c>
      <c r="B2332" s="367" t="s">
        <v>279</v>
      </c>
      <c r="C2332" s="279" t="s">
        <v>766</v>
      </c>
      <c r="D2332" s="159" t="s">
        <v>1234</v>
      </c>
      <c r="E2332" s="45">
        <f t="shared" si="185"/>
        <v>42814</v>
      </c>
      <c r="F2332" s="148" t="str">
        <f t="shared" si="182"/>
        <v>2016-17</v>
      </c>
      <c r="G2332" s="1"/>
      <c r="H2332" s="163"/>
      <c r="I2332" s="37"/>
      <c r="J2332" s="138">
        <f t="shared" si="186"/>
        <v>0.77968490742404351</v>
      </c>
      <c r="K2332" s="114"/>
      <c r="L2332" s="37">
        <v>6.3991815883000003</v>
      </c>
      <c r="M2332" s="37" t="s">
        <v>142</v>
      </c>
      <c r="N2332" s="37">
        <v>1128.7084557073169</v>
      </c>
      <c r="O2332" s="132">
        <f t="shared" si="183"/>
        <v>7222.8103683207892</v>
      </c>
      <c r="P2332" s="134">
        <f t="shared" si="184"/>
        <v>5631.5162333656162</v>
      </c>
      <c r="Q2332" s="261">
        <v>1</v>
      </c>
      <c r="R2332" s="94"/>
    </row>
    <row r="2333" spans="1:18" x14ac:dyDescent="0.25">
      <c r="A2333" s="367">
        <v>42814</v>
      </c>
      <c r="B2333" s="367" t="s">
        <v>279</v>
      </c>
      <c r="C2333" s="279" t="s">
        <v>766</v>
      </c>
      <c r="D2333" s="159" t="s">
        <v>1235</v>
      </c>
      <c r="E2333" s="45">
        <f t="shared" si="185"/>
        <v>42814</v>
      </c>
      <c r="F2333" s="148" t="str">
        <f t="shared" si="182"/>
        <v>2016-17</v>
      </c>
      <c r="G2333" s="1"/>
      <c r="H2333" s="163"/>
      <c r="I2333" s="37"/>
      <c r="J2333" s="138">
        <f t="shared" si="186"/>
        <v>0.77968490742404351</v>
      </c>
      <c r="K2333" s="114"/>
      <c r="L2333" s="37">
        <v>1.7993179263300001</v>
      </c>
      <c r="M2333" s="37" t="s">
        <v>142</v>
      </c>
      <c r="N2333" s="37">
        <v>1181.2618378536583</v>
      </c>
      <c r="O2333" s="132">
        <f t="shared" si="183"/>
        <v>2125.4656005396091</v>
      </c>
      <c r="P2333" s="134">
        <f t="shared" si="184"/>
        <v>1657.1934499897141</v>
      </c>
      <c r="Q2333" s="261">
        <v>1</v>
      </c>
      <c r="R2333" s="94"/>
    </row>
    <row r="2334" spans="1:18" x14ac:dyDescent="0.25">
      <c r="A2334" s="367">
        <v>40791</v>
      </c>
      <c r="B2334" s="367" t="s">
        <v>279</v>
      </c>
      <c r="C2334" s="279" t="s">
        <v>614</v>
      </c>
      <c r="D2334" s="159" t="s">
        <v>1236</v>
      </c>
      <c r="E2334" s="45">
        <f t="shared" si="185"/>
        <v>40791</v>
      </c>
      <c r="F2334" s="148" t="str">
        <f t="shared" si="182"/>
        <v>2011-12</v>
      </c>
      <c r="G2334" s="1"/>
      <c r="H2334" s="163"/>
      <c r="I2334" s="37"/>
      <c r="J2334" s="138">
        <f t="shared" si="186"/>
        <v>0.77968490742404351</v>
      </c>
      <c r="K2334" s="114"/>
      <c r="L2334" s="37">
        <v>3.9811254806799998</v>
      </c>
      <c r="M2334" s="37" t="s">
        <v>142</v>
      </c>
      <c r="N2334" s="37">
        <v>771.6404230243902</v>
      </c>
      <c r="O2334" s="132">
        <f t="shared" si="183"/>
        <v>3071.997350025094</v>
      </c>
      <c r="P2334" s="134">
        <f t="shared" si="184"/>
        <v>2395.1899694612225</v>
      </c>
      <c r="Q2334" s="261">
        <v>1</v>
      </c>
      <c r="R2334" s="94"/>
    </row>
    <row r="2335" spans="1:18" x14ac:dyDescent="0.25">
      <c r="A2335" s="367">
        <v>40791</v>
      </c>
      <c r="B2335" s="367" t="s">
        <v>279</v>
      </c>
      <c r="C2335" s="279" t="s">
        <v>614</v>
      </c>
      <c r="D2335" s="159" t="s">
        <v>1236</v>
      </c>
      <c r="E2335" s="45">
        <f t="shared" si="185"/>
        <v>40791</v>
      </c>
      <c r="F2335" s="148" t="str">
        <f t="shared" si="182"/>
        <v>2011-12</v>
      </c>
      <c r="G2335" s="1"/>
      <c r="H2335" s="163"/>
      <c r="I2335" s="37"/>
      <c r="J2335" s="138">
        <f t="shared" si="186"/>
        <v>0.77968490742404351</v>
      </c>
      <c r="K2335" s="114"/>
      <c r="L2335" s="37">
        <v>3.9803991016600002</v>
      </c>
      <c r="M2335" s="37" t="s">
        <v>142</v>
      </c>
      <c r="N2335" s="37">
        <v>771.6404230243902</v>
      </c>
      <c r="O2335" s="132">
        <f t="shared" si="183"/>
        <v>3071.4368466108253</v>
      </c>
      <c r="P2335" s="134">
        <f t="shared" si="184"/>
        <v>2394.7529534085575</v>
      </c>
      <c r="Q2335" s="261">
        <v>1</v>
      </c>
      <c r="R2335" s="94"/>
    </row>
    <row r="2336" spans="1:18" x14ac:dyDescent="0.25">
      <c r="A2336" s="367">
        <v>42814</v>
      </c>
      <c r="B2336" s="367" t="s">
        <v>279</v>
      </c>
      <c r="C2336" s="279" t="s">
        <v>766</v>
      </c>
      <c r="D2336" s="159" t="s">
        <v>1237</v>
      </c>
      <c r="E2336" s="45">
        <f t="shared" si="185"/>
        <v>42814</v>
      </c>
      <c r="F2336" s="148" t="str">
        <f t="shared" si="182"/>
        <v>2016-17</v>
      </c>
      <c r="G2336" s="1"/>
      <c r="H2336" s="163"/>
      <c r="I2336" s="37"/>
      <c r="J2336" s="138">
        <f t="shared" si="186"/>
        <v>0.77968490742404351</v>
      </c>
      <c r="K2336" s="114"/>
      <c r="L2336" s="37">
        <v>3.2997927709899999</v>
      </c>
      <c r="M2336" s="37" t="s">
        <v>142</v>
      </c>
      <c r="N2336" s="37">
        <v>771.6404230243902</v>
      </c>
      <c r="O2336" s="132">
        <f t="shared" si="183"/>
        <v>2546.2534896995485</v>
      </c>
      <c r="P2336" s="134">
        <f t="shared" si="184"/>
        <v>1985.2754163945401</v>
      </c>
      <c r="Q2336" s="261">
        <v>1</v>
      </c>
      <c r="R2336" s="94"/>
    </row>
    <row r="2337" spans="1:18" x14ac:dyDescent="0.25">
      <c r="A2337" s="367">
        <v>42814</v>
      </c>
      <c r="B2337" s="367" t="s">
        <v>279</v>
      </c>
      <c r="C2337" s="279" t="s">
        <v>766</v>
      </c>
      <c r="D2337" s="159" t="s">
        <v>1235</v>
      </c>
      <c r="E2337" s="45">
        <f t="shared" si="185"/>
        <v>42814</v>
      </c>
      <c r="F2337" s="148" t="str">
        <f t="shared" si="182"/>
        <v>2016-17</v>
      </c>
      <c r="G2337" s="1"/>
      <c r="H2337" s="163"/>
      <c r="I2337" s="37"/>
      <c r="J2337" s="138">
        <f t="shared" si="186"/>
        <v>0.77968490742404351</v>
      </c>
      <c r="K2337" s="114"/>
      <c r="L2337" s="37">
        <v>16.295278410800002</v>
      </c>
      <c r="M2337" s="37" t="s">
        <v>142</v>
      </c>
      <c r="N2337" s="37">
        <v>771.6404230243902</v>
      </c>
      <c r="O2337" s="132">
        <f t="shared" si="183"/>
        <v>12574.095526209927</v>
      </c>
      <c r="P2337" s="134">
        <f t="shared" si="184"/>
        <v>9803.8325062940658</v>
      </c>
      <c r="Q2337" s="261">
        <v>1</v>
      </c>
      <c r="R2337" s="94"/>
    </row>
    <row r="2338" spans="1:18" x14ac:dyDescent="0.25">
      <c r="A2338" s="367">
        <v>42814</v>
      </c>
      <c r="B2338" s="367" t="s">
        <v>279</v>
      </c>
      <c r="C2338" s="279" t="s">
        <v>766</v>
      </c>
      <c r="D2338" s="159" t="s">
        <v>1235</v>
      </c>
      <c r="E2338" s="45">
        <f t="shared" si="185"/>
        <v>42814</v>
      </c>
      <c r="F2338" s="148" t="str">
        <f t="shared" si="182"/>
        <v>2016-17</v>
      </c>
      <c r="G2338" s="1"/>
      <c r="H2338" s="163"/>
      <c r="I2338" s="37"/>
      <c r="J2338" s="138">
        <f t="shared" si="186"/>
        <v>0.77968490742404351</v>
      </c>
      <c r="K2338" s="114"/>
      <c r="L2338" s="37">
        <v>12.271279680599999</v>
      </c>
      <c r="M2338" s="37" t="s">
        <v>142</v>
      </c>
      <c r="N2338" s="37">
        <v>1181.2618378536583</v>
      </c>
      <c r="O2338" s="132">
        <f t="shared" si="183"/>
        <v>14495.594388321808</v>
      </c>
      <c r="P2338" s="134">
        <f t="shared" si="184"/>
        <v>11301.996168715174</v>
      </c>
      <c r="Q2338" s="261">
        <v>1</v>
      </c>
      <c r="R2338" s="94"/>
    </row>
    <row r="2339" spans="1:18" x14ac:dyDescent="0.25">
      <c r="A2339" s="367">
        <v>42814</v>
      </c>
      <c r="B2339" s="367" t="s">
        <v>279</v>
      </c>
      <c r="C2339" s="279" t="s">
        <v>766</v>
      </c>
      <c r="D2339" s="159" t="s">
        <v>1235</v>
      </c>
      <c r="E2339" s="45">
        <f t="shared" si="185"/>
        <v>42814</v>
      </c>
      <c r="F2339" s="148" t="str">
        <f t="shared" si="182"/>
        <v>2016-17</v>
      </c>
      <c r="G2339" s="1"/>
      <c r="H2339" s="163"/>
      <c r="I2339" s="37"/>
      <c r="J2339" s="138">
        <f t="shared" si="186"/>
        <v>0.77968490742404351</v>
      </c>
      <c r="K2339" s="114"/>
      <c r="L2339" s="37">
        <v>10.808203107400001</v>
      </c>
      <c r="M2339" s="37" t="s">
        <v>142</v>
      </c>
      <c r="N2339" s="37">
        <v>1128.7084557073169</v>
      </c>
      <c r="O2339" s="132">
        <f t="shared" si="183"/>
        <v>12199.310238324479</v>
      </c>
      <c r="P2339" s="134">
        <f t="shared" si="184"/>
        <v>9511.618073805208</v>
      </c>
      <c r="Q2339" s="261">
        <v>1</v>
      </c>
      <c r="R2339" s="94"/>
    </row>
    <row r="2340" spans="1:18" x14ac:dyDescent="0.25">
      <c r="A2340" s="367">
        <v>42814</v>
      </c>
      <c r="B2340" s="367" t="s">
        <v>279</v>
      </c>
      <c r="C2340" s="279" t="s">
        <v>766</v>
      </c>
      <c r="D2340" s="159" t="s">
        <v>1235</v>
      </c>
      <c r="E2340" s="45">
        <f t="shared" si="185"/>
        <v>42814</v>
      </c>
      <c r="F2340" s="148" t="str">
        <f t="shared" si="182"/>
        <v>2016-17</v>
      </c>
      <c r="G2340" s="1"/>
      <c r="H2340" s="163"/>
      <c r="I2340" s="37"/>
      <c r="J2340" s="138">
        <f t="shared" si="186"/>
        <v>0.77968490742404351</v>
      </c>
      <c r="K2340" s="114"/>
      <c r="L2340" s="37">
        <v>8.55389048292</v>
      </c>
      <c r="M2340" s="37" t="s">
        <v>142</v>
      </c>
      <c r="N2340" s="37">
        <v>1385.4167692682922</v>
      </c>
      <c r="O2340" s="132">
        <f t="shared" si="183"/>
        <v>11850.703317521818</v>
      </c>
      <c r="P2340" s="134">
        <f t="shared" si="184"/>
        <v>9239.8145190318046</v>
      </c>
      <c r="Q2340" s="261">
        <v>1</v>
      </c>
      <c r="R2340" s="94"/>
    </row>
    <row r="2341" spans="1:18" x14ac:dyDescent="0.25">
      <c r="A2341" s="367">
        <v>42814</v>
      </c>
      <c r="B2341" s="367" t="s">
        <v>279</v>
      </c>
      <c r="C2341" s="279" t="s">
        <v>766</v>
      </c>
      <c r="D2341" s="159" t="s">
        <v>1235</v>
      </c>
      <c r="E2341" s="45">
        <f t="shared" si="185"/>
        <v>42814</v>
      </c>
      <c r="F2341" s="148" t="str">
        <f t="shared" si="182"/>
        <v>2016-17</v>
      </c>
      <c r="G2341" s="1"/>
      <c r="H2341" s="163"/>
      <c r="I2341" s="37"/>
      <c r="J2341" s="138">
        <f t="shared" si="186"/>
        <v>0.77968490742404351</v>
      </c>
      <c r="K2341" s="114"/>
      <c r="L2341" s="37">
        <v>2.0641647221100001</v>
      </c>
      <c r="M2341" s="37" t="s">
        <v>142</v>
      </c>
      <c r="N2341" s="37">
        <v>936.5640883902438</v>
      </c>
      <c r="O2341" s="132">
        <f t="shared" si="183"/>
        <v>1933.2225512502532</v>
      </c>
      <c r="P2341" s="134">
        <f t="shared" si="184"/>
        <v>1507.3044459016269</v>
      </c>
      <c r="Q2341" s="261">
        <v>1</v>
      </c>
      <c r="R2341" s="94"/>
    </row>
    <row r="2342" spans="1:18" x14ac:dyDescent="0.25">
      <c r="A2342" s="367">
        <v>40791</v>
      </c>
      <c r="B2342" s="367" t="s">
        <v>279</v>
      </c>
      <c r="C2342" s="279" t="s">
        <v>614</v>
      </c>
      <c r="D2342" s="159" t="s">
        <v>1238</v>
      </c>
      <c r="E2342" s="45">
        <f t="shared" si="185"/>
        <v>40791</v>
      </c>
      <c r="F2342" s="148" t="str">
        <f t="shared" si="182"/>
        <v>2011-12</v>
      </c>
      <c r="G2342" s="1"/>
      <c r="H2342" s="163"/>
      <c r="I2342" s="37"/>
      <c r="J2342" s="138">
        <f t="shared" si="186"/>
        <v>0.77968490742404351</v>
      </c>
      <c r="K2342" s="114"/>
      <c r="L2342" s="37">
        <v>2.10535507694</v>
      </c>
      <c r="M2342" s="37" t="s">
        <v>142</v>
      </c>
      <c r="N2342" s="37">
        <v>771.6404230243902</v>
      </c>
      <c r="O2342" s="132">
        <f t="shared" si="183"/>
        <v>1624.5770821865292</v>
      </c>
      <c r="P2342" s="134">
        <f t="shared" si="184"/>
        <v>1266.6582319278268</v>
      </c>
      <c r="Q2342" s="261">
        <v>1</v>
      </c>
      <c r="R2342" s="94"/>
    </row>
    <row r="2343" spans="1:18" x14ac:dyDescent="0.25">
      <c r="A2343" s="367">
        <v>42814</v>
      </c>
      <c r="B2343" s="367" t="s">
        <v>279</v>
      </c>
      <c r="C2343" s="279" t="s">
        <v>766</v>
      </c>
      <c r="D2343" s="159" t="s">
        <v>1235</v>
      </c>
      <c r="E2343" s="45">
        <f t="shared" si="185"/>
        <v>42814</v>
      </c>
      <c r="F2343" s="148" t="str">
        <f t="shared" si="182"/>
        <v>2016-17</v>
      </c>
      <c r="G2343" s="1"/>
      <c r="H2343" s="163"/>
      <c r="I2343" s="37"/>
      <c r="J2343" s="138">
        <f t="shared" si="186"/>
        <v>0.77968490742404351</v>
      </c>
      <c r="K2343" s="114"/>
      <c r="L2343" s="37">
        <v>4.0989035163500001</v>
      </c>
      <c r="M2343" s="37" t="s">
        <v>142</v>
      </c>
      <c r="N2343" s="37">
        <v>936.5640883902438</v>
      </c>
      <c r="O2343" s="132">
        <f t="shared" si="183"/>
        <v>3838.8858351899025</v>
      </c>
      <c r="P2343" s="134">
        <f t="shared" si="184"/>
        <v>2993.1213470215112</v>
      </c>
      <c r="Q2343" s="261">
        <v>1</v>
      </c>
      <c r="R2343" s="94"/>
    </row>
    <row r="2344" spans="1:18" x14ac:dyDescent="0.25">
      <c r="A2344" s="367">
        <v>42814</v>
      </c>
      <c r="B2344" s="367" t="s">
        <v>279</v>
      </c>
      <c r="C2344" s="279" t="s">
        <v>766</v>
      </c>
      <c r="D2344" s="159" t="s">
        <v>1235</v>
      </c>
      <c r="E2344" s="45">
        <f t="shared" si="185"/>
        <v>42814</v>
      </c>
      <c r="F2344" s="148" t="str">
        <f t="shared" si="182"/>
        <v>2016-17</v>
      </c>
      <c r="G2344" s="1"/>
      <c r="H2344" s="163"/>
      <c r="I2344" s="37"/>
      <c r="J2344" s="138">
        <f t="shared" si="186"/>
        <v>0.77968490742404351</v>
      </c>
      <c r="K2344" s="114"/>
      <c r="L2344" s="37">
        <v>2.2660328809000001</v>
      </c>
      <c r="M2344" s="37" t="s">
        <v>142</v>
      </c>
      <c r="N2344" s="37">
        <v>936.5640883902438</v>
      </c>
      <c r="O2344" s="132">
        <f t="shared" si="183"/>
        <v>2122.2850193624263</v>
      </c>
      <c r="P2344" s="134">
        <f t="shared" si="184"/>
        <v>1654.7135988490277</v>
      </c>
      <c r="Q2344" s="261">
        <v>1</v>
      </c>
      <c r="R2344" s="94"/>
    </row>
    <row r="2345" spans="1:18" x14ac:dyDescent="0.25">
      <c r="A2345" s="367">
        <v>40791</v>
      </c>
      <c r="B2345" s="367" t="s">
        <v>279</v>
      </c>
      <c r="C2345" s="279" t="s">
        <v>614</v>
      </c>
      <c r="D2345" s="159" t="s">
        <v>1238</v>
      </c>
      <c r="E2345" s="45">
        <f t="shared" si="185"/>
        <v>40791</v>
      </c>
      <c r="F2345" s="148" t="str">
        <f t="shared" si="182"/>
        <v>2011-12</v>
      </c>
      <c r="G2345" s="1"/>
      <c r="H2345" s="163"/>
      <c r="I2345" s="37"/>
      <c r="J2345" s="138">
        <f t="shared" si="186"/>
        <v>0.77968490742404351</v>
      </c>
      <c r="K2345" s="114"/>
      <c r="L2345" s="37">
        <v>1.4994335597199999</v>
      </c>
      <c r="M2345" s="37" t="s">
        <v>142</v>
      </c>
      <c r="N2345" s="37">
        <v>771.6404230243902</v>
      </c>
      <c r="O2345" s="132">
        <f t="shared" si="183"/>
        <v>1157.023546319308</v>
      </c>
      <c r="P2345" s="134">
        <f t="shared" si="184"/>
        <v>902.11379659940815</v>
      </c>
      <c r="Q2345" s="261">
        <v>1</v>
      </c>
      <c r="R2345" s="94"/>
    </row>
    <row r="2346" spans="1:18" x14ac:dyDescent="0.25">
      <c r="A2346" s="367">
        <v>40791</v>
      </c>
      <c r="B2346" s="367" t="s">
        <v>279</v>
      </c>
      <c r="C2346" s="279" t="s">
        <v>614</v>
      </c>
      <c r="D2346" s="159" t="s">
        <v>1238</v>
      </c>
      <c r="E2346" s="45">
        <f t="shared" si="185"/>
        <v>40791</v>
      </c>
      <c r="F2346" s="148" t="str">
        <f t="shared" si="182"/>
        <v>2011-12</v>
      </c>
      <c r="G2346" s="1"/>
      <c r="H2346" s="163"/>
      <c r="I2346" s="37"/>
      <c r="J2346" s="138">
        <f t="shared" si="186"/>
        <v>0.77968490742404351</v>
      </c>
      <c r="K2346" s="114"/>
      <c r="L2346" s="37">
        <v>3.67121380669</v>
      </c>
      <c r="M2346" s="37" t="s">
        <v>142</v>
      </c>
      <c r="N2346" s="37">
        <v>771.6404230243902</v>
      </c>
      <c r="O2346" s="132">
        <f t="shared" si="183"/>
        <v>2832.8569748072537</v>
      </c>
      <c r="P2346" s="134">
        <f t="shared" si="184"/>
        <v>2208.7358281481497</v>
      </c>
      <c r="Q2346" s="261">
        <v>1</v>
      </c>
      <c r="R2346" s="94"/>
    </row>
    <row r="2347" spans="1:18" x14ac:dyDescent="0.25">
      <c r="A2347" s="367">
        <v>40781</v>
      </c>
      <c r="B2347" s="367" t="s">
        <v>279</v>
      </c>
      <c r="C2347" s="279" t="s">
        <v>767</v>
      </c>
      <c r="D2347" s="159" t="s">
        <v>1235</v>
      </c>
      <c r="E2347" s="45">
        <f t="shared" si="185"/>
        <v>40781</v>
      </c>
      <c r="F2347" s="148" t="str">
        <f t="shared" si="182"/>
        <v>2011-12</v>
      </c>
      <c r="G2347" s="1"/>
      <c r="H2347" s="163"/>
      <c r="I2347" s="37"/>
      <c r="J2347" s="138">
        <f t="shared" si="186"/>
        <v>0.77968490742404351</v>
      </c>
      <c r="K2347" s="114"/>
      <c r="L2347" s="37">
        <v>14.9221527267</v>
      </c>
      <c r="M2347" s="37" t="s">
        <v>142</v>
      </c>
      <c r="N2347" s="37">
        <v>771.6404230243902</v>
      </c>
      <c r="O2347" s="132">
        <f t="shared" si="183"/>
        <v>11514.536242465347</v>
      </c>
      <c r="P2347" s="134">
        <f t="shared" si="184"/>
        <v>8977.7101242373883</v>
      </c>
      <c r="Q2347" s="261">
        <v>1</v>
      </c>
      <c r="R2347" s="94"/>
    </row>
    <row r="2348" spans="1:18" x14ac:dyDescent="0.25">
      <c r="A2348" s="367">
        <v>40102</v>
      </c>
      <c r="B2348" s="367" t="s">
        <v>279</v>
      </c>
      <c r="C2348" s="279" t="s">
        <v>768</v>
      </c>
      <c r="D2348" s="159" t="s">
        <v>1238</v>
      </c>
      <c r="E2348" s="45">
        <f t="shared" si="185"/>
        <v>40102</v>
      </c>
      <c r="F2348" s="148" t="str">
        <f t="shared" si="182"/>
        <v>2009-10</v>
      </c>
      <c r="G2348" s="1"/>
      <c r="H2348" s="163"/>
      <c r="I2348" s="37"/>
      <c r="J2348" s="138">
        <f t="shared" si="186"/>
        <v>0.77968490742404351</v>
      </c>
      <c r="K2348" s="114"/>
      <c r="L2348" s="37">
        <v>2.49932033804</v>
      </c>
      <c r="M2348" s="37" t="s">
        <v>142</v>
      </c>
      <c r="N2348" s="37">
        <v>771.6404230243902</v>
      </c>
      <c r="O2348" s="132">
        <f t="shared" si="183"/>
        <v>1928.5766029186475</v>
      </c>
      <c r="P2348" s="134">
        <f t="shared" si="184"/>
        <v>1503.682070106802</v>
      </c>
      <c r="Q2348" s="261">
        <v>1</v>
      </c>
      <c r="R2348" s="94"/>
    </row>
    <row r="2349" spans="1:18" x14ac:dyDescent="0.25">
      <c r="A2349" s="367">
        <v>39618</v>
      </c>
      <c r="B2349" s="367" t="s">
        <v>279</v>
      </c>
      <c r="C2349" s="279" t="s">
        <v>763</v>
      </c>
      <c r="D2349" s="159" t="s">
        <v>1235</v>
      </c>
      <c r="E2349" s="45">
        <f t="shared" si="185"/>
        <v>39618</v>
      </c>
      <c r="F2349" s="148" t="str">
        <f t="shared" si="182"/>
        <v>2007-08</v>
      </c>
      <c r="G2349" s="1"/>
      <c r="H2349" s="163"/>
      <c r="I2349" s="37"/>
      <c r="J2349" s="138">
        <f t="shared" si="186"/>
        <v>0.77968490742404351</v>
      </c>
      <c r="K2349" s="114"/>
      <c r="L2349" s="37">
        <v>8.5967915526700001</v>
      </c>
      <c r="M2349" s="37" t="s">
        <v>142</v>
      </c>
      <c r="N2349" s="37">
        <v>771.6404230243902</v>
      </c>
      <c r="O2349" s="132">
        <f t="shared" si="183"/>
        <v>6633.6318703547831</v>
      </c>
      <c r="P2349" s="134">
        <f t="shared" si="184"/>
        <v>5172.1426507227534</v>
      </c>
      <c r="Q2349" s="261">
        <v>1</v>
      </c>
      <c r="R2349" s="94"/>
    </row>
    <row r="2350" spans="1:18" x14ac:dyDescent="0.25">
      <c r="A2350" s="367">
        <v>39618</v>
      </c>
      <c r="B2350" s="367" t="s">
        <v>279</v>
      </c>
      <c r="C2350" s="279" t="s">
        <v>763</v>
      </c>
      <c r="D2350" s="159" t="s">
        <v>1235</v>
      </c>
      <c r="E2350" s="45">
        <f t="shared" si="185"/>
        <v>39618</v>
      </c>
      <c r="F2350" s="148" t="str">
        <f t="shared" si="182"/>
        <v>2007-08</v>
      </c>
      <c r="G2350" s="1"/>
      <c r="H2350" s="163"/>
      <c r="I2350" s="37"/>
      <c r="J2350" s="138">
        <f t="shared" si="186"/>
        <v>0.77968490742404351</v>
      </c>
      <c r="K2350" s="114"/>
      <c r="L2350" s="37">
        <v>8.5773767551599995</v>
      </c>
      <c r="M2350" s="37" t="s">
        <v>142</v>
      </c>
      <c r="N2350" s="37">
        <v>771.6404230243902</v>
      </c>
      <c r="O2350" s="132">
        <f t="shared" si="183"/>
        <v>6618.6506277912331</v>
      </c>
      <c r="P2350" s="134">
        <f t="shared" si="184"/>
        <v>5160.4620020014954</v>
      </c>
      <c r="Q2350" s="261">
        <v>1</v>
      </c>
      <c r="R2350" s="94"/>
    </row>
    <row r="2351" spans="1:18" x14ac:dyDescent="0.25">
      <c r="A2351" s="367">
        <v>39618</v>
      </c>
      <c r="B2351" s="367" t="s">
        <v>279</v>
      </c>
      <c r="C2351" s="279" t="s">
        <v>763</v>
      </c>
      <c r="D2351" s="159" t="s">
        <v>1235</v>
      </c>
      <c r="E2351" s="45">
        <f t="shared" si="185"/>
        <v>39618</v>
      </c>
      <c r="F2351" s="148" t="str">
        <f t="shared" si="182"/>
        <v>2007-08</v>
      </c>
      <c r="G2351" s="1"/>
      <c r="H2351" s="163"/>
      <c r="I2351" s="37"/>
      <c r="J2351" s="138">
        <f t="shared" si="186"/>
        <v>0.77968490742404351</v>
      </c>
      <c r="K2351" s="114"/>
      <c r="L2351" s="37">
        <v>10.3273292115</v>
      </c>
      <c r="M2351" s="37" t="s">
        <v>142</v>
      </c>
      <c r="N2351" s="37">
        <v>936.5640883902438</v>
      </c>
      <c r="O2351" s="132">
        <f t="shared" si="183"/>
        <v>9672.205668474433</v>
      </c>
      <c r="P2351" s="134">
        <f t="shared" si="184"/>
        <v>7541.2727812107969</v>
      </c>
      <c r="Q2351" s="261">
        <v>1</v>
      </c>
      <c r="R2351" s="94"/>
    </row>
    <row r="2352" spans="1:18" x14ac:dyDescent="0.25">
      <c r="A2352" s="367">
        <v>39618</v>
      </c>
      <c r="B2352" s="367" t="s">
        <v>279</v>
      </c>
      <c r="C2352" s="279" t="s">
        <v>763</v>
      </c>
      <c r="D2352" s="159" t="s">
        <v>1235</v>
      </c>
      <c r="E2352" s="45">
        <f t="shared" si="185"/>
        <v>39618</v>
      </c>
      <c r="F2352" s="148" t="str">
        <f t="shared" si="182"/>
        <v>2007-08</v>
      </c>
      <c r="G2352" s="1"/>
      <c r="H2352" s="163"/>
      <c r="I2352" s="37"/>
      <c r="J2352" s="138">
        <f t="shared" si="186"/>
        <v>0.77968490742404351</v>
      </c>
      <c r="K2352" s="114"/>
      <c r="L2352" s="37">
        <v>8.0807200920500009</v>
      </c>
      <c r="M2352" s="37" t="s">
        <v>142</v>
      </c>
      <c r="N2352" s="37">
        <v>771.6404230243902</v>
      </c>
      <c r="O2352" s="132">
        <f t="shared" si="183"/>
        <v>6235.4102701711518</v>
      </c>
      <c r="P2352" s="134">
        <f t="shared" si="184"/>
        <v>4861.6552792493248</v>
      </c>
      <c r="Q2352" s="261">
        <v>1</v>
      </c>
      <c r="R2352" s="94"/>
    </row>
    <row r="2353" spans="1:18" x14ac:dyDescent="0.25">
      <c r="A2353" s="367">
        <v>39618</v>
      </c>
      <c r="B2353" s="367" t="s">
        <v>279</v>
      </c>
      <c r="C2353" s="279" t="s">
        <v>763</v>
      </c>
      <c r="D2353" s="159" t="s">
        <v>1235</v>
      </c>
      <c r="E2353" s="45">
        <f t="shared" si="185"/>
        <v>39618</v>
      </c>
      <c r="F2353" s="148" t="str">
        <f t="shared" si="182"/>
        <v>2007-08</v>
      </c>
      <c r="G2353" s="1"/>
      <c r="H2353" s="163"/>
      <c r="I2353" s="37"/>
      <c r="J2353" s="138">
        <f t="shared" si="186"/>
        <v>0.77968490742404351</v>
      </c>
      <c r="K2353" s="114"/>
      <c r="L2353" s="37">
        <v>1.9639170043600001</v>
      </c>
      <c r="M2353" s="37" t="s">
        <v>142</v>
      </c>
      <c r="N2353" s="37">
        <v>771.6404230243902</v>
      </c>
      <c r="O2353" s="132">
        <f t="shared" si="183"/>
        <v>1515.4377480291437</v>
      </c>
      <c r="P2353" s="134">
        <f t="shared" si="184"/>
        <v>1181.5639402790039</v>
      </c>
      <c r="Q2353" s="261">
        <v>1</v>
      </c>
      <c r="R2353" s="94"/>
    </row>
    <row r="2354" spans="1:18" x14ac:dyDescent="0.25">
      <c r="A2354" s="367">
        <v>39618</v>
      </c>
      <c r="B2354" s="367" t="s">
        <v>279</v>
      </c>
      <c r="C2354" s="279" t="s">
        <v>763</v>
      </c>
      <c r="D2354" s="159" t="s">
        <v>1235</v>
      </c>
      <c r="E2354" s="45">
        <f t="shared" si="185"/>
        <v>39618</v>
      </c>
      <c r="F2354" s="148" t="str">
        <f t="shared" si="182"/>
        <v>2007-08</v>
      </c>
      <c r="G2354" s="1"/>
      <c r="H2354" s="163"/>
      <c r="I2354" s="37"/>
      <c r="J2354" s="138">
        <f t="shared" si="186"/>
        <v>0.77968490742404351</v>
      </c>
      <c r="K2354" s="114"/>
      <c r="L2354" s="37">
        <v>8.0088715509299995</v>
      </c>
      <c r="M2354" s="37" t="s">
        <v>142</v>
      </c>
      <c r="N2354" s="37">
        <v>1128.7084557073169</v>
      </c>
      <c r="O2354" s="132">
        <f t="shared" si="183"/>
        <v>9039.6810402084648</v>
      </c>
      <c r="P2354" s="134">
        <f t="shared" si="184"/>
        <v>7048.1028749778179</v>
      </c>
      <c r="Q2354" s="261">
        <v>1</v>
      </c>
      <c r="R2354" s="94"/>
    </row>
    <row r="2355" spans="1:18" x14ac:dyDescent="0.25">
      <c r="A2355" s="367">
        <v>39618</v>
      </c>
      <c r="B2355" s="367" t="s">
        <v>279</v>
      </c>
      <c r="C2355" s="279" t="s">
        <v>763</v>
      </c>
      <c r="D2355" s="159" t="s">
        <v>1235</v>
      </c>
      <c r="E2355" s="45">
        <f t="shared" si="185"/>
        <v>39618</v>
      </c>
      <c r="F2355" s="148" t="str">
        <f t="shared" si="182"/>
        <v>2007-08</v>
      </c>
      <c r="G2355" s="1"/>
      <c r="H2355" s="163"/>
      <c r="I2355" s="37"/>
      <c r="J2355" s="138">
        <f t="shared" si="186"/>
        <v>0.77968490742404351</v>
      </c>
      <c r="K2355" s="114"/>
      <c r="L2355" s="37">
        <v>3.7119069638900002</v>
      </c>
      <c r="M2355" s="37" t="s">
        <v>142</v>
      </c>
      <c r="N2355" s="37">
        <v>936.5640883902438</v>
      </c>
      <c r="O2355" s="132">
        <f t="shared" si="183"/>
        <v>3476.4387618250357</v>
      </c>
      <c r="P2355" s="134">
        <f t="shared" si="184"/>
        <v>2710.5268341789092</v>
      </c>
      <c r="Q2355" s="261">
        <v>1</v>
      </c>
      <c r="R2355" s="94"/>
    </row>
    <row r="2356" spans="1:18" x14ac:dyDescent="0.25">
      <c r="A2356" s="367">
        <v>39618</v>
      </c>
      <c r="B2356" s="367" t="s">
        <v>279</v>
      </c>
      <c r="C2356" s="279" t="s">
        <v>763</v>
      </c>
      <c r="D2356" s="159" t="s">
        <v>1235</v>
      </c>
      <c r="E2356" s="45">
        <f t="shared" si="185"/>
        <v>39618</v>
      </c>
      <c r="F2356" s="148" t="str">
        <f t="shared" si="182"/>
        <v>2007-08</v>
      </c>
      <c r="G2356" s="1"/>
      <c r="H2356" s="163"/>
      <c r="I2356" s="37"/>
      <c r="J2356" s="138">
        <f t="shared" si="186"/>
        <v>0.77968490742404351</v>
      </c>
      <c r="K2356" s="114"/>
      <c r="L2356" s="37">
        <v>1.9639170043600001</v>
      </c>
      <c r="M2356" s="37" t="s">
        <v>142</v>
      </c>
      <c r="N2356" s="37">
        <v>771.6404230243902</v>
      </c>
      <c r="O2356" s="132">
        <f t="shared" si="183"/>
        <v>1515.4377480291437</v>
      </c>
      <c r="P2356" s="134">
        <f t="shared" si="184"/>
        <v>1181.5639402790039</v>
      </c>
      <c r="Q2356" s="261">
        <v>1</v>
      </c>
      <c r="R2356" s="94"/>
    </row>
    <row r="2357" spans="1:18" x14ac:dyDescent="0.25">
      <c r="A2357" s="367">
        <v>40102</v>
      </c>
      <c r="B2357" s="367" t="s">
        <v>279</v>
      </c>
      <c r="C2357" s="279" t="s">
        <v>768</v>
      </c>
      <c r="D2357" s="159" t="s">
        <v>1238</v>
      </c>
      <c r="E2357" s="45">
        <f t="shared" si="185"/>
        <v>40102</v>
      </c>
      <c r="F2357" s="148" t="str">
        <f t="shared" si="182"/>
        <v>2009-10</v>
      </c>
      <c r="G2357" s="1"/>
      <c r="H2357" s="163"/>
      <c r="I2357" s="37"/>
      <c r="J2357" s="138">
        <f t="shared" si="186"/>
        <v>0.77968490742404351</v>
      </c>
      <c r="K2357" s="114"/>
      <c r="L2357" s="37">
        <v>158.53020568700001</v>
      </c>
      <c r="M2357" s="37" t="s">
        <v>142</v>
      </c>
      <c r="N2357" s="37">
        <v>771.6404230243902</v>
      </c>
      <c r="O2357" s="132">
        <f t="shared" si="183"/>
        <v>122328.31497846027</v>
      </c>
      <c r="P2357" s="134">
        <f t="shared" si="184"/>
        <v>95377.540939320024</v>
      </c>
      <c r="Q2357" s="261">
        <v>1</v>
      </c>
      <c r="R2357" s="94"/>
    </row>
    <row r="2358" spans="1:18" x14ac:dyDescent="0.25">
      <c r="A2358" s="367">
        <v>39663</v>
      </c>
      <c r="B2358" s="367" t="s">
        <v>279</v>
      </c>
      <c r="C2358" s="279" t="s">
        <v>769</v>
      </c>
      <c r="D2358" s="159" t="s">
        <v>1238</v>
      </c>
      <c r="E2358" s="45">
        <f t="shared" si="185"/>
        <v>39663</v>
      </c>
      <c r="F2358" s="148" t="str">
        <f t="shared" si="182"/>
        <v>2008-09</v>
      </c>
      <c r="G2358" s="1"/>
      <c r="H2358" s="163"/>
      <c r="I2358" s="37"/>
      <c r="J2358" s="138">
        <f t="shared" si="186"/>
        <v>0.77968490742404351</v>
      </c>
      <c r="K2358" s="114"/>
      <c r="L2358" s="37">
        <v>215.50546503499999</v>
      </c>
      <c r="M2358" s="37" t="s">
        <v>142</v>
      </c>
      <c r="N2358" s="37">
        <v>696.6467060487804</v>
      </c>
      <c r="O2358" s="132">
        <f t="shared" si="183"/>
        <v>150131.17235214336</v>
      </c>
      <c r="P2358" s="134">
        <f t="shared" si="184"/>
        <v>117055.00921684402</v>
      </c>
      <c r="Q2358" s="261">
        <v>1</v>
      </c>
      <c r="R2358" s="94"/>
    </row>
    <row r="2359" spans="1:18" x14ac:dyDescent="0.25">
      <c r="A2359" s="367">
        <v>43348</v>
      </c>
      <c r="B2359" s="367" t="s">
        <v>279</v>
      </c>
      <c r="C2359" s="279" t="s">
        <v>770</v>
      </c>
      <c r="D2359" s="159" t="s">
        <v>1238</v>
      </c>
      <c r="E2359" s="45">
        <f t="shared" si="185"/>
        <v>43348</v>
      </c>
      <c r="F2359" s="148" t="str">
        <f t="shared" si="182"/>
        <v>2018-19</v>
      </c>
      <c r="G2359" s="1"/>
      <c r="H2359" s="163"/>
      <c r="I2359" s="37"/>
      <c r="J2359" s="138">
        <f t="shared" si="186"/>
        <v>0.77968490742404351</v>
      </c>
      <c r="K2359" s="114"/>
      <c r="L2359" s="37">
        <v>204.67404990399999</v>
      </c>
      <c r="M2359" s="37" t="s">
        <v>142</v>
      </c>
      <c r="N2359" s="37">
        <v>771.6404230243902</v>
      </c>
      <c r="O2359" s="132">
        <f t="shared" si="183"/>
        <v>157934.7704500377</v>
      </c>
      <c r="P2359" s="134">
        <f t="shared" si="184"/>
        <v>123139.3568773752</v>
      </c>
      <c r="Q2359" s="261">
        <v>1</v>
      </c>
      <c r="R2359" s="94"/>
    </row>
    <row r="2360" spans="1:18" x14ac:dyDescent="0.25">
      <c r="A2360" s="367">
        <v>43027</v>
      </c>
      <c r="B2360" s="367" t="s">
        <v>279</v>
      </c>
      <c r="C2360" s="279" t="s">
        <v>771</v>
      </c>
      <c r="D2360" s="159" t="s">
        <v>1239</v>
      </c>
      <c r="E2360" s="45">
        <f t="shared" si="185"/>
        <v>43027</v>
      </c>
      <c r="F2360" s="148" t="str">
        <f t="shared" si="182"/>
        <v>2017-18</v>
      </c>
      <c r="G2360" s="1"/>
      <c r="H2360" s="163"/>
      <c r="I2360" s="37"/>
      <c r="J2360" s="138">
        <f t="shared" si="186"/>
        <v>0.77968490742404351</v>
      </c>
      <c r="K2360" s="114"/>
      <c r="L2360" s="37">
        <v>129.57442642199999</v>
      </c>
      <c r="M2360" s="37" t="s">
        <v>142</v>
      </c>
      <c r="N2360" s="37">
        <v>771.6404230243902</v>
      </c>
      <c r="O2360" s="132">
        <f t="shared" si="183"/>
        <v>99984.865217414786</v>
      </c>
      <c r="P2360" s="134">
        <f t="shared" si="184"/>
        <v>77956.69038084551</v>
      </c>
      <c r="Q2360" s="261">
        <v>1</v>
      </c>
      <c r="R2360" s="94"/>
    </row>
    <row r="2361" spans="1:18" x14ac:dyDescent="0.25">
      <c r="A2361" s="367">
        <v>43027</v>
      </c>
      <c r="B2361" s="367" t="s">
        <v>279</v>
      </c>
      <c r="C2361" s="279" t="s">
        <v>771</v>
      </c>
      <c r="D2361" s="159" t="s">
        <v>1239</v>
      </c>
      <c r="E2361" s="45">
        <f t="shared" si="185"/>
        <v>43027</v>
      </c>
      <c r="F2361" s="148" t="str">
        <f t="shared" si="182"/>
        <v>2017-18</v>
      </c>
      <c r="G2361" s="1"/>
      <c r="H2361" s="163"/>
      <c r="I2361" s="37"/>
      <c r="J2361" s="138">
        <f t="shared" si="186"/>
        <v>0.77968490742404351</v>
      </c>
      <c r="K2361" s="114"/>
      <c r="L2361" s="37">
        <v>1.9992823712500001</v>
      </c>
      <c r="M2361" s="37" t="s">
        <v>142</v>
      </c>
      <c r="N2361" s="37">
        <v>771.6404230243902</v>
      </c>
      <c r="O2361" s="132">
        <f t="shared" si="183"/>
        <v>1542.7270946965559</v>
      </c>
      <c r="P2361" s="134">
        <f t="shared" si="184"/>
        <v>1202.8410320090477</v>
      </c>
      <c r="Q2361" s="261">
        <v>1</v>
      </c>
      <c r="R2361" s="94"/>
    </row>
    <row r="2362" spans="1:18" x14ac:dyDescent="0.25">
      <c r="A2362" s="367">
        <v>39031</v>
      </c>
      <c r="B2362" s="367" t="s">
        <v>279</v>
      </c>
      <c r="C2362" s="279" t="s">
        <v>772</v>
      </c>
      <c r="D2362" s="159" t="s">
        <v>1238</v>
      </c>
      <c r="E2362" s="45">
        <f t="shared" si="185"/>
        <v>39031</v>
      </c>
      <c r="F2362" s="148" t="str">
        <f t="shared" si="182"/>
        <v>2006-07</v>
      </c>
      <c r="G2362" s="1"/>
      <c r="H2362" s="163"/>
      <c r="I2362" s="37"/>
      <c r="J2362" s="138">
        <f t="shared" si="186"/>
        <v>0.77968490742404351</v>
      </c>
      <c r="K2362" s="114"/>
      <c r="L2362" s="37">
        <v>10.2875987573</v>
      </c>
      <c r="M2362" s="37" t="s">
        <v>142</v>
      </c>
      <c r="N2362" s="37">
        <v>1128.7084557073169</v>
      </c>
      <c r="O2362" s="132">
        <f t="shared" si="183"/>
        <v>11611.699706288595</v>
      </c>
      <c r="P2362" s="134">
        <f t="shared" si="184"/>
        <v>9053.4670105334171</v>
      </c>
      <c r="Q2362" s="261">
        <v>1</v>
      </c>
      <c r="R2362" s="94"/>
    </row>
    <row r="2363" spans="1:18" x14ac:dyDescent="0.25">
      <c r="A2363" s="367">
        <v>39031</v>
      </c>
      <c r="B2363" s="367" t="s">
        <v>279</v>
      </c>
      <c r="C2363" s="279" t="s">
        <v>772</v>
      </c>
      <c r="D2363" s="159" t="s">
        <v>1238</v>
      </c>
      <c r="E2363" s="45">
        <f t="shared" si="185"/>
        <v>39031</v>
      </c>
      <c r="F2363" s="148" t="str">
        <f t="shared" si="182"/>
        <v>2006-07</v>
      </c>
      <c r="G2363" s="1"/>
      <c r="H2363" s="163"/>
      <c r="I2363" s="37"/>
      <c r="J2363" s="138">
        <f t="shared" si="186"/>
        <v>0.77968490742404351</v>
      </c>
      <c r="K2363" s="114"/>
      <c r="L2363" s="37">
        <v>20.6377790023</v>
      </c>
      <c r="M2363" s="37" t="s">
        <v>142</v>
      </c>
      <c r="N2363" s="37">
        <v>771.6404230243902</v>
      </c>
      <c r="O2363" s="132">
        <f t="shared" si="183"/>
        <v>15924.94451961865</v>
      </c>
      <c r="P2363" s="134">
        <f t="shared" si="184"/>
        <v>12416.438893511897</v>
      </c>
      <c r="Q2363" s="261">
        <v>1</v>
      </c>
      <c r="R2363" s="94"/>
    </row>
    <row r="2364" spans="1:18" x14ac:dyDescent="0.25">
      <c r="A2364" s="367">
        <v>39663</v>
      </c>
      <c r="B2364" s="367" t="s">
        <v>279</v>
      </c>
      <c r="C2364" s="279" t="s">
        <v>769</v>
      </c>
      <c r="D2364" s="159" t="s">
        <v>1238</v>
      </c>
      <c r="E2364" s="45">
        <f t="shared" si="185"/>
        <v>39663</v>
      </c>
      <c r="F2364" s="148" t="str">
        <f t="shared" si="182"/>
        <v>2008-09</v>
      </c>
      <c r="G2364" s="1"/>
      <c r="H2364" s="163"/>
      <c r="I2364" s="37"/>
      <c r="J2364" s="138">
        <f t="shared" si="186"/>
        <v>0.77968490742404351</v>
      </c>
      <c r="K2364" s="114"/>
      <c r="L2364" s="37">
        <v>119.80372566600001</v>
      </c>
      <c r="M2364" s="37" t="s">
        <v>142</v>
      </c>
      <c r="N2364" s="37">
        <v>696.6467060487804</v>
      </c>
      <c r="O2364" s="132">
        <f t="shared" si="183"/>
        <v>83460.870857590635</v>
      </c>
      <c r="P2364" s="134">
        <f t="shared" si="184"/>
        <v>65073.181368130601</v>
      </c>
      <c r="Q2364" s="261">
        <v>1</v>
      </c>
      <c r="R2364" s="94"/>
    </row>
    <row r="2365" spans="1:18" x14ac:dyDescent="0.25">
      <c r="A2365" s="367">
        <v>39663</v>
      </c>
      <c r="B2365" s="367" t="s">
        <v>279</v>
      </c>
      <c r="C2365" s="279" t="s">
        <v>769</v>
      </c>
      <c r="D2365" s="159" t="s">
        <v>1238</v>
      </c>
      <c r="E2365" s="45">
        <f t="shared" si="185"/>
        <v>39663</v>
      </c>
      <c r="F2365" s="148" t="str">
        <f t="shared" si="182"/>
        <v>2008-09</v>
      </c>
      <c r="G2365" s="1"/>
      <c r="H2365" s="163"/>
      <c r="I2365" s="37"/>
      <c r="J2365" s="138">
        <f t="shared" si="186"/>
        <v>0.77968490742404351</v>
      </c>
      <c r="K2365" s="114"/>
      <c r="L2365" s="37">
        <v>75.683135309299999</v>
      </c>
      <c r="M2365" s="37" t="s">
        <v>142</v>
      </c>
      <c r="N2365" s="37">
        <v>696.6467060487804</v>
      </c>
      <c r="O2365" s="132">
        <f t="shared" si="183"/>
        <v>52724.406916667991</v>
      </c>
      <c r="P2365" s="134">
        <f t="shared" si="184"/>
        <v>41108.42432580988</v>
      </c>
      <c r="Q2365" s="261">
        <v>1</v>
      </c>
      <c r="R2365" s="94"/>
    </row>
    <row r="2366" spans="1:18" x14ac:dyDescent="0.25">
      <c r="A2366" s="367">
        <v>39663</v>
      </c>
      <c r="B2366" s="367" t="s">
        <v>279</v>
      </c>
      <c r="C2366" s="279" t="s">
        <v>769</v>
      </c>
      <c r="D2366" s="159" t="s">
        <v>1238</v>
      </c>
      <c r="E2366" s="45">
        <f t="shared" si="185"/>
        <v>39663</v>
      </c>
      <c r="F2366" s="148" t="str">
        <f t="shared" si="182"/>
        <v>2008-09</v>
      </c>
      <c r="G2366" s="1"/>
      <c r="H2366" s="163"/>
      <c r="I2366" s="37"/>
      <c r="J2366" s="138">
        <f t="shared" si="186"/>
        <v>0.77968490742404351</v>
      </c>
      <c r="K2366" s="114"/>
      <c r="L2366" s="37">
        <v>15.293751413400001</v>
      </c>
      <c r="M2366" s="37" t="s">
        <v>142</v>
      </c>
      <c r="N2366" s="37">
        <v>696.6467060487804</v>
      </c>
      <c r="O2366" s="132">
        <f t="shared" si="183"/>
        <v>10654.34154527399</v>
      </c>
      <c r="P2366" s="134">
        <f t="shared" si="184"/>
        <v>8307.0293013910923</v>
      </c>
      <c r="Q2366" s="261">
        <v>1</v>
      </c>
      <c r="R2366" s="94"/>
    </row>
    <row r="2367" spans="1:18" x14ac:dyDescent="0.25">
      <c r="A2367" s="367">
        <v>39663</v>
      </c>
      <c r="B2367" s="367" t="s">
        <v>279</v>
      </c>
      <c r="C2367" s="279" t="s">
        <v>769</v>
      </c>
      <c r="D2367" s="159" t="s">
        <v>1238</v>
      </c>
      <c r="E2367" s="45">
        <f t="shared" si="185"/>
        <v>39663</v>
      </c>
      <c r="F2367" s="148" t="str">
        <f t="shared" si="182"/>
        <v>2008-09</v>
      </c>
      <c r="G2367" s="1"/>
      <c r="H2367" s="163"/>
      <c r="I2367" s="37"/>
      <c r="J2367" s="138">
        <f t="shared" si="186"/>
        <v>0.77968490742404351</v>
      </c>
      <c r="K2367" s="114"/>
      <c r="L2367" s="37">
        <v>1.3834621413099999</v>
      </c>
      <c r="M2367" s="37" t="s">
        <v>142</v>
      </c>
      <c r="N2367" s="37">
        <v>696.6467060487804</v>
      </c>
      <c r="O2367" s="132">
        <f t="shared" si="183"/>
        <v>963.78434368680382</v>
      </c>
      <c r="P2367" s="134">
        <f t="shared" si="184"/>
        <v>751.44810678418821</v>
      </c>
      <c r="Q2367" s="261">
        <v>1</v>
      </c>
      <c r="R2367" s="94"/>
    </row>
    <row r="2368" spans="1:18" x14ac:dyDescent="0.25">
      <c r="A2368" s="367">
        <v>39663</v>
      </c>
      <c r="B2368" s="367" t="s">
        <v>279</v>
      </c>
      <c r="C2368" s="279" t="s">
        <v>769</v>
      </c>
      <c r="D2368" s="159" t="s">
        <v>1238</v>
      </c>
      <c r="E2368" s="45">
        <f t="shared" si="185"/>
        <v>39663</v>
      </c>
      <c r="F2368" s="148" t="str">
        <f t="shared" si="182"/>
        <v>2008-09</v>
      </c>
      <c r="G2368" s="1"/>
      <c r="H2368" s="163"/>
      <c r="I2368" s="37"/>
      <c r="J2368" s="138">
        <f t="shared" si="186"/>
        <v>0.77968490742404351</v>
      </c>
      <c r="K2368" s="114"/>
      <c r="L2368" s="37">
        <v>10.0271502944</v>
      </c>
      <c r="M2368" s="37" t="s">
        <v>142</v>
      </c>
      <c r="N2368" s="37">
        <v>696.6467060487804</v>
      </c>
      <c r="O2368" s="132">
        <f t="shared" si="183"/>
        <v>6985.3812236498188</v>
      </c>
      <c r="P2368" s="134">
        <f t="shared" si="184"/>
        <v>5446.3963126830604</v>
      </c>
      <c r="Q2368" s="261">
        <v>1</v>
      </c>
      <c r="R2368" s="94"/>
    </row>
    <row r="2369" spans="1:18" x14ac:dyDescent="0.25">
      <c r="A2369" s="367">
        <v>39663</v>
      </c>
      <c r="B2369" s="367" t="s">
        <v>279</v>
      </c>
      <c r="C2369" s="279" t="s">
        <v>769</v>
      </c>
      <c r="D2369" s="159" t="s">
        <v>1238</v>
      </c>
      <c r="E2369" s="45">
        <f t="shared" si="185"/>
        <v>39663</v>
      </c>
      <c r="F2369" s="148" t="str">
        <f t="shared" si="182"/>
        <v>2008-09</v>
      </c>
      <c r="G2369" s="1"/>
      <c r="H2369" s="163"/>
      <c r="I2369" s="37"/>
      <c r="J2369" s="138">
        <f t="shared" si="186"/>
        <v>0.77968490742404351</v>
      </c>
      <c r="K2369" s="114"/>
      <c r="L2369" s="37">
        <v>2.1821116046400002</v>
      </c>
      <c r="M2369" s="37" t="s">
        <v>142</v>
      </c>
      <c r="N2369" s="37">
        <v>696.6467060487804</v>
      </c>
      <c r="O2369" s="132">
        <f t="shared" si="183"/>
        <v>1520.1608616032747</v>
      </c>
      <c r="P2369" s="134">
        <f t="shared" si="184"/>
        <v>1185.2464806488035</v>
      </c>
      <c r="Q2369" s="261">
        <v>1</v>
      </c>
      <c r="R2369" s="94"/>
    </row>
    <row r="2370" spans="1:18" x14ac:dyDescent="0.25">
      <c r="A2370" s="367">
        <v>43027</v>
      </c>
      <c r="B2370" s="367" t="s">
        <v>279</v>
      </c>
      <c r="C2370" s="279" t="s">
        <v>771</v>
      </c>
      <c r="D2370" s="159" t="s">
        <v>1239</v>
      </c>
      <c r="E2370" s="45">
        <f t="shared" si="185"/>
        <v>43027</v>
      </c>
      <c r="F2370" s="148" t="str">
        <f t="shared" si="182"/>
        <v>2017-18</v>
      </c>
      <c r="G2370" s="1"/>
      <c r="H2370" s="163"/>
      <c r="I2370" s="37"/>
      <c r="J2370" s="138">
        <f t="shared" si="186"/>
        <v>0.77968490742404351</v>
      </c>
      <c r="K2370" s="114"/>
      <c r="L2370" s="37">
        <v>149.15417498299999</v>
      </c>
      <c r="M2370" s="37" t="s">
        <v>142</v>
      </c>
      <c r="N2370" s="37">
        <v>771.6404230243902</v>
      </c>
      <c r="O2370" s="132">
        <f t="shared" si="183"/>
        <v>115093.39067973603</v>
      </c>
      <c r="P2370" s="134">
        <f t="shared" si="184"/>
        <v>89736.579657249255</v>
      </c>
      <c r="Q2370" s="261">
        <v>1</v>
      </c>
      <c r="R2370" s="94"/>
    </row>
    <row r="2371" spans="1:18" x14ac:dyDescent="0.25">
      <c r="A2371" s="367">
        <v>39663</v>
      </c>
      <c r="B2371" s="367" t="s">
        <v>279</v>
      </c>
      <c r="C2371" s="279" t="s">
        <v>769</v>
      </c>
      <c r="D2371" s="159" t="s">
        <v>1238</v>
      </c>
      <c r="E2371" s="45">
        <f t="shared" si="185"/>
        <v>39663</v>
      </c>
      <c r="F2371" s="148" t="str">
        <f t="shared" si="182"/>
        <v>2008-09</v>
      </c>
      <c r="G2371" s="1"/>
      <c r="H2371" s="163"/>
      <c r="I2371" s="37"/>
      <c r="J2371" s="138">
        <f t="shared" si="186"/>
        <v>0.77968490742404351</v>
      </c>
      <c r="K2371" s="114"/>
      <c r="L2371" s="37">
        <v>17.6173180706</v>
      </c>
      <c r="M2371" s="37" t="s">
        <v>142</v>
      </c>
      <c r="N2371" s="37">
        <v>696.6467060487804</v>
      </c>
      <c r="O2371" s="132">
        <f t="shared" si="183"/>
        <v>12273.046603297145</v>
      </c>
      <c r="P2371" s="134">
        <f t="shared" si="184"/>
        <v>9569.1092047027068</v>
      </c>
      <c r="Q2371" s="261">
        <v>1</v>
      </c>
      <c r="R2371" s="94"/>
    </row>
    <row r="2372" spans="1:18" x14ac:dyDescent="0.25">
      <c r="A2372" s="367">
        <v>39663</v>
      </c>
      <c r="B2372" s="367" t="s">
        <v>279</v>
      </c>
      <c r="C2372" s="279" t="s">
        <v>769</v>
      </c>
      <c r="D2372" s="159" t="s">
        <v>1238</v>
      </c>
      <c r="E2372" s="45">
        <f t="shared" si="185"/>
        <v>39663</v>
      </c>
      <c r="F2372" s="148" t="str">
        <f t="shared" si="182"/>
        <v>2008-09</v>
      </c>
      <c r="G2372" s="1"/>
      <c r="H2372" s="163"/>
      <c r="I2372" s="37"/>
      <c r="J2372" s="138">
        <f t="shared" si="186"/>
        <v>0.77968490742404351</v>
      </c>
      <c r="K2372" s="114"/>
      <c r="L2372" s="37">
        <v>2.35847154482</v>
      </c>
      <c r="M2372" s="37" t="s">
        <v>142</v>
      </c>
      <c r="N2372" s="37">
        <v>696.6467060487804</v>
      </c>
      <c r="O2372" s="132">
        <f t="shared" si="183"/>
        <v>1643.0214330086314</v>
      </c>
      <c r="P2372" s="134">
        <f t="shared" si="184"/>
        <v>1281.0390138910541</v>
      </c>
      <c r="Q2372" s="261">
        <v>1</v>
      </c>
      <c r="R2372" s="94"/>
    </row>
    <row r="2373" spans="1:18" x14ac:dyDescent="0.25">
      <c r="A2373" s="367">
        <v>39663</v>
      </c>
      <c r="B2373" s="367" t="s">
        <v>279</v>
      </c>
      <c r="C2373" s="279" t="s">
        <v>769</v>
      </c>
      <c r="D2373" s="159" t="s">
        <v>1238</v>
      </c>
      <c r="E2373" s="45">
        <f t="shared" si="185"/>
        <v>39663</v>
      </c>
      <c r="F2373" s="148" t="str">
        <f t="shared" si="182"/>
        <v>2008-09</v>
      </c>
      <c r="G2373" s="1"/>
      <c r="H2373" s="163"/>
      <c r="I2373" s="37"/>
      <c r="J2373" s="138">
        <f t="shared" si="186"/>
        <v>0.77968490742404351</v>
      </c>
      <c r="K2373" s="114"/>
      <c r="L2373" s="37">
        <v>216.375433348</v>
      </c>
      <c r="M2373" s="37" t="s">
        <v>142</v>
      </c>
      <c r="N2373" s="37">
        <v>696.6467060487804</v>
      </c>
      <c r="O2373" s="132">
        <f t="shared" si="183"/>
        <v>150737.23291176165</v>
      </c>
      <c r="P2373" s="134">
        <f t="shared" si="184"/>
        <v>117527.54548816336</v>
      </c>
      <c r="Q2373" s="261">
        <v>1</v>
      </c>
      <c r="R2373" s="94"/>
    </row>
    <row r="2374" spans="1:18" x14ac:dyDescent="0.25">
      <c r="A2374" s="367">
        <v>39663</v>
      </c>
      <c r="B2374" s="367" t="s">
        <v>279</v>
      </c>
      <c r="C2374" s="279" t="s">
        <v>769</v>
      </c>
      <c r="D2374" s="159" t="s">
        <v>1238</v>
      </c>
      <c r="E2374" s="45">
        <f t="shared" si="185"/>
        <v>39663</v>
      </c>
      <c r="F2374" s="148" t="str">
        <f t="shared" si="182"/>
        <v>2008-09</v>
      </c>
      <c r="G2374" s="1"/>
      <c r="H2374" s="163"/>
      <c r="I2374" s="37"/>
      <c r="J2374" s="138">
        <f t="shared" si="186"/>
        <v>0.77968490742404351</v>
      </c>
      <c r="K2374" s="114"/>
      <c r="L2374" s="37">
        <v>16.086605175399999</v>
      </c>
      <c r="M2374" s="37" t="s">
        <v>142</v>
      </c>
      <c r="N2374" s="37">
        <v>696.6467060487804</v>
      </c>
      <c r="O2374" s="132">
        <f t="shared" si="183"/>
        <v>11206.680506949673</v>
      </c>
      <c r="P2374" s="134">
        <f t="shared" si="184"/>
        <v>8737.6796535918893</v>
      </c>
      <c r="Q2374" s="261">
        <v>1</v>
      </c>
      <c r="R2374" s="94"/>
    </row>
    <row r="2375" spans="1:18" x14ac:dyDescent="0.25">
      <c r="A2375" s="367">
        <v>39663</v>
      </c>
      <c r="B2375" s="367" t="s">
        <v>279</v>
      </c>
      <c r="C2375" s="279" t="s">
        <v>769</v>
      </c>
      <c r="D2375" s="159" t="s">
        <v>1238</v>
      </c>
      <c r="E2375" s="45">
        <f t="shared" si="185"/>
        <v>39663</v>
      </c>
      <c r="F2375" s="148" t="str">
        <f t="shared" si="182"/>
        <v>2008-09</v>
      </c>
      <c r="G2375" s="1"/>
      <c r="H2375" s="163"/>
      <c r="I2375" s="37"/>
      <c r="J2375" s="138">
        <f t="shared" si="186"/>
        <v>0.77968490742404351</v>
      </c>
      <c r="K2375" s="114"/>
      <c r="L2375" s="37">
        <v>2.1303807379899999</v>
      </c>
      <c r="M2375" s="37" t="s">
        <v>142</v>
      </c>
      <c r="N2375" s="37">
        <v>771.6404230243902</v>
      </c>
      <c r="O2375" s="132">
        <f t="shared" si="183"/>
        <v>1643.8878938656162</v>
      </c>
      <c r="P2375" s="134">
        <f t="shared" si="184"/>
        <v>1281.7145803441188</v>
      </c>
      <c r="Q2375" s="261">
        <v>1</v>
      </c>
      <c r="R2375" s="94"/>
    </row>
    <row r="2376" spans="1:18" x14ac:dyDescent="0.25">
      <c r="A2376" s="367">
        <v>39717</v>
      </c>
      <c r="B2376" s="367" t="s">
        <v>279</v>
      </c>
      <c r="C2376" s="279" t="s">
        <v>763</v>
      </c>
      <c r="D2376" s="159" t="s">
        <v>1235</v>
      </c>
      <c r="E2376" s="45">
        <f t="shared" si="185"/>
        <v>39717</v>
      </c>
      <c r="F2376" s="148" t="str">
        <f t="shared" si="182"/>
        <v>2008-09</v>
      </c>
      <c r="G2376" s="1"/>
      <c r="H2376" s="163"/>
      <c r="I2376" s="37"/>
      <c r="J2376" s="138">
        <f t="shared" si="186"/>
        <v>0.77968490742404351</v>
      </c>
      <c r="K2376" s="114"/>
      <c r="L2376" s="37">
        <v>3.1997539020799999</v>
      </c>
      <c r="M2376" s="37" t="s">
        <v>142</v>
      </c>
      <c r="N2376" s="37">
        <v>696.6467060487804</v>
      </c>
      <c r="O2376" s="132">
        <f t="shared" si="183"/>
        <v>2229.0980160507638</v>
      </c>
      <c r="P2376" s="134">
        <f t="shared" si="184"/>
        <v>1737.9940802836588</v>
      </c>
      <c r="Q2376" s="261">
        <v>1</v>
      </c>
      <c r="R2376" s="94"/>
    </row>
    <row r="2377" spans="1:18" x14ac:dyDescent="0.25">
      <c r="A2377" s="367">
        <v>40828</v>
      </c>
      <c r="B2377" s="367" t="s">
        <v>279</v>
      </c>
      <c r="C2377" s="279" t="s">
        <v>773</v>
      </c>
      <c r="D2377" s="159" t="s">
        <v>1240</v>
      </c>
      <c r="E2377" s="45">
        <f t="shared" si="185"/>
        <v>40828</v>
      </c>
      <c r="F2377" s="148" t="str">
        <f t="shared" si="182"/>
        <v>2011-12</v>
      </c>
      <c r="G2377" s="1"/>
      <c r="H2377" s="163"/>
      <c r="I2377" s="37"/>
      <c r="J2377" s="138">
        <f t="shared" si="186"/>
        <v>0.77968490742404351</v>
      </c>
      <c r="K2377" s="114"/>
      <c r="L2377" s="37">
        <v>329.03023315199999</v>
      </c>
      <c r="M2377" s="37" t="s">
        <v>142</v>
      </c>
      <c r="N2377" s="37">
        <v>771.6404230243902</v>
      </c>
      <c r="O2377" s="132">
        <f t="shared" si="183"/>
        <v>253893.02829722301</v>
      </c>
      <c r="P2377" s="134">
        <f t="shared" si="184"/>
        <v>197956.56226353039</v>
      </c>
      <c r="Q2377" s="261">
        <v>1</v>
      </c>
      <c r="R2377" s="94"/>
    </row>
    <row r="2378" spans="1:18" x14ac:dyDescent="0.25">
      <c r="A2378" s="367">
        <v>40828</v>
      </c>
      <c r="B2378" s="367" t="s">
        <v>279</v>
      </c>
      <c r="C2378" s="279" t="s">
        <v>773</v>
      </c>
      <c r="D2378" s="159" t="s">
        <v>1240</v>
      </c>
      <c r="E2378" s="45">
        <f t="shared" si="185"/>
        <v>40828</v>
      </c>
      <c r="F2378" s="148" t="str">
        <f t="shared" si="182"/>
        <v>2011-12</v>
      </c>
      <c r="G2378" s="1"/>
      <c r="H2378" s="163"/>
      <c r="I2378" s="37"/>
      <c r="J2378" s="138">
        <f t="shared" si="186"/>
        <v>0.77968490742404351</v>
      </c>
      <c r="K2378" s="114"/>
      <c r="L2378" s="37">
        <v>30.506632859900002</v>
      </c>
      <c r="M2378" s="37" t="s">
        <v>142</v>
      </c>
      <c r="N2378" s="37">
        <v>771.6404230243902</v>
      </c>
      <c r="O2378" s="132">
        <f t="shared" si="183"/>
        <v>23540.151085063</v>
      </c>
      <c r="P2378" s="134">
        <f t="shared" si="184"/>
        <v>18353.900519505343</v>
      </c>
      <c r="Q2378" s="261">
        <v>1</v>
      </c>
      <c r="R2378" s="94"/>
    </row>
    <row r="2379" spans="1:18" x14ac:dyDescent="0.25">
      <c r="A2379" s="367">
        <v>40828</v>
      </c>
      <c r="B2379" s="367" t="s">
        <v>279</v>
      </c>
      <c r="C2379" s="279" t="s">
        <v>773</v>
      </c>
      <c r="D2379" s="159" t="s">
        <v>1240</v>
      </c>
      <c r="E2379" s="45">
        <f t="shared" si="185"/>
        <v>40828</v>
      </c>
      <c r="F2379" s="148" t="str">
        <f t="shared" si="182"/>
        <v>2011-12</v>
      </c>
      <c r="G2379" s="1"/>
      <c r="H2379" s="163"/>
      <c r="I2379" s="37"/>
      <c r="J2379" s="138">
        <f t="shared" si="186"/>
        <v>0.77968490742404351</v>
      </c>
      <c r="K2379" s="114"/>
      <c r="L2379" s="37">
        <v>2.49971425293</v>
      </c>
      <c r="M2379" s="37" t="s">
        <v>142</v>
      </c>
      <c r="N2379" s="37">
        <v>771.6404230243902</v>
      </c>
      <c r="O2379" s="132">
        <f t="shared" si="183"/>
        <v>1928.8805635710028</v>
      </c>
      <c r="P2379" s="134">
        <f t="shared" si="184"/>
        <v>1503.9190636398941</v>
      </c>
      <c r="Q2379" s="261">
        <v>1</v>
      </c>
      <c r="R2379" s="94"/>
    </row>
    <row r="2380" spans="1:18" x14ac:dyDescent="0.25">
      <c r="A2380" s="367">
        <v>40828</v>
      </c>
      <c r="B2380" s="367" t="s">
        <v>279</v>
      </c>
      <c r="C2380" s="279" t="s">
        <v>773</v>
      </c>
      <c r="D2380" s="159" t="s">
        <v>1240</v>
      </c>
      <c r="E2380" s="45">
        <f t="shared" si="185"/>
        <v>40828</v>
      </c>
      <c r="F2380" s="148" t="str">
        <f t="shared" si="182"/>
        <v>2011-12</v>
      </c>
      <c r="G2380" s="1"/>
      <c r="H2380" s="163"/>
      <c r="I2380" s="37"/>
      <c r="J2380" s="138">
        <f t="shared" si="186"/>
        <v>0.77968490742404351</v>
      </c>
      <c r="K2380" s="114"/>
      <c r="L2380" s="37">
        <v>74.3973587073</v>
      </c>
      <c r="M2380" s="37" t="s">
        <v>142</v>
      </c>
      <c r="N2380" s="37">
        <v>696.6467060487804</v>
      </c>
      <c r="O2380" s="132">
        <f t="shared" si="183"/>
        <v>51828.674882170097</v>
      </c>
      <c r="P2380" s="134">
        <f t="shared" si="184"/>
        <v>40410.035577415641</v>
      </c>
      <c r="Q2380" s="261">
        <v>1</v>
      </c>
      <c r="R2380" s="94"/>
    </row>
    <row r="2381" spans="1:18" x14ac:dyDescent="0.25">
      <c r="A2381" s="367">
        <v>40519</v>
      </c>
      <c r="B2381" s="367" t="s">
        <v>279</v>
      </c>
      <c r="C2381" s="279" t="s">
        <v>297</v>
      </c>
      <c r="D2381" s="159" t="s">
        <v>1241</v>
      </c>
      <c r="E2381" s="45">
        <f t="shared" si="185"/>
        <v>40519</v>
      </c>
      <c r="F2381" s="148" t="str">
        <f t="shared" si="182"/>
        <v>2010-11</v>
      </c>
      <c r="G2381" s="1"/>
      <c r="H2381" s="163"/>
      <c r="I2381" s="37"/>
      <c r="J2381" s="138">
        <f t="shared" si="186"/>
        <v>0.77968490742404351</v>
      </c>
      <c r="K2381" s="114"/>
      <c r="L2381" s="37">
        <v>2.92902456322</v>
      </c>
      <c r="M2381" s="37" t="s">
        <v>142</v>
      </c>
      <c r="N2381" s="37">
        <v>696.6467060487804</v>
      </c>
      <c r="O2381" s="132">
        <f t="shared" si="183"/>
        <v>2040.4953139031809</v>
      </c>
      <c r="P2381" s="134">
        <f t="shared" si="184"/>
        <v>1590.9433999197961</v>
      </c>
      <c r="Q2381" s="261">
        <v>1</v>
      </c>
      <c r="R2381" s="94"/>
    </row>
    <row r="2382" spans="1:18" x14ac:dyDescent="0.25">
      <c r="A2382" s="367">
        <v>40519</v>
      </c>
      <c r="B2382" s="367" t="s">
        <v>279</v>
      </c>
      <c r="C2382" s="279" t="s">
        <v>297</v>
      </c>
      <c r="D2382" s="159" t="s">
        <v>1241</v>
      </c>
      <c r="E2382" s="45">
        <f t="shared" si="185"/>
        <v>40519</v>
      </c>
      <c r="F2382" s="148" t="str">
        <f t="shared" si="182"/>
        <v>2010-11</v>
      </c>
      <c r="G2382" s="1"/>
      <c r="H2382" s="163"/>
      <c r="I2382" s="37"/>
      <c r="J2382" s="138">
        <f t="shared" si="186"/>
        <v>0.77968490742404351</v>
      </c>
      <c r="K2382" s="114"/>
      <c r="L2382" s="37">
        <v>1.9998987055599999</v>
      </c>
      <c r="M2382" s="37" t="s">
        <v>142</v>
      </c>
      <c r="N2382" s="37">
        <v>696.6467060487804</v>
      </c>
      <c r="O2382" s="132">
        <f t="shared" si="183"/>
        <v>1393.2228456595938</v>
      </c>
      <c r="P2382" s="134">
        <f t="shared" si="184"/>
        <v>1086.2748254391629</v>
      </c>
      <c r="Q2382" s="261">
        <v>1</v>
      </c>
      <c r="R2382" s="94"/>
    </row>
    <row r="2383" spans="1:18" x14ac:dyDescent="0.25">
      <c r="A2383" s="367">
        <v>40519</v>
      </c>
      <c r="B2383" s="367" t="s">
        <v>279</v>
      </c>
      <c r="C2383" s="279" t="s">
        <v>297</v>
      </c>
      <c r="D2383" s="159" t="s">
        <v>1241</v>
      </c>
      <c r="E2383" s="45">
        <f t="shared" si="185"/>
        <v>40519</v>
      </c>
      <c r="F2383" s="148" t="str">
        <f t="shared" si="182"/>
        <v>2010-11</v>
      </c>
      <c r="G2383" s="1"/>
      <c r="H2383" s="163"/>
      <c r="I2383" s="37"/>
      <c r="J2383" s="138">
        <f t="shared" si="186"/>
        <v>0.77968490742404351</v>
      </c>
      <c r="K2383" s="114"/>
      <c r="L2383" s="37">
        <v>2.7343206320200002</v>
      </c>
      <c r="M2383" s="37" t="s">
        <v>142</v>
      </c>
      <c r="N2383" s="37">
        <v>696.6467060487804</v>
      </c>
      <c r="O2383" s="132">
        <f t="shared" si="183"/>
        <v>1904.8554615779526</v>
      </c>
      <c r="P2383" s="134">
        <f t="shared" si="184"/>
        <v>1485.1870542165896</v>
      </c>
      <c r="Q2383" s="261">
        <v>1</v>
      </c>
      <c r="R2383" s="94"/>
    </row>
    <row r="2384" spans="1:18" x14ac:dyDescent="0.25">
      <c r="A2384" s="367">
        <v>39540</v>
      </c>
      <c r="B2384" s="367" t="s">
        <v>279</v>
      </c>
      <c r="C2384" s="279" t="s">
        <v>774</v>
      </c>
      <c r="D2384" s="159" t="s">
        <v>1242</v>
      </c>
      <c r="E2384" s="45">
        <f t="shared" si="185"/>
        <v>39540</v>
      </c>
      <c r="F2384" s="148" t="str">
        <f t="shared" si="182"/>
        <v>2007-08</v>
      </c>
      <c r="G2384" s="1"/>
      <c r="H2384" s="163"/>
      <c r="I2384" s="37"/>
      <c r="J2384" s="138">
        <f t="shared" si="186"/>
        <v>0.77968490742404351</v>
      </c>
      <c r="K2384" s="114"/>
      <c r="L2384" s="37">
        <v>46.815504471899999</v>
      </c>
      <c r="M2384" s="37" t="s">
        <v>142</v>
      </c>
      <c r="N2384" s="37">
        <v>771.6404230243902</v>
      </c>
      <c r="O2384" s="132">
        <f t="shared" si="183"/>
        <v>36124.73567479715</v>
      </c>
      <c r="P2384" s="134">
        <f t="shared" si="184"/>
        <v>28165.911190322258</v>
      </c>
      <c r="Q2384" s="261">
        <v>1</v>
      </c>
      <c r="R2384" s="94"/>
    </row>
    <row r="2385" spans="1:18" x14ac:dyDescent="0.25">
      <c r="A2385" s="367">
        <v>39540</v>
      </c>
      <c r="B2385" s="367" t="s">
        <v>279</v>
      </c>
      <c r="C2385" s="279" t="s">
        <v>774</v>
      </c>
      <c r="D2385" s="159" t="s">
        <v>1242</v>
      </c>
      <c r="E2385" s="45">
        <f t="shared" si="185"/>
        <v>39540</v>
      </c>
      <c r="F2385" s="148" t="str">
        <f t="shared" si="182"/>
        <v>2007-08</v>
      </c>
      <c r="G2385" s="1"/>
      <c r="H2385" s="163"/>
      <c r="I2385" s="37"/>
      <c r="J2385" s="138">
        <f t="shared" si="186"/>
        <v>0.77968490742404351</v>
      </c>
      <c r="K2385" s="114"/>
      <c r="L2385" s="37">
        <v>2.5995511151000001</v>
      </c>
      <c r="M2385" s="37" t="s">
        <v>142</v>
      </c>
      <c r="N2385" s="37">
        <v>1128.7084557073169</v>
      </c>
      <c r="O2385" s="132">
        <f t="shared" si="183"/>
        <v>2934.1353246567551</v>
      </c>
      <c r="P2385" s="134">
        <f t="shared" si="184"/>
        <v>2287.7010289746181</v>
      </c>
      <c r="Q2385" s="261">
        <v>1</v>
      </c>
      <c r="R2385" s="94"/>
    </row>
    <row r="2386" spans="1:18" x14ac:dyDescent="0.25">
      <c r="A2386" s="367">
        <v>39540</v>
      </c>
      <c r="B2386" s="367" t="s">
        <v>279</v>
      </c>
      <c r="C2386" s="279" t="s">
        <v>774</v>
      </c>
      <c r="D2386" s="159" t="s">
        <v>1242</v>
      </c>
      <c r="E2386" s="45">
        <f t="shared" si="185"/>
        <v>39540</v>
      </c>
      <c r="F2386" s="148" t="str">
        <f t="shared" ref="F2386:F2399" si="187">IF(E2386="","-",IF(OR(E2386&lt;$E$15,E2386&gt;$E$16),"ERROR - date outside of range",IF(MONTH(E2386)&gt;=7,YEAR(E2386)&amp;"-"&amp;IF(YEAR(E2386)=1999,"00",IF(AND(YEAR(E2386)&gt;=2000,YEAR(E2386)&lt;2009),"0","")&amp;RIGHT(YEAR(E2386),2)+1),RIGHT(YEAR(E2386),4)-1&amp;"-"&amp;RIGHT(YEAR(E2386),2))))</f>
        <v>2007-08</v>
      </c>
      <c r="G2386" s="1"/>
      <c r="H2386" s="163"/>
      <c r="I2386" s="37"/>
      <c r="J2386" s="138">
        <f t="shared" si="186"/>
        <v>0.77968490742404351</v>
      </c>
      <c r="K2386" s="114"/>
      <c r="L2386" s="37">
        <v>142.00555616099999</v>
      </c>
      <c r="M2386" s="37" t="s">
        <v>142</v>
      </c>
      <c r="N2386" s="37">
        <v>771.6404230243902</v>
      </c>
      <c r="O2386" s="132">
        <f t="shared" ref="O2386:O2399" si="188">IF(N2386="","-",L2386*N2386)</f>
        <v>109577.22742788783</v>
      </c>
      <c r="P2386" s="134">
        <f t="shared" ref="P2386:P2399" si="189">IF(O2386="-","-",IF(OR(E2386&lt;$E$15,E2386&gt;$E$16),0,O2386*J2386))*Q2386</f>
        <v>85435.710422896082</v>
      </c>
      <c r="Q2386" s="261">
        <v>1</v>
      </c>
      <c r="R2386" s="94"/>
    </row>
    <row r="2387" spans="1:18" x14ac:dyDescent="0.25">
      <c r="A2387" s="367">
        <v>39540</v>
      </c>
      <c r="B2387" s="367" t="s">
        <v>279</v>
      </c>
      <c r="C2387" s="279" t="s">
        <v>774</v>
      </c>
      <c r="D2387" s="159" t="s">
        <v>1242</v>
      </c>
      <c r="E2387" s="45">
        <f t="shared" si="185"/>
        <v>39540</v>
      </c>
      <c r="F2387" s="148" t="str">
        <f t="shared" si="187"/>
        <v>2007-08</v>
      </c>
      <c r="G2387" s="1"/>
      <c r="H2387" s="163"/>
      <c r="I2387" s="37"/>
      <c r="J2387" s="138">
        <f t="shared" si="186"/>
        <v>0.77968490742404351</v>
      </c>
      <c r="K2387" s="114"/>
      <c r="L2387" s="37">
        <v>2.5994768704500002</v>
      </c>
      <c r="M2387" s="37" t="s">
        <v>142</v>
      </c>
      <c r="N2387" s="37">
        <v>1128.7084557073169</v>
      </c>
      <c r="O2387" s="132">
        <f t="shared" si="188"/>
        <v>2934.0515240925088</v>
      </c>
      <c r="P2387" s="134">
        <f t="shared" si="189"/>
        <v>2287.6356909394412</v>
      </c>
      <c r="Q2387" s="261">
        <v>1</v>
      </c>
      <c r="R2387" s="94"/>
    </row>
    <row r="2388" spans="1:18" x14ac:dyDescent="0.25">
      <c r="A2388" s="367">
        <v>39540</v>
      </c>
      <c r="B2388" s="367" t="s">
        <v>279</v>
      </c>
      <c r="C2388" s="279" t="s">
        <v>774</v>
      </c>
      <c r="D2388" s="159" t="s">
        <v>1242</v>
      </c>
      <c r="E2388" s="45">
        <f t="shared" si="185"/>
        <v>39540</v>
      </c>
      <c r="F2388" s="148" t="str">
        <f t="shared" si="187"/>
        <v>2007-08</v>
      </c>
      <c r="G2388" s="1"/>
      <c r="H2388" s="163"/>
      <c r="I2388" s="37"/>
      <c r="J2388" s="138">
        <f t="shared" si="186"/>
        <v>0.77968490742404351</v>
      </c>
      <c r="K2388" s="114"/>
      <c r="L2388" s="37">
        <v>11.649962475700001</v>
      </c>
      <c r="M2388" s="37" t="s">
        <v>142</v>
      </c>
      <c r="N2388" s="37">
        <v>771.6404230243902</v>
      </c>
      <c r="O2388" s="132">
        <f t="shared" si="188"/>
        <v>8989.5819729674204</v>
      </c>
      <c r="P2388" s="134">
        <f t="shared" si="189"/>
        <v>7009.0413883739539</v>
      </c>
      <c r="Q2388" s="261">
        <v>1</v>
      </c>
      <c r="R2388" s="94"/>
    </row>
    <row r="2389" spans="1:18" x14ac:dyDescent="0.25">
      <c r="A2389" s="367">
        <v>39540</v>
      </c>
      <c r="B2389" s="367" t="s">
        <v>279</v>
      </c>
      <c r="C2389" s="279" t="s">
        <v>774</v>
      </c>
      <c r="D2389" s="159" t="s">
        <v>1242</v>
      </c>
      <c r="E2389" s="45">
        <f t="shared" si="185"/>
        <v>39540</v>
      </c>
      <c r="F2389" s="148" t="str">
        <f t="shared" si="187"/>
        <v>2007-08</v>
      </c>
      <c r="G2389" s="1"/>
      <c r="H2389" s="163"/>
      <c r="I2389" s="37"/>
      <c r="J2389" s="138">
        <f t="shared" si="186"/>
        <v>0.77968490742404351</v>
      </c>
      <c r="K2389" s="114"/>
      <c r="L2389" s="37">
        <v>17.5367171386</v>
      </c>
      <c r="M2389" s="37" t="s">
        <v>142</v>
      </c>
      <c r="N2389" s="37">
        <v>1135.1785365853657</v>
      </c>
      <c r="O2389" s="132">
        <f t="shared" si="188"/>
        <v>19907.304897907448</v>
      </c>
      <c r="P2389" s="134">
        <f t="shared" si="189"/>
        <v>15521.425176387176</v>
      </c>
      <c r="Q2389" s="261">
        <v>1</v>
      </c>
      <c r="R2389" s="94"/>
    </row>
    <row r="2390" spans="1:18" x14ac:dyDescent="0.25">
      <c r="A2390" s="367">
        <v>40602</v>
      </c>
      <c r="B2390" s="367" t="s">
        <v>279</v>
      </c>
      <c r="C2390" s="279" t="s">
        <v>297</v>
      </c>
      <c r="D2390" s="159" t="s">
        <v>1243</v>
      </c>
      <c r="E2390" s="45">
        <f t="shared" si="185"/>
        <v>40602</v>
      </c>
      <c r="F2390" s="148" t="str">
        <f t="shared" si="187"/>
        <v>2010-11</v>
      </c>
      <c r="G2390" s="1"/>
      <c r="H2390" s="163"/>
      <c r="I2390" s="37"/>
      <c r="J2390" s="138">
        <f t="shared" si="186"/>
        <v>0.77968490742404351</v>
      </c>
      <c r="K2390" s="114"/>
      <c r="L2390" s="37">
        <v>9.7543332623199994</v>
      </c>
      <c r="M2390" s="37" t="s">
        <v>142</v>
      </c>
      <c r="N2390" s="37">
        <v>696.6467060487804</v>
      </c>
      <c r="O2390" s="132">
        <f t="shared" si="188"/>
        <v>6795.3241368972822</v>
      </c>
      <c r="P2390" s="134">
        <f t="shared" si="189"/>
        <v>5298.2116705931257</v>
      </c>
      <c r="Q2390" s="261">
        <v>1</v>
      </c>
      <c r="R2390" s="94"/>
    </row>
    <row r="2391" spans="1:18" x14ac:dyDescent="0.25">
      <c r="A2391" s="367">
        <v>40602</v>
      </c>
      <c r="B2391" s="367" t="s">
        <v>279</v>
      </c>
      <c r="C2391" s="279" t="s">
        <v>297</v>
      </c>
      <c r="D2391" s="159" t="s">
        <v>1243</v>
      </c>
      <c r="E2391" s="45">
        <f t="shared" ref="E2391:E2399" si="190">IF(A2391&lt;2022,DATEVALUE("30 Jun "&amp;A2391),A2391)</f>
        <v>40602</v>
      </c>
      <c r="F2391" s="148" t="str">
        <f t="shared" si="187"/>
        <v>2010-11</v>
      </c>
      <c r="G2391" s="1"/>
      <c r="H2391" s="163"/>
      <c r="I2391" s="37"/>
      <c r="J2391" s="138">
        <f t="shared" si="186"/>
        <v>0.77968490742404351</v>
      </c>
      <c r="K2391" s="114"/>
      <c r="L2391" s="37">
        <v>3.0260856094199999</v>
      </c>
      <c r="M2391" s="37" t="s">
        <v>142</v>
      </c>
      <c r="N2391" s="37">
        <v>696.6467060487804</v>
      </c>
      <c r="O2391" s="132">
        <f t="shared" si="188"/>
        <v>2108.1125720240593</v>
      </c>
      <c r="P2391" s="134">
        <f t="shared" si="189"/>
        <v>1643.663555558041</v>
      </c>
      <c r="Q2391" s="261">
        <v>1</v>
      </c>
      <c r="R2391" s="94"/>
    </row>
    <row r="2392" spans="1:18" x14ac:dyDescent="0.25">
      <c r="A2392" s="367">
        <v>41579</v>
      </c>
      <c r="B2392" s="367" t="s">
        <v>279</v>
      </c>
      <c r="C2392" s="279" t="s">
        <v>775</v>
      </c>
      <c r="D2392" s="159" t="s">
        <v>1244</v>
      </c>
      <c r="E2392" s="45">
        <f t="shared" si="190"/>
        <v>41579</v>
      </c>
      <c r="F2392" s="148" t="str">
        <f t="shared" si="187"/>
        <v>2013-14</v>
      </c>
      <c r="G2392" s="1"/>
      <c r="H2392" s="163"/>
      <c r="I2392" s="37"/>
      <c r="J2392" s="138">
        <f t="shared" ref="J2392:J2416" si="191">J2391</f>
        <v>0.77968490742404351</v>
      </c>
      <c r="K2392" s="114"/>
      <c r="L2392" s="37">
        <v>2.2498639958900002</v>
      </c>
      <c r="M2392" s="37" t="s">
        <v>142</v>
      </c>
      <c r="N2392" s="37">
        <v>771.6404230243902</v>
      </c>
      <c r="O2392" s="132">
        <f t="shared" si="188"/>
        <v>1736.0860055359046</v>
      </c>
      <c r="P2392" s="134">
        <f t="shared" si="189"/>
        <v>1353.6000565064394</v>
      </c>
      <c r="Q2392" s="261">
        <v>1</v>
      </c>
      <c r="R2392" s="94"/>
    </row>
    <row r="2393" spans="1:18" x14ac:dyDescent="0.25">
      <c r="A2393" s="367">
        <v>41579</v>
      </c>
      <c r="B2393" s="367" t="s">
        <v>279</v>
      </c>
      <c r="C2393" s="279" t="s">
        <v>775</v>
      </c>
      <c r="D2393" s="159" t="s">
        <v>1244</v>
      </c>
      <c r="E2393" s="45">
        <f t="shared" si="190"/>
        <v>41579</v>
      </c>
      <c r="F2393" s="148" t="str">
        <f t="shared" si="187"/>
        <v>2013-14</v>
      </c>
      <c r="G2393" s="1"/>
      <c r="H2393" s="163"/>
      <c r="I2393" s="37"/>
      <c r="J2393" s="138">
        <f t="shared" si="191"/>
        <v>0.77968490742404351</v>
      </c>
      <c r="K2393" s="114"/>
      <c r="L2393" s="37">
        <v>5.9499932622599996</v>
      </c>
      <c r="M2393" s="37" t="s">
        <v>142</v>
      </c>
      <c r="N2393" s="37">
        <v>771.6404230243902</v>
      </c>
      <c r="O2393" s="132">
        <f t="shared" si="188"/>
        <v>4591.2553178825774</v>
      </c>
      <c r="P2393" s="134">
        <f t="shared" si="189"/>
        <v>3579.7324774834246</v>
      </c>
      <c r="Q2393" s="261">
        <v>1</v>
      </c>
      <c r="R2393" s="94"/>
    </row>
    <row r="2394" spans="1:18" x14ac:dyDescent="0.25">
      <c r="A2394" s="367">
        <v>39356</v>
      </c>
      <c r="B2394" s="367" t="s">
        <v>279</v>
      </c>
      <c r="C2394" s="279" t="s">
        <v>776</v>
      </c>
      <c r="D2394" s="159" t="s">
        <v>1245</v>
      </c>
      <c r="E2394" s="45">
        <f t="shared" si="190"/>
        <v>39356</v>
      </c>
      <c r="F2394" s="148" t="str">
        <f t="shared" si="187"/>
        <v>2007-08</v>
      </c>
      <c r="G2394" s="1"/>
      <c r="H2394" s="163"/>
      <c r="I2394" s="37"/>
      <c r="J2394" s="138">
        <f t="shared" si="191"/>
        <v>0.77968490742404351</v>
      </c>
      <c r="K2394" s="114"/>
      <c r="L2394" s="37">
        <v>87.284511836799993</v>
      </c>
      <c r="M2394" s="37" t="s">
        <v>142</v>
      </c>
      <c r="N2394" s="37">
        <v>1181.2618378536583</v>
      </c>
      <c r="O2394" s="132">
        <f t="shared" si="188"/>
        <v>103105.86286849776</v>
      </c>
      <c r="P2394" s="134">
        <f t="shared" si="189"/>
        <v>13582.733126441577</v>
      </c>
      <c r="Q2394" s="261">
        <v>0.16896030277686258</v>
      </c>
      <c r="R2394" s="94"/>
    </row>
    <row r="2395" spans="1:18" x14ac:dyDescent="0.25">
      <c r="A2395" s="367">
        <v>39356</v>
      </c>
      <c r="B2395" s="367" t="s">
        <v>279</v>
      </c>
      <c r="C2395" s="279" t="s">
        <v>776</v>
      </c>
      <c r="D2395" s="159" t="s">
        <v>1246</v>
      </c>
      <c r="E2395" s="45">
        <f t="shared" si="190"/>
        <v>39356</v>
      </c>
      <c r="F2395" s="148" t="str">
        <f t="shared" si="187"/>
        <v>2007-08</v>
      </c>
      <c r="G2395" s="1"/>
      <c r="H2395" s="163"/>
      <c r="I2395" s="37"/>
      <c r="J2395" s="138">
        <f t="shared" si="191"/>
        <v>0.77968490742404351</v>
      </c>
      <c r="K2395" s="114"/>
      <c r="L2395" s="37">
        <v>32.497653961499999</v>
      </c>
      <c r="M2395" s="37" t="s">
        <v>142</v>
      </c>
      <c r="N2395" s="37">
        <v>1512.3336585365851</v>
      </c>
      <c r="O2395" s="132">
        <f t="shared" si="188"/>
        <v>49147.295909451241</v>
      </c>
      <c r="P2395" s="134">
        <f t="shared" si="189"/>
        <v>6474.4582475948619</v>
      </c>
      <c r="Q2395" s="261">
        <v>0.16896030277686258</v>
      </c>
      <c r="R2395" s="94"/>
    </row>
    <row r="2396" spans="1:18" x14ac:dyDescent="0.25">
      <c r="A2396" s="367">
        <v>39356</v>
      </c>
      <c r="B2396" s="367" t="s">
        <v>279</v>
      </c>
      <c r="C2396" s="279" t="s">
        <v>776</v>
      </c>
      <c r="D2396" s="159" t="s">
        <v>1246</v>
      </c>
      <c r="E2396" s="45">
        <f t="shared" si="190"/>
        <v>39356</v>
      </c>
      <c r="F2396" s="148" t="str">
        <f t="shared" si="187"/>
        <v>2007-08</v>
      </c>
      <c r="G2396" s="1"/>
      <c r="H2396" s="163"/>
      <c r="I2396" s="37"/>
      <c r="J2396" s="138">
        <f t="shared" si="191"/>
        <v>0.77968490742404351</v>
      </c>
      <c r="K2396" s="114"/>
      <c r="L2396" s="37">
        <v>2.4004942970899998</v>
      </c>
      <c r="M2396" s="37" t="s">
        <v>142</v>
      </c>
      <c r="N2396" s="37">
        <v>1512.3336585365851</v>
      </c>
      <c r="O2396" s="132">
        <f t="shared" si="188"/>
        <v>3630.3483226143276</v>
      </c>
      <c r="P2396" s="134">
        <f t="shared" si="189"/>
        <v>478.24683340253671</v>
      </c>
      <c r="Q2396" s="261">
        <v>0.16896030277686258</v>
      </c>
      <c r="R2396" s="94"/>
    </row>
    <row r="2397" spans="1:18" x14ac:dyDescent="0.25">
      <c r="A2397" s="367">
        <v>39356</v>
      </c>
      <c r="B2397" s="367" t="s">
        <v>279</v>
      </c>
      <c r="C2397" s="279" t="s">
        <v>776</v>
      </c>
      <c r="D2397" s="159" t="s">
        <v>1245</v>
      </c>
      <c r="E2397" s="45">
        <f t="shared" si="190"/>
        <v>39356</v>
      </c>
      <c r="F2397" s="148" t="str">
        <f t="shared" si="187"/>
        <v>2007-08</v>
      </c>
      <c r="G2397" s="1"/>
      <c r="H2397" s="163"/>
      <c r="I2397" s="37"/>
      <c r="J2397" s="138">
        <f t="shared" si="191"/>
        <v>0.77968490742404351</v>
      </c>
      <c r="K2397" s="114"/>
      <c r="L2397" s="37">
        <v>2.95432010709</v>
      </c>
      <c r="M2397" s="37" t="s">
        <v>142</v>
      </c>
      <c r="N2397" s="37">
        <v>1512.3336585365851</v>
      </c>
      <c r="O2397" s="132">
        <f t="shared" si="188"/>
        <v>4467.9177360436152</v>
      </c>
      <c r="P2397" s="134">
        <f t="shared" si="189"/>
        <v>588.58470848525542</v>
      </c>
      <c r="Q2397" s="261">
        <v>0.16896030277686258</v>
      </c>
      <c r="R2397" s="94"/>
    </row>
    <row r="2398" spans="1:18" x14ac:dyDescent="0.25">
      <c r="A2398" s="367">
        <v>39376</v>
      </c>
      <c r="B2398" s="367" t="s">
        <v>279</v>
      </c>
      <c r="C2398" s="279" t="s">
        <v>610</v>
      </c>
      <c r="D2398" s="159" t="s">
        <v>1102</v>
      </c>
      <c r="E2398" s="45">
        <f t="shared" si="190"/>
        <v>39376</v>
      </c>
      <c r="F2398" s="148" t="str">
        <f t="shared" si="187"/>
        <v>2007-08</v>
      </c>
      <c r="G2398" s="1"/>
      <c r="H2398" s="163"/>
      <c r="I2398" s="37"/>
      <c r="J2398" s="138">
        <f t="shared" si="191"/>
        <v>0.77968490742404351</v>
      </c>
      <c r="K2398" s="114"/>
      <c r="L2398" s="37">
        <v>1.1993931798999999</v>
      </c>
      <c r="M2398" s="37" t="s">
        <v>142</v>
      </c>
      <c r="N2398" s="37">
        <v>1385.4167692682922</v>
      </c>
      <c r="O2398" s="132">
        <f t="shared" si="188"/>
        <v>1661.6594243794816</v>
      </c>
      <c r="P2398" s="134">
        <f t="shared" si="189"/>
        <v>1295.5707744676056</v>
      </c>
      <c r="Q2398" s="261">
        <v>1</v>
      </c>
      <c r="R2398" s="94"/>
    </row>
    <row r="2399" spans="1:18" x14ac:dyDescent="0.25">
      <c r="A2399" s="367">
        <v>39376</v>
      </c>
      <c r="B2399" s="367" t="s">
        <v>279</v>
      </c>
      <c r="C2399" s="279" t="s">
        <v>610</v>
      </c>
      <c r="D2399" s="159" t="s">
        <v>1102</v>
      </c>
      <c r="E2399" s="45">
        <f t="shared" si="190"/>
        <v>39376</v>
      </c>
      <c r="F2399" s="148" t="str">
        <f t="shared" si="187"/>
        <v>2007-08</v>
      </c>
      <c r="G2399" s="1"/>
      <c r="H2399" s="163"/>
      <c r="I2399" s="37"/>
      <c r="J2399" s="138">
        <f t="shared" si="191"/>
        <v>0.77968490742404351</v>
      </c>
      <c r="K2399" s="114"/>
      <c r="L2399" s="37">
        <v>5.7985275743700004</v>
      </c>
      <c r="M2399" s="37" t="s">
        <v>142</v>
      </c>
      <c r="N2399" s="37">
        <v>1385.4167692682922</v>
      </c>
      <c r="O2399" s="132">
        <f t="shared" si="188"/>
        <v>8033.3773385967934</v>
      </c>
      <c r="P2399" s="134">
        <f t="shared" si="189"/>
        <v>6263.50306654625</v>
      </c>
      <c r="Q2399" s="261">
        <v>1</v>
      </c>
      <c r="R2399" s="94"/>
    </row>
    <row r="2400" spans="1:18" x14ac:dyDescent="0.25">
      <c r="C2400" s="279"/>
      <c r="D2400" s="159"/>
      <c r="E2400" s="45"/>
      <c r="F2400" s="148"/>
      <c r="G2400" s="1"/>
      <c r="H2400" s="163"/>
      <c r="I2400" s="37"/>
      <c r="J2400" s="138"/>
      <c r="K2400" s="114"/>
      <c r="L2400" s="37"/>
      <c r="M2400" s="37"/>
      <c r="N2400" s="37"/>
      <c r="O2400" s="132"/>
      <c r="P2400" s="134"/>
      <c r="Q2400" s="261"/>
      <c r="R2400" s="94"/>
    </row>
    <row r="2401" spans="1:18" x14ac:dyDescent="0.25">
      <c r="A2401" s="367">
        <v>2000</v>
      </c>
      <c r="B2401" s="367" t="s">
        <v>283</v>
      </c>
      <c r="C2401" s="279">
        <v>110112</v>
      </c>
      <c r="D2401" s="159" t="s">
        <v>1049</v>
      </c>
      <c r="E2401" s="45">
        <f t="shared" ref="E2401:E2404" si="192">IF(A2401&lt;2022,DATEVALUE("30 Jun "&amp;A2401),A2401)</f>
        <v>36707</v>
      </c>
      <c r="F2401" s="148" t="str">
        <f t="shared" ref="F2401:F2404" si="193">IF(E2401="","-",IF(OR(E2401&lt;$E$15,E2401&gt;$E$16),"ERROR - date outside of range",IF(MONTH(E2401)&gt;=7,YEAR(E2401)&amp;"-"&amp;IF(YEAR(E2401)=1999,"00",IF(AND(YEAR(E2401)&gt;=2000,YEAR(E2401)&lt;2009),"0","")&amp;RIGHT(YEAR(E2401),2)+1),RIGHT(YEAR(E2401),4)-1&amp;"-"&amp;RIGHT(YEAR(E2401),2))))</f>
        <v>1999-00</v>
      </c>
      <c r="G2401" s="1"/>
      <c r="H2401" s="163"/>
      <c r="I2401" s="37"/>
      <c r="J2401" s="138">
        <f>J2399</f>
        <v>0.77968490742404351</v>
      </c>
      <c r="K2401" s="114"/>
      <c r="L2401" s="37">
        <v>1</v>
      </c>
      <c r="M2401" s="37" t="s">
        <v>284</v>
      </c>
      <c r="N2401" s="37">
        <v>1350631.2517019792</v>
      </c>
      <c r="O2401" s="132">
        <f t="shared" ref="O2401:O2411" si="194">IF(N2401="","-",L2401*N2401)</f>
        <v>1350631.2517019792</v>
      </c>
      <c r="P2401" s="134">
        <f t="shared" ref="P2401:P2411" si="195">IF(O2401="-","-",IF(OR(E2401&lt;$E$15,E2401&gt;$E$16),0,O2401*J2401))*Q2401</f>
        <v>1053066.8024472776</v>
      </c>
      <c r="Q2401" s="261">
        <v>1</v>
      </c>
      <c r="R2401" s="94"/>
    </row>
    <row r="2402" spans="1:18" x14ac:dyDescent="0.25">
      <c r="A2402" s="367">
        <v>2001</v>
      </c>
      <c r="B2402" s="367" t="s">
        <v>283</v>
      </c>
      <c r="C2402" s="279" t="s">
        <v>446</v>
      </c>
      <c r="D2402" s="159" t="s">
        <v>1050</v>
      </c>
      <c r="E2402" s="45">
        <f t="shared" si="192"/>
        <v>37072</v>
      </c>
      <c r="F2402" s="148" t="str">
        <f t="shared" si="193"/>
        <v>2000-01</v>
      </c>
      <c r="G2402" s="1"/>
      <c r="H2402" s="163"/>
      <c r="I2402" s="37"/>
      <c r="J2402" s="138">
        <f t="shared" si="191"/>
        <v>0.77968490742404351</v>
      </c>
      <c r="K2402" s="114"/>
      <c r="L2402" s="37">
        <v>1</v>
      </c>
      <c r="M2402" s="37" t="s">
        <v>284</v>
      </c>
      <c r="N2402" s="37">
        <v>1026041.0113592549</v>
      </c>
      <c r="O2402" s="132">
        <f t="shared" si="194"/>
        <v>1026041.0113592549</v>
      </c>
      <c r="P2402" s="134">
        <f t="shared" si="195"/>
        <v>799988.69095491269</v>
      </c>
      <c r="Q2402" s="261">
        <v>1</v>
      </c>
      <c r="R2402" s="94"/>
    </row>
    <row r="2403" spans="1:18" x14ac:dyDescent="0.25">
      <c r="A2403" s="367">
        <v>1998</v>
      </c>
      <c r="B2403" s="367" t="s">
        <v>283</v>
      </c>
      <c r="C2403" s="279">
        <v>103496</v>
      </c>
      <c r="D2403" s="159" t="s">
        <v>389</v>
      </c>
      <c r="E2403" s="45">
        <f t="shared" si="192"/>
        <v>35976</v>
      </c>
      <c r="F2403" s="148" t="str">
        <f t="shared" si="193"/>
        <v>1997-98</v>
      </c>
      <c r="G2403" s="1"/>
      <c r="H2403" s="163"/>
      <c r="I2403" s="37"/>
      <c r="J2403" s="138">
        <f t="shared" si="191"/>
        <v>0.77968490742404351</v>
      </c>
      <c r="K2403" s="114"/>
      <c r="L2403" s="37">
        <v>1</v>
      </c>
      <c r="M2403" s="37" t="s">
        <v>284</v>
      </c>
      <c r="N2403" s="37">
        <v>1354414.6588442374</v>
      </c>
      <c r="O2403" s="132">
        <f t="shared" si="194"/>
        <v>1354414.6588442374</v>
      </c>
      <c r="P2403" s="134">
        <f t="shared" si="195"/>
        <v>528008.33394736832</v>
      </c>
      <c r="Q2403" s="261">
        <v>0.5</v>
      </c>
      <c r="R2403" s="94"/>
    </row>
    <row r="2404" spans="1:18" x14ac:dyDescent="0.25">
      <c r="A2404" s="367">
        <v>39994</v>
      </c>
      <c r="B2404" s="367" t="s">
        <v>283</v>
      </c>
      <c r="C2404" s="279" t="s">
        <v>1051</v>
      </c>
      <c r="D2404" s="159" t="s">
        <v>1064</v>
      </c>
      <c r="E2404" s="45">
        <f t="shared" si="192"/>
        <v>39994</v>
      </c>
      <c r="F2404" s="148" t="str">
        <f t="shared" si="193"/>
        <v>2008-09</v>
      </c>
      <c r="G2404" s="1"/>
      <c r="H2404" s="163"/>
      <c r="I2404" s="37"/>
      <c r="J2404" s="138">
        <f t="shared" si="191"/>
        <v>0.77968490742404351</v>
      </c>
      <c r="K2404" s="114"/>
      <c r="L2404" s="37">
        <v>1</v>
      </c>
      <c r="M2404" s="37" t="s">
        <v>284</v>
      </c>
      <c r="N2404" s="37">
        <v>9205277.0510769244</v>
      </c>
      <c r="O2404" s="132">
        <f t="shared" si="194"/>
        <v>9205277.0510769244</v>
      </c>
      <c r="P2404" s="134">
        <f t="shared" si="195"/>
        <v>7177215.5853815842</v>
      </c>
      <c r="Q2404" s="261">
        <v>1</v>
      </c>
      <c r="R2404" s="94"/>
    </row>
    <row r="2405" spans="1:18" x14ac:dyDescent="0.25">
      <c r="A2405" s="367">
        <v>38889</v>
      </c>
      <c r="B2405" s="367" t="s">
        <v>283</v>
      </c>
      <c r="C2405" s="279" t="s">
        <v>1052</v>
      </c>
      <c r="D2405" s="159" t="s">
        <v>1065</v>
      </c>
      <c r="E2405" s="45">
        <f t="shared" ref="E2405:E2416" si="196">IF(A2405&lt;2022,DATEVALUE("30 Jun "&amp;A2405),A2405)</f>
        <v>38889</v>
      </c>
      <c r="F2405" s="148" t="str">
        <f t="shared" ref="F2405:F2416" si="197">IF(E2405="","-",IF(OR(E2405&lt;$E$15,E2405&gt;$E$16),"ERROR - date outside of range",IF(MONTH(E2405)&gt;=7,YEAR(E2405)&amp;"-"&amp;IF(YEAR(E2405)=1999,"00",IF(AND(YEAR(E2405)&gt;=2000,YEAR(E2405)&lt;2009),"0","")&amp;RIGHT(YEAR(E2405),2)+1),RIGHT(YEAR(E2405),4)-1&amp;"-"&amp;RIGHT(YEAR(E2405),2))))</f>
        <v>2005-06</v>
      </c>
      <c r="G2405" s="1"/>
      <c r="H2405" s="163"/>
      <c r="I2405" s="37"/>
      <c r="J2405" s="138">
        <f t="shared" si="191"/>
        <v>0.77968490742404351</v>
      </c>
      <c r="K2405" s="114"/>
      <c r="L2405" s="37">
        <v>1</v>
      </c>
      <c r="M2405" s="37" t="s">
        <v>284</v>
      </c>
      <c r="N2405" s="37">
        <v>984571.47621238139</v>
      </c>
      <c r="O2405" s="132">
        <f t="shared" si="194"/>
        <v>984571.47621238139</v>
      </c>
      <c r="P2405" s="134">
        <f t="shared" si="195"/>
        <v>767655.52028300439</v>
      </c>
      <c r="Q2405" s="261">
        <v>1</v>
      </c>
      <c r="R2405" s="94"/>
    </row>
    <row r="2406" spans="1:18" x14ac:dyDescent="0.25">
      <c r="A2406" s="367">
        <v>40081</v>
      </c>
      <c r="B2406" s="367" t="s">
        <v>283</v>
      </c>
      <c r="C2406" s="279" t="s">
        <v>1053</v>
      </c>
      <c r="D2406" s="159" t="s">
        <v>1066</v>
      </c>
      <c r="E2406" s="45">
        <f t="shared" si="196"/>
        <v>40081</v>
      </c>
      <c r="F2406" s="148" t="str">
        <f t="shared" si="197"/>
        <v>2009-10</v>
      </c>
      <c r="G2406" s="1"/>
      <c r="H2406" s="163"/>
      <c r="I2406" s="37"/>
      <c r="J2406" s="138">
        <f t="shared" si="191"/>
        <v>0.77968490742404351</v>
      </c>
      <c r="K2406" s="114"/>
      <c r="L2406" s="37">
        <v>1</v>
      </c>
      <c r="M2406" s="37" t="s">
        <v>284</v>
      </c>
      <c r="N2406" s="37">
        <v>5582769.0916153844</v>
      </c>
      <c r="O2406" s="132">
        <f t="shared" si="194"/>
        <v>5582769.0916153844</v>
      </c>
      <c r="P2406" s="134">
        <f t="shared" si="195"/>
        <v>4352800.8023659522</v>
      </c>
      <c r="Q2406" s="261">
        <v>1</v>
      </c>
      <c r="R2406" s="94"/>
    </row>
    <row r="2407" spans="1:18" x14ac:dyDescent="0.25">
      <c r="A2407" s="367">
        <v>39535</v>
      </c>
      <c r="B2407" s="367" t="s">
        <v>283</v>
      </c>
      <c r="C2407" s="279" t="s">
        <v>1054</v>
      </c>
      <c r="D2407" s="159" t="s">
        <v>1067</v>
      </c>
      <c r="E2407" s="45">
        <f t="shared" si="196"/>
        <v>39535</v>
      </c>
      <c r="F2407" s="148" t="str">
        <f t="shared" si="197"/>
        <v>2007-08</v>
      </c>
      <c r="G2407" s="1"/>
      <c r="H2407" s="163"/>
      <c r="I2407" s="37"/>
      <c r="J2407" s="138">
        <f t="shared" si="191"/>
        <v>0.77968490742404351</v>
      </c>
      <c r="K2407" s="114"/>
      <c r="L2407" s="37">
        <v>1</v>
      </c>
      <c r="M2407" s="37" t="s">
        <v>284</v>
      </c>
      <c r="N2407" s="37">
        <v>3102836.8835769226</v>
      </c>
      <c r="O2407" s="132">
        <f t="shared" si="194"/>
        <v>3102836.8835769226</v>
      </c>
      <c r="P2407" s="134">
        <f t="shared" si="195"/>
        <v>2419235.0883235806</v>
      </c>
      <c r="Q2407" s="261">
        <v>1</v>
      </c>
      <c r="R2407" s="94"/>
    </row>
    <row r="2408" spans="1:18" x14ac:dyDescent="0.25">
      <c r="A2408" s="367">
        <v>38489</v>
      </c>
      <c r="B2408" s="367" t="s">
        <v>283</v>
      </c>
      <c r="C2408" s="279" t="s">
        <v>1055</v>
      </c>
      <c r="D2408" s="159" t="s">
        <v>1068</v>
      </c>
      <c r="E2408" s="45">
        <f t="shared" si="196"/>
        <v>38489</v>
      </c>
      <c r="F2408" s="148" t="str">
        <f t="shared" si="197"/>
        <v>2004-05</v>
      </c>
      <c r="G2408" s="1"/>
      <c r="H2408" s="163"/>
      <c r="I2408" s="37"/>
      <c r="J2408" s="138">
        <f t="shared" si="191"/>
        <v>0.77968490742404351</v>
      </c>
      <c r="K2408" s="114"/>
      <c r="L2408" s="37">
        <v>1</v>
      </c>
      <c r="M2408" s="37" t="s">
        <v>284</v>
      </c>
      <c r="N2408" s="37">
        <v>757641.20886820706</v>
      </c>
      <c r="O2408" s="132">
        <f t="shared" si="194"/>
        <v>757641.20886820706</v>
      </c>
      <c r="P2408" s="134">
        <f t="shared" si="195"/>
        <v>590721.41579704848</v>
      </c>
      <c r="Q2408" s="261">
        <v>1</v>
      </c>
      <c r="R2408" s="94"/>
    </row>
    <row r="2409" spans="1:18" x14ac:dyDescent="0.25">
      <c r="A2409" s="367">
        <v>43862</v>
      </c>
      <c r="B2409" s="367" t="s">
        <v>283</v>
      </c>
      <c r="C2409" s="279" t="s">
        <v>1056</v>
      </c>
      <c r="D2409" s="159" t="s">
        <v>1069</v>
      </c>
      <c r="E2409" s="45">
        <f t="shared" si="196"/>
        <v>43862</v>
      </c>
      <c r="F2409" s="148" t="str">
        <f t="shared" si="197"/>
        <v>2019-20</v>
      </c>
      <c r="G2409" s="1"/>
      <c r="H2409" s="163"/>
      <c r="I2409" s="37"/>
      <c r="J2409" s="138">
        <f t="shared" si="191"/>
        <v>0.77968490742404351</v>
      </c>
      <c r="K2409" s="114"/>
      <c r="L2409" s="37">
        <v>1</v>
      </c>
      <c r="M2409" s="37" t="s">
        <v>284</v>
      </c>
      <c r="N2409" s="37">
        <v>3373162.0580769223</v>
      </c>
      <c r="O2409" s="132">
        <f t="shared" si="194"/>
        <v>3373162.0580769223</v>
      </c>
      <c r="P2409" s="134">
        <f t="shared" si="195"/>
        <v>2630003.546978001</v>
      </c>
      <c r="Q2409" s="261">
        <v>1</v>
      </c>
      <c r="R2409" s="94"/>
    </row>
    <row r="2410" spans="1:18" x14ac:dyDescent="0.25">
      <c r="A2410" s="367">
        <v>39994</v>
      </c>
      <c r="B2410" s="367" t="s">
        <v>283</v>
      </c>
      <c r="C2410" s="279" t="s">
        <v>1057</v>
      </c>
      <c r="D2410" s="159" t="s">
        <v>1070</v>
      </c>
      <c r="E2410" s="45">
        <f t="shared" si="196"/>
        <v>39994</v>
      </c>
      <c r="F2410" s="148" t="str">
        <f t="shared" si="197"/>
        <v>2008-09</v>
      </c>
      <c r="G2410" s="1"/>
      <c r="H2410" s="163"/>
      <c r="I2410" s="37"/>
      <c r="J2410" s="138">
        <f t="shared" si="191"/>
        <v>0.77968490742404351</v>
      </c>
      <c r="K2410" s="114"/>
      <c r="L2410" s="37">
        <v>1</v>
      </c>
      <c r="M2410" s="37" t="s">
        <v>284</v>
      </c>
      <c r="N2410" s="37">
        <v>5394604.5193846161</v>
      </c>
      <c r="O2410" s="132">
        <f t="shared" si="194"/>
        <v>5394604.5193846161</v>
      </c>
      <c r="P2410" s="134">
        <f t="shared" si="195"/>
        <v>4206091.725285721</v>
      </c>
      <c r="Q2410" s="261">
        <v>1</v>
      </c>
      <c r="R2410" s="94"/>
    </row>
    <row r="2411" spans="1:18" ht="23" x14ac:dyDescent="0.25">
      <c r="A2411" s="367">
        <v>38404</v>
      </c>
      <c r="B2411" s="367" t="s">
        <v>283</v>
      </c>
      <c r="C2411" s="279" t="s">
        <v>1058</v>
      </c>
      <c r="D2411" s="159" t="s">
        <v>1071</v>
      </c>
      <c r="E2411" s="45">
        <f t="shared" si="196"/>
        <v>38404</v>
      </c>
      <c r="F2411" s="148" t="str">
        <f t="shared" si="197"/>
        <v>2004-05</v>
      </c>
      <c r="G2411" s="1"/>
      <c r="H2411" s="163"/>
      <c r="I2411" s="37"/>
      <c r="J2411" s="138">
        <f t="shared" si="191"/>
        <v>0.77968490742404351</v>
      </c>
      <c r="K2411" s="114"/>
      <c r="L2411" s="37">
        <v>1</v>
      </c>
      <c r="M2411" s="37" t="s">
        <v>284</v>
      </c>
      <c r="N2411" s="37">
        <v>757641.20886820706</v>
      </c>
      <c r="O2411" s="132">
        <f t="shared" si="194"/>
        <v>757641.20886820706</v>
      </c>
      <c r="P2411" s="134">
        <f t="shared" si="195"/>
        <v>590721.41579704848</v>
      </c>
      <c r="Q2411" s="261">
        <v>1</v>
      </c>
      <c r="R2411" s="94"/>
    </row>
    <row r="2412" spans="1:18" x14ac:dyDescent="0.25">
      <c r="A2412" s="367">
        <v>38703</v>
      </c>
      <c r="B2412" s="367" t="s">
        <v>283</v>
      </c>
      <c r="C2412" s="279" t="s">
        <v>1059</v>
      </c>
      <c r="D2412" s="159" t="s">
        <v>1068</v>
      </c>
      <c r="E2412" s="45">
        <f t="shared" si="196"/>
        <v>38703</v>
      </c>
      <c r="F2412" s="148" t="str">
        <f t="shared" si="197"/>
        <v>2005-06</v>
      </c>
      <c r="G2412" s="1"/>
      <c r="H2412" s="163"/>
      <c r="I2412" s="37"/>
      <c r="J2412" s="138">
        <f t="shared" si="191"/>
        <v>0.77968490742404351</v>
      </c>
      <c r="K2412" s="114"/>
      <c r="L2412" s="37">
        <v>1</v>
      </c>
      <c r="M2412" s="37" t="s">
        <v>284</v>
      </c>
      <c r="N2412" s="37">
        <v>757641.20886820706</v>
      </c>
      <c r="O2412" s="132">
        <f t="shared" ref="O2412:O2416" si="198">IF(N2412="","-",L2412*N2412)</f>
        <v>757641.20886820706</v>
      </c>
      <c r="P2412" s="134">
        <f t="shared" ref="P2412:P2416" si="199">IF(O2412="-","-",IF(OR(E2412&lt;$E$15,E2412&gt;$E$16),0,O2412*J2412))*Q2412</f>
        <v>590721.41579704848</v>
      </c>
      <c r="Q2412" s="261">
        <v>1</v>
      </c>
      <c r="R2412" s="94"/>
    </row>
    <row r="2413" spans="1:18" x14ac:dyDescent="0.25">
      <c r="A2413" s="367">
        <v>40359</v>
      </c>
      <c r="B2413" s="367" t="s">
        <v>283</v>
      </c>
      <c r="C2413" s="279" t="s">
        <v>1060</v>
      </c>
      <c r="D2413" s="159" t="s">
        <v>1072</v>
      </c>
      <c r="E2413" s="45">
        <f t="shared" si="196"/>
        <v>40359</v>
      </c>
      <c r="F2413" s="148" t="str">
        <f t="shared" si="197"/>
        <v>2009-10</v>
      </c>
      <c r="G2413" s="1"/>
      <c r="H2413" s="163"/>
      <c r="I2413" s="37"/>
      <c r="J2413" s="138">
        <f t="shared" si="191"/>
        <v>0.77968490742404351</v>
      </c>
      <c r="K2413" s="114"/>
      <c r="L2413" s="37">
        <v>1</v>
      </c>
      <c r="M2413" s="37" t="s">
        <v>284</v>
      </c>
      <c r="N2413" s="37">
        <v>6914503.2998076901</v>
      </c>
      <c r="O2413" s="132">
        <f t="shared" si="198"/>
        <v>6914503.2998076901</v>
      </c>
      <c r="P2413" s="134">
        <f t="shared" si="199"/>
        <v>5391133.8651938019</v>
      </c>
      <c r="Q2413" s="261">
        <v>1</v>
      </c>
      <c r="R2413" s="94"/>
    </row>
    <row r="2414" spans="1:18" x14ac:dyDescent="0.25">
      <c r="A2414" s="367">
        <v>38519</v>
      </c>
      <c r="B2414" s="367" t="s">
        <v>283</v>
      </c>
      <c r="C2414" s="279" t="s">
        <v>1061</v>
      </c>
      <c r="D2414" s="159" t="s">
        <v>1073</v>
      </c>
      <c r="E2414" s="45">
        <f t="shared" si="196"/>
        <v>38519</v>
      </c>
      <c r="F2414" s="148" t="str">
        <f t="shared" si="197"/>
        <v>2004-05</v>
      </c>
      <c r="G2414" s="1"/>
      <c r="H2414" s="163"/>
      <c r="I2414" s="37"/>
      <c r="J2414" s="138">
        <f t="shared" si="191"/>
        <v>0.77968490742404351</v>
      </c>
      <c r="K2414" s="114"/>
      <c r="L2414" s="37">
        <v>1</v>
      </c>
      <c r="M2414" s="37" t="s">
        <v>284</v>
      </c>
      <c r="N2414" s="37">
        <v>757641.20886820706</v>
      </c>
      <c r="O2414" s="132">
        <f t="shared" si="198"/>
        <v>757641.20886820706</v>
      </c>
      <c r="P2414" s="134">
        <f t="shared" si="199"/>
        <v>590721.41579704848</v>
      </c>
      <c r="Q2414" s="261">
        <v>1</v>
      </c>
      <c r="R2414" s="94"/>
    </row>
    <row r="2415" spans="1:18" x14ac:dyDescent="0.25">
      <c r="A2415" s="367">
        <v>38523</v>
      </c>
      <c r="B2415" s="367" t="s">
        <v>283</v>
      </c>
      <c r="C2415" s="279" t="s">
        <v>1062</v>
      </c>
      <c r="D2415" s="159" t="s">
        <v>1074</v>
      </c>
      <c r="E2415" s="45">
        <f t="shared" si="196"/>
        <v>38523</v>
      </c>
      <c r="F2415" s="148" t="str">
        <f t="shared" si="197"/>
        <v>2004-05</v>
      </c>
      <c r="G2415" s="1"/>
      <c r="H2415" s="163"/>
      <c r="I2415" s="37"/>
      <c r="J2415" s="138">
        <f t="shared" si="191"/>
        <v>0.77968490742404351</v>
      </c>
      <c r="K2415" s="114"/>
      <c r="L2415" s="37">
        <v>1</v>
      </c>
      <c r="M2415" s="37" t="s">
        <v>284</v>
      </c>
      <c r="N2415" s="37">
        <v>984571.47621238139</v>
      </c>
      <c r="O2415" s="132">
        <f t="shared" si="198"/>
        <v>984571.47621238139</v>
      </c>
      <c r="P2415" s="134">
        <f t="shared" si="199"/>
        <v>767655.52028300439</v>
      </c>
      <c r="Q2415" s="261">
        <v>1</v>
      </c>
      <c r="R2415" s="94"/>
    </row>
    <row r="2416" spans="1:18" x14ac:dyDescent="0.25">
      <c r="A2416" s="367">
        <v>43049</v>
      </c>
      <c r="B2416" s="367" t="s">
        <v>283</v>
      </c>
      <c r="C2416" s="279" t="s">
        <v>1063</v>
      </c>
      <c r="D2416" s="159" t="s">
        <v>1075</v>
      </c>
      <c r="E2416" s="45">
        <f t="shared" si="196"/>
        <v>43049</v>
      </c>
      <c r="F2416" s="148" t="str">
        <f t="shared" si="197"/>
        <v>2017-18</v>
      </c>
      <c r="G2416" s="1"/>
      <c r="H2416" s="163"/>
      <c r="I2416" s="37"/>
      <c r="J2416" s="138">
        <f t="shared" si="191"/>
        <v>0.77968490742404351</v>
      </c>
      <c r="K2416" s="114"/>
      <c r="L2416" s="37">
        <v>1</v>
      </c>
      <c r="M2416" s="37" t="s">
        <v>284</v>
      </c>
      <c r="N2416" s="37">
        <v>2246645.985576923</v>
      </c>
      <c r="O2416" s="132">
        <f t="shared" si="198"/>
        <v>2246645.985576923</v>
      </c>
      <c r="P2416" s="134">
        <f t="shared" si="199"/>
        <v>1751675.9672791422</v>
      </c>
      <c r="Q2416" s="261">
        <v>1</v>
      </c>
      <c r="R2416" s="94"/>
    </row>
    <row r="2417" spans="3:18" x14ac:dyDescent="0.25">
      <c r="C2417" s="279"/>
      <c r="D2417" s="159"/>
      <c r="E2417" s="45"/>
      <c r="F2417" s="148"/>
      <c r="G2417" s="1"/>
      <c r="H2417" s="163"/>
      <c r="I2417" s="37"/>
      <c r="J2417" s="138"/>
      <c r="K2417" s="114"/>
      <c r="L2417" s="37"/>
      <c r="M2417" s="37"/>
      <c r="N2417" s="37"/>
      <c r="O2417" s="132"/>
      <c r="P2417" s="134"/>
      <c r="Q2417" s="261"/>
      <c r="R2417" s="94"/>
    </row>
    <row r="2418" spans="3:18" x14ac:dyDescent="0.25">
      <c r="C2418" s="279"/>
      <c r="D2418" s="159"/>
      <c r="E2418" s="45"/>
      <c r="F2418" s="148"/>
      <c r="G2418" s="1"/>
      <c r="H2418" s="163"/>
      <c r="I2418" s="37"/>
      <c r="J2418" s="138"/>
      <c r="K2418" s="114"/>
      <c r="L2418" s="37"/>
      <c r="M2418" s="37"/>
      <c r="N2418" s="37"/>
      <c r="O2418" s="132"/>
      <c r="P2418" s="134"/>
      <c r="Q2418" s="261"/>
      <c r="R2418" s="94"/>
    </row>
    <row r="2419" spans="3:18" x14ac:dyDescent="0.25">
      <c r="C2419" s="279"/>
      <c r="D2419" s="159"/>
      <c r="E2419" s="45"/>
      <c r="F2419" s="148"/>
      <c r="G2419" s="1"/>
      <c r="H2419" s="163"/>
      <c r="I2419" s="37"/>
      <c r="J2419" s="138"/>
      <c r="K2419" s="114"/>
      <c r="L2419" s="37"/>
      <c r="M2419" s="37"/>
      <c r="N2419" s="37"/>
      <c r="O2419" s="132"/>
      <c r="P2419" s="134"/>
      <c r="Q2419" s="261"/>
      <c r="R2419" s="94"/>
    </row>
    <row r="2420" spans="3:18" x14ac:dyDescent="0.25">
      <c r="C2420" s="279"/>
      <c r="D2420" s="159"/>
      <c r="E2420" s="45"/>
      <c r="F2420" s="148"/>
      <c r="G2420" s="1"/>
      <c r="H2420" s="163"/>
      <c r="I2420" s="37"/>
      <c r="J2420" s="138"/>
      <c r="K2420" s="114"/>
      <c r="L2420" s="37"/>
      <c r="M2420" s="37"/>
      <c r="N2420" s="37"/>
      <c r="O2420" s="132"/>
      <c r="P2420" s="134"/>
      <c r="Q2420" s="261"/>
      <c r="R2420" s="94"/>
    </row>
    <row r="2421" spans="3:18" x14ac:dyDescent="0.25">
      <c r="C2421" s="279"/>
      <c r="D2421" s="159"/>
      <c r="E2421" s="45"/>
      <c r="F2421" s="148"/>
      <c r="G2421" s="1"/>
      <c r="H2421" s="163"/>
      <c r="I2421" s="37"/>
      <c r="J2421" s="138"/>
      <c r="K2421" s="114"/>
      <c r="L2421" s="37"/>
      <c r="M2421" s="37"/>
      <c r="N2421" s="37"/>
      <c r="O2421" s="132"/>
      <c r="P2421" s="134"/>
      <c r="Q2421" s="261"/>
      <c r="R2421" s="94"/>
    </row>
    <row r="2422" spans="3:18" x14ac:dyDescent="0.25">
      <c r="C2422" s="279"/>
      <c r="D2422" s="159"/>
      <c r="E2422" s="45"/>
      <c r="F2422" s="148"/>
      <c r="G2422" s="1"/>
      <c r="H2422" s="163"/>
      <c r="I2422" s="37"/>
      <c r="J2422" s="138"/>
      <c r="K2422" s="114"/>
      <c r="L2422" s="37"/>
      <c r="M2422" s="37"/>
      <c r="N2422" s="37"/>
      <c r="O2422" s="132"/>
      <c r="P2422" s="134"/>
      <c r="Q2422" s="261"/>
      <c r="R2422" s="94"/>
    </row>
    <row r="2423" spans="3:18" x14ac:dyDescent="0.25">
      <c r="C2423" s="279"/>
      <c r="D2423" s="159"/>
      <c r="E2423" s="45"/>
      <c r="F2423" s="148"/>
      <c r="G2423" s="1"/>
      <c r="H2423" s="163"/>
      <c r="I2423" s="37"/>
      <c r="J2423" s="138"/>
      <c r="K2423" s="114"/>
      <c r="L2423" s="37"/>
      <c r="M2423" s="37"/>
      <c r="N2423" s="37"/>
      <c r="O2423" s="132"/>
      <c r="P2423" s="134"/>
      <c r="Q2423" s="261"/>
      <c r="R2423" s="94"/>
    </row>
    <row r="2424" spans="3:18" x14ac:dyDescent="0.25">
      <c r="C2424" s="279"/>
      <c r="D2424" s="159"/>
      <c r="E2424" s="45"/>
      <c r="F2424" s="148"/>
      <c r="G2424" s="1"/>
      <c r="H2424" s="163"/>
      <c r="I2424" s="37"/>
      <c r="J2424" s="138"/>
      <c r="K2424" s="114"/>
      <c r="L2424" s="37"/>
      <c r="M2424" s="37"/>
      <c r="N2424" s="37"/>
      <c r="O2424" s="132"/>
      <c r="P2424" s="134"/>
      <c r="Q2424" s="261"/>
      <c r="R2424" s="94"/>
    </row>
    <row r="2425" spans="3:18" x14ac:dyDescent="0.25">
      <c r="C2425" s="279"/>
      <c r="D2425" s="159"/>
      <c r="E2425" s="45"/>
      <c r="F2425" s="148"/>
      <c r="G2425" s="1"/>
      <c r="H2425" s="163"/>
      <c r="I2425" s="37"/>
      <c r="J2425" s="138"/>
      <c r="K2425" s="114"/>
      <c r="L2425" s="37"/>
      <c r="M2425" s="37"/>
      <c r="N2425" s="37"/>
      <c r="O2425" s="132"/>
      <c r="P2425" s="134"/>
      <c r="Q2425" s="261"/>
      <c r="R2425" s="94"/>
    </row>
    <row r="2426" spans="3:18" x14ac:dyDescent="0.25">
      <c r="C2426" s="279"/>
      <c r="D2426" s="159"/>
      <c r="E2426" s="45"/>
      <c r="F2426" s="148"/>
      <c r="G2426" s="1"/>
      <c r="H2426" s="163"/>
      <c r="I2426" s="37"/>
      <c r="J2426" s="138"/>
      <c r="K2426" s="114"/>
      <c r="L2426" s="37"/>
      <c r="M2426" s="37"/>
      <c r="N2426" s="37"/>
      <c r="O2426" s="132"/>
      <c r="P2426" s="134"/>
      <c r="Q2426" s="261"/>
      <c r="R2426" s="94"/>
    </row>
    <row r="2427" spans="3:18" x14ac:dyDescent="0.25">
      <c r="C2427" s="279"/>
      <c r="D2427" s="159"/>
      <c r="E2427" s="45"/>
      <c r="F2427" s="148"/>
      <c r="G2427" s="1"/>
      <c r="H2427" s="163"/>
      <c r="I2427" s="37"/>
      <c r="J2427" s="138"/>
      <c r="K2427" s="114"/>
      <c r="L2427" s="37"/>
      <c r="M2427" s="37"/>
      <c r="N2427" s="37"/>
      <c r="O2427" s="132"/>
      <c r="P2427" s="134"/>
      <c r="Q2427" s="261"/>
      <c r="R2427" s="94"/>
    </row>
    <row r="2428" spans="3:18" x14ac:dyDescent="0.25">
      <c r="C2428" s="279"/>
      <c r="D2428" s="159"/>
      <c r="E2428" s="45"/>
      <c r="F2428" s="148"/>
      <c r="G2428" s="1"/>
      <c r="H2428" s="163"/>
      <c r="I2428" s="37"/>
      <c r="J2428" s="138"/>
      <c r="K2428" s="114"/>
      <c r="L2428" s="37"/>
      <c r="M2428" s="37"/>
      <c r="N2428" s="37"/>
      <c r="O2428" s="132"/>
      <c r="P2428" s="134"/>
      <c r="Q2428" s="261"/>
      <c r="R2428" s="94"/>
    </row>
    <row r="2429" spans="3:18" x14ac:dyDescent="0.25">
      <c r="C2429" s="279"/>
      <c r="D2429" s="159"/>
      <c r="E2429" s="45"/>
      <c r="F2429" s="148"/>
      <c r="G2429" s="1"/>
      <c r="H2429" s="163"/>
      <c r="I2429" s="37"/>
      <c r="J2429" s="138"/>
      <c r="K2429" s="114"/>
      <c r="L2429" s="37"/>
      <c r="M2429" s="37"/>
      <c r="N2429" s="37"/>
      <c r="O2429" s="132"/>
      <c r="P2429" s="134"/>
      <c r="Q2429" s="261"/>
      <c r="R2429" s="94"/>
    </row>
    <row r="2430" spans="3:18" x14ac:dyDescent="0.25">
      <c r="C2430" s="279"/>
      <c r="D2430" s="159"/>
      <c r="E2430" s="45"/>
      <c r="F2430" s="148"/>
      <c r="G2430" s="1"/>
      <c r="H2430" s="163"/>
      <c r="I2430" s="37"/>
      <c r="J2430" s="138"/>
      <c r="K2430" s="114"/>
      <c r="L2430" s="37"/>
      <c r="M2430" s="37"/>
      <c r="N2430" s="37"/>
      <c r="O2430" s="132"/>
      <c r="P2430" s="134"/>
      <c r="Q2430" s="261"/>
      <c r="R2430" s="94"/>
    </row>
    <row r="2431" spans="3:18" x14ac:dyDescent="0.25">
      <c r="C2431" s="279"/>
      <c r="D2431" s="159"/>
      <c r="E2431" s="45"/>
      <c r="F2431" s="148"/>
      <c r="G2431" s="1"/>
      <c r="H2431" s="163"/>
      <c r="I2431" s="37"/>
      <c r="J2431" s="138"/>
      <c r="K2431" s="114"/>
      <c r="L2431" s="37"/>
      <c r="M2431" s="37"/>
      <c r="N2431" s="37"/>
      <c r="O2431" s="132"/>
      <c r="P2431" s="134"/>
      <c r="Q2431" s="261"/>
      <c r="R2431" s="94"/>
    </row>
    <row r="2432" spans="3:18" x14ac:dyDescent="0.25">
      <c r="C2432" s="279"/>
      <c r="D2432" s="159"/>
      <c r="E2432" s="45"/>
      <c r="F2432" s="148"/>
      <c r="G2432" s="1"/>
      <c r="H2432" s="163"/>
      <c r="I2432" s="37"/>
      <c r="J2432" s="138"/>
      <c r="K2432" s="114"/>
      <c r="L2432" s="37"/>
      <c r="M2432" s="37"/>
      <c r="N2432" s="37"/>
      <c r="O2432" s="132"/>
      <c r="P2432" s="134"/>
      <c r="Q2432" s="261"/>
      <c r="R2432" s="94"/>
    </row>
    <row r="2433" spans="3:18" x14ac:dyDescent="0.25">
      <c r="C2433" s="279"/>
      <c r="D2433" s="159"/>
      <c r="E2433" s="45"/>
      <c r="F2433" s="148"/>
      <c r="G2433" s="1"/>
      <c r="H2433" s="163"/>
      <c r="I2433" s="37"/>
      <c r="J2433" s="138"/>
      <c r="K2433" s="114"/>
      <c r="L2433" s="37"/>
      <c r="M2433" s="37"/>
      <c r="N2433" s="37"/>
      <c r="O2433" s="132"/>
      <c r="P2433" s="134"/>
      <c r="Q2433" s="261"/>
      <c r="R2433" s="94"/>
    </row>
    <row r="2434" spans="3:18" x14ac:dyDescent="0.25">
      <c r="C2434" s="279"/>
      <c r="D2434" s="159"/>
      <c r="E2434" s="45"/>
      <c r="F2434" s="148"/>
      <c r="G2434" s="1"/>
      <c r="H2434" s="163"/>
      <c r="I2434" s="37"/>
      <c r="J2434" s="138"/>
      <c r="K2434" s="114"/>
      <c r="L2434" s="37"/>
      <c r="M2434" s="37"/>
      <c r="N2434" s="37"/>
      <c r="O2434" s="132"/>
      <c r="P2434" s="134"/>
      <c r="Q2434" s="261"/>
      <c r="R2434" s="94"/>
    </row>
    <row r="2435" spans="3:18" x14ac:dyDescent="0.25">
      <c r="C2435" s="279"/>
      <c r="D2435" s="159"/>
      <c r="E2435" s="45"/>
      <c r="F2435" s="148"/>
      <c r="G2435" s="1"/>
      <c r="H2435" s="163"/>
      <c r="I2435" s="37"/>
      <c r="J2435" s="138"/>
      <c r="K2435" s="114"/>
      <c r="L2435" s="37"/>
      <c r="M2435" s="37"/>
      <c r="N2435" s="37"/>
      <c r="O2435" s="132"/>
      <c r="P2435" s="134"/>
      <c r="Q2435" s="261"/>
      <c r="R2435" s="94"/>
    </row>
    <row r="2436" spans="3:18" x14ac:dyDescent="0.25">
      <c r="C2436" s="279"/>
      <c r="D2436" s="159"/>
      <c r="E2436" s="45"/>
      <c r="F2436" s="148"/>
      <c r="G2436" s="1"/>
      <c r="H2436" s="163"/>
      <c r="I2436" s="37"/>
      <c r="J2436" s="138"/>
      <c r="K2436" s="114"/>
      <c r="L2436" s="37"/>
      <c r="M2436" s="37"/>
      <c r="N2436" s="37"/>
      <c r="O2436" s="132"/>
      <c r="P2436" s="134"/>
      <c r="Q2436" s="261"/>
      <c r="R2436" s="94"/>
    </row>
    <row r="2437" spans="3:18" x14ac:dyDescent="0.25">
      <c r="C2437" s="279"/>
      <c r="D2437" s="159"/>
      <c r="E2437" s="45"/>
      <c r="F2437" s="148"/>
      <c r="G2437" s="1"/>
      <c r="H2437" s="163"/>
      <c r="I2437" s="37"/>
      <c r="J2437" s="138"/>
      <c r="K2437" s="114"/>
      <c r="L2437" s="37"/>
      <c r="M2437" s="37"/>
      <c r="N2437" s="37"/>
      <c r="O2437" s="132"/>
      <c r="P2437" s="134"/>
      <c r="Q2437" s="261"/>
      <c r="R2437" s="94"/>
    </row>
    <row r="2438" spans="3:18" x14ac:dyDescent="0.25">
      <c r="C2438" s="279"/>
      <c r="D2438" s="159"/>
      <c r="E2438" s="45"/>
      <c r="F2438" s="148"/>
      <c r="G2438" s="1"/>
      <c r="H2438" s="163"/>
      <c r="I2438" s="37"/>
      <c r="J2438" s="138"/>
      <c r="K2438" s="114"/>
      <c r="L2438" s="37"/>
      <c r="M2438" s="37"/>
      <c r="N2438" s="37"/>
      <c r="O2438" s="132"/>
      <c r="P2438" s="134"/>
      <c r="Q2438" s="261"/>
      <c r="R2438" s="94"/>
    </row>
    <row r="2439" spans="3:18" x14ac:dyDescent="0.25">
      <c r="C2439" s="279"/>
      <c r="D2439" s="159"/>
      <c r="E2439" s="45"/>
      <c r="F2439" s="148"/>
      <c r="G2439" s="1"/>
      <c r="H2439" s="163"/>
      <c r="I2439" s="37"/>
      <c r="J2439" s="138"/>
      <c r="K2439" s="114"/>
      <c r="L2439" s="37"/>
      <c r="M2439" s="37"/>
      <c r="N2439" s="37"/>
      <c r="O2439" s="132"/>
      <c r="P2439" s="134"/>
      <c r="Q2439" s="261"/>
      <c r="R2439" s="94"/>
    </row>
    <row r="2440" spans="3:18" x14ac:dyDescent="0.25">
      <c r="C2440" s="279"/>
      <c r="D2440" s="159"/>
      <c r="E2440" s="45"/>
      <c r="F2440" s="148"/>
      <c r="G2440" s="1"/>
      <c r="H2440" s="163"/>
      <c r="I2440" s="37"/>
      <c r="J2440" s="138"/>
      <c r="K2440" s="114"/>
      <c r="L2440" s="37"/>
      <c r="M2440" s="37"/>
      <c r="N2440" s="37"/>
      <c r="O2440" s="132"/>
      <c r="P2440" s="134"/>
      <c r="Q2440" s="261"/>
      <c r="R2440" s="94"/>
    </row>
    <row r="2441" spans="3:18" x14ac:dyDescent="0.25">
      <c r="C2441" s="279"/>
      <c r="D2441" s="159"/>
      <c r="E2441" s="45"/>
      <c r="F2441" s="148"/>
      <c r="G2441" s="1"/>
      <c r="H2441" s="163"/>
      <c r="I2441" s="37"/>
      <c r="J2441" s="138"/>
      <c r="K2441" s="114"/>
      <c r="L2441" s="37"/>
      <c r="M2441" s="37"/>
      <c r="N2441" s="37"/>
      <c r="O2441" s="132"/>
      <c r="P2441" s="134"/>
      <c r="Q2441" s="261"/>
      <c r="R2441" s="94"/>
    </row>
    <row r="2442" spans="3:18" x14ac:dyDescent="0.25">
      <c r="C2442" s="279"/>
      <c r="D2442" s="159"/>
      <c r="E2442" s="45"/>
      <c r="F2442" s="148"/>
      <c r="G2442" s="1"/>
      <c r="H2442" s="163"/>
      <c r="I2442" s="37"/>
      <c r="J2442" s="138"/>
      <c r="K2442" s="114"/>
      <c r="L2442" s="37"/>
      <c r="M2442" s="37"/>
      <c r="N2442" s="37"/>
      <c r="O2442" s="132"/>
      <c r="P2442" s="134"/>
      <c r="Q2442" s="261"/>
      <c r="R2442" s="94"/>
    </row>
    <row r="2443" spans="3:18" x14ac:dyDescent="0.25">
      <c r="C2443" s="279"/>
      <c r="D2443" s="159"/>
      <c r="E2443" s="45"/>
      <c r="F2443" s="148"/>
      <c r="G2443" s="1"/>
      <c r="H2443" s="163"/>
      <c r="I2443" s="37"/>
      <c r="J2443" s="138"/>
      <c r="K2443" s="114"/>
      <c r="L2443" s="37"/>
      <c r="M2443" s="37"/>
      <c r="N2443" s="37"/>
      <c r="O2443" s="132"/>
      <c r="P2443" s="134"/>
      <c r="Q2443" s="261"/>
      <c r="R2443" s="94"/>
    </row>
    <row r="2444" spans="3:18" x14ac:dyDescent="0.25">
      <c r="C2444" s="279"/>
      <c r="D2444" s="159"/>
      <c r="E2444" s="45"/>
      <c r="F2444" s="148"/>
      <c r="G2444" s="1"/>
      <c r="H2444" s="163"/>
      <c r="I2444" s="37"/>
      <c r="J2444" s="138"/>
      <c r="K2444" s="114"/>
      <c r="L2444" s="37"/>
      <c r="M2444" s="37"/>
      <c r="N2444" s="37"/>
      <c r="O2444" s="132"/>
      <c r="P2444" s="134"/>
      <c r="Q2444" s="261"/>
      <c r="R2444" s="94"/>
    </row>
    <row r="2445" spans="3:18" x14ac:dyDescent="0.25">
      <c r="C2445" s="279"/>
      <c r="D2445" s="159"/>
      <c r="E2445" s="45"/>
      <c r="F2445" s="148"/>
      <c r="G2445" s="1"/>
      <c r="H2445" s="163"/>
      <c r="I2445" s="37"/>
      <c r="J2445" s="138"/>
      <c r="K2445" s="114"/>
      <c r="L2445" s="37"/>
      <c r="M2445" s="37"/>
      <c r="N2445" s="37"/>
      <c r="O2445" s="132"/>
      <c r="P2445" s="134"/>
      <c r="Q2445" s="261"/>
      <c r="R2445" s="94"/>
    </row>
    <row r="2446" spans="3:18" x14ac:dyDescent="0.25">
      <c r="C2446" s="279"/>
      <c r="D2446" s="159"/>
      <c r="E2446" s="45"/>
      <c r="F2446" s="148"/>
      <c r="G2446" s="1"/>
      <c r="H2446" s="163"/>
      <c r="I2446" s="37"/>
      <c r="J2446" s="138"/>
      <c r="K2446" s="114"/>
      <c r="L2446" s="37"/>
      <c r="M2446" s="37"/>
      <c r="N2446" s="37"/>
      <c r="O2446" s="132"/>
      <c r="P2446" s="134"/>
      <c r="Q2446" s="261"/>
      <c r="R2446" s="94"/>
    </row>
    <row r="2447" spans="3:18" x14ac:dyDescent="0.25">
      <c r="C2447" s="279"/>
      <c r="D2447" s="159"/>
      <c r="E2447" s="45"/>
      <c r="F2447" s="148"/>
      <c r="G2447" s="1"/>
      <c r="H2447" s="163"/>
      <c r="I2447" s="37"/>
      <c r="J2447" s="138"/>
      <c r="K2447" s="114"/>
      <c r="L2447" s="37"/>
      <c r="M2447" s="37"/>
      <c r="N2447" s="37"/>
      <c r="O2447" s="132"/>
      <c r="P2447" s="134"/>
      <c r="Q2447" s="261"/>
      <c r="R2447" s="94"/>
    </row>
    <row r="2448" spans="3:18" x14ac:dyDescent="0.25">
      <c r="C2448" s="279"/>
      <c r="D2448" s="159"/>
      <c r="E2448" s="45"/>
      <c r="F2448" s="148"/>
      <c r="G2448" s="1"/>
      <c r="H2448" s="163"/>
      <c r="I2448" s="37"/>
      <c r="J2448" s="138"/>
      <c r="K2448" s="114"/>
      <c r="L2448" s="37"/>
      <c r="M2448" s="37"/>
      <c r="N2448" s="37"/>
      <c r="O2448" s="132"/>
      <c r="P2448" s="134"/>
      <c r="Q2448" s="261"/>
      <c r="R2448" s="94"/>
    </row>
    <row r="2449" spans="3:18" x14ac:dyDescent="0.25">
      <c r="C2449" s="279"/>
      <c r="D2449" s="159"/>
      <c r="E2449" s="45"/>
      <c r="F2449" s="148"/>
      <c r="G2449" s="1"/>
      <c r="H2449" s="163"/>
      <c r="I2449" s="37"/>
      <c r="J2449" s="138"/>
      <c r="K2449" s="114"/>
      <c r="L2449" s="37"/>
      <c r="M2449" s="37"/>
      <c r="N2449" s="37"/>
      <c r="O2449" s="132"/>
      <c r="P2449" s="134"/>
      <c r="Q2449" s="261"/>
      <c r="R2449" s="94"/>
    </row>
    <row r="2450" spans="3:18" x14ac:dyDescent="0.25">
      <c r="C2450" s="279"/>
      <c r="D2450" s="159"/>
      <c r="E2450" s="45"/>
      <c r="F2450" s="148"/>
      <c r="G2450" s="1"/>
      <c r="H2450" s="163"/>
      <c r="I2450" s="37"/>
      <c r="J2450" s="138"/>
      <c r="K2450" s="114"/>
      <c r="L2450" s="37"/>
      <c r="M2450" s="37"/>
      <c r="N2450" s="37"/>
      <c r="O2450" s="132"/>
      <c r="P2450" s="134"/>
      <c r="Q2450" s="261"/>
      <c r="R2450" s="94"/>
    </row>
    <row r="2451" spans="3:18" x14ac:dyDescent="0.25">
      <c r="C2451" s="279"/>
      <c r="D2451" s="159"/>
      <c r="E2451" s="45"/>
      <c r="F2451" s="148"/>
      <c r="G2451" s="1"/>
      <c r="H2451" s="163"/>
      <c r="I2451" s="37"/>
      <c r="J2451" s="138"/>
      <c r="K2451" s="114"/>
      <c r="L2451" s="37"/>
      <c r="M2451" s="37"/>
      <c r="N2451" s="37"/>
      <c r="O2451" s="132"/>
      <c r="P2451" s="134"/>
      <c r="Q2451" s="261"/>
      <c r="R2451" s="94"/>
    </row>
    <row r="2452" spans="3:18" x14ac:dyDescent="0.25">
      <c r="C2452" s="279"/>
      <c r="D2452" s="159"/>
      <c r="E2452" s="45"/>
      <c r="F2452" s="148"/>
      <c r="G2452" s="1"/>
      <c r="H2452" s="163"/>
      <c r="I2452" s="37"/>
      <c r="J2452" s="138"/>
      <c r="K2452" s="114"/>
      <c r="L2452" s="37"/>
      <c r="M2452" s="37"/>
      <c r="N2452" s="37"/>
      <c r="O2452" s="132"/>
      <c r="P2452" s="134"/>
      <c r="Q2452" s="261"/>
      <c r="R2452" s="94"/>
    </row>
    <row r="2453" spans="3:18" x14ac:dyDescent="0.25">
      <c r="C2453" s="279"/>
      <c r="D2453" s="159"/>
      <c r="E2453" s="45"/>
      <c r="F2453" s="148"/>
      <c r="G2453" s="1"/>
      <c r="H2453" s="163"/>
      <c r="I2453" s="37"/>
      <c r="J2453" s="138"/>
      <c r="K2453" s="114"/>
      <c r="L2453" s="37"/>
      <c r="M2453" s="37"/>
      <c r="N2453" s="37"/>
      <c r="O2453" s="132"/>
      <c r="P2453" s="134"/>
      <c r="Q2453" s="261"/>
      <c r="R2453" s="94"/>
    </row>
    <row r="2454" spans="3:18" x14ac:dyDescent="0.25">
      <c r="C2454" s="279"/>
      <c r="D2454" s="159"/>
      <c r="E2454" s="45"/>
      <c r="F2454" s="148"/>
      <c r="G2454" s="1"/>
      <c r="H2454" s="163"/>
      <c r="I2454" s="37"/>
      <c r="J2454" s="138"/>
      <c r="K2454" s="114"/>
      <c r="L2454" s="37"/>
      <c r="M2454" s="37"/>
      <c r="N2454" s="37"/>
      <c r="O2454" s="132"/>
      <c r="P2454" s="134"/>
      <c r="Q2454" s="261"/>
      <c r="R2454" s="94"/>
    </row>
    <row r="2455" spans="3:18" x14ac:dyDescent="0.25">
      <c r="C2455" s="279"/>
      <c r="D2455" s="159"/>
      <c r="E2455" s="45"/>
      <c r="F2455" s="148"/>
      <c r="G2455" s="1"/>
      <c r="H2455" s="163"/>
      <c r="I2455" s="37"/>
      <c r="J2455" s="138"/>
      <c r="K2455" s="114"/>
      <c r="L2455" s="37"/>
      <c r="M2455" s="37"/>
      <c r="N2455" s="37"/>
      <c r="O2455" s="132"/>
      <c r="P2455" s="134"/>
      <c r="Q2455" s="261"/>
      <c r="R2455" s="94"/>
    </row>
    <row r="2456" spans="3:18" x14ac:dyDescent="0.25">
      <c r="C2456" s="279"/>
      <c r="D2456" s="159"/>
      <c r="E2456" s="45"/>
      <c r="F2456" s="148"/>
      <c r="G2456" s="1"/>
      <c r="H2456" s="163"/>
      <c r="I2456" s="37"/>
      <c r="J2456" s="138"/>
      <c r="K2456" s="114"/>
      <c r="L2456" s="37"/>
      <c r="M2456" s="37"/>
      <c r="N2456" s="37"/>
      <c r="O2456" s="132"/>
      <c r="P2456" s="134"/>
      <c r="Q2456" s="261"/>
      <c r="R2456" s="94"/>
    </row>
    <row r="2457" spans="3:18" x14ac:dyDescent="0.25">
      <c r="C2457" s="279"/>
      <c r="D2457" s="159"/>
      <c r="E2457" s="45"/>
      <c r="F2457" s="148"/>
      <c r="G2457" s="1"/>
      <c r="H2457" s="163"/>
      <c r="I2457" s="37"/>
      <c r="J2457" s="138"/>
      <c r="K2457" s="114"/>
      <c r="L2457" s="37"/>
      <c r="M2457" s="37"/>
      <c r="N2457" s="37"/>
      <c r="O2457" s="132"/>
      <c r="P2457" s="134"/>
      <c r="Q2457" s="261"/>
      <c r="R2457" s="94"/>
    </row>
    <row r="2458" spans="3:18" x14ac:dyDescent="0.25">
      <c r="C2458" s="279"/>
      <c r="D2458" s="159"/>
      <c r="E2458" s="45"/>
      <c r="F2458" s="148"/>
      <c r="G2458" s="1"/>
      <c r="H2458" s="163"/>
      <c r="I2458" s="37"/>
      <c r="J2458" s="138"/>
      <c r="K2458" s="114"/>
      <c r="L2458" s="37"/>
      <c r="M2458" s="37"/>
      <c r="N2458" s="37"/>
      <c r="O2458" s="132"/>
      <c r="P2458" s="134"/>
      <c r="Q2458" s="261"/>
      <c r="R2458" s="94"/>
    </row>
    <row r="2459" spans="3:18" x14ac:dyDescent="0.25">
      <c r="C2459" s="279"/>
      <c r="D2459" s="159"/>
      <c r="E2459" s="45"/>
      <c r="F2459" s="148"/>
      <c r="G2459" s="1"/>
      <c r="H2459" s="163"/>
      <c r="I2459" s="37"/>
      <c r="J2459" s="138"/>
      <c r="K2459" s="114"/>
      <c r="L2459" s="37"/>
      <c r="M2459" s="37"/>
      <c r="N2459" s="37"/>
      <c r="O2459" s="132"/>
      <c r="P2459" s="134"/>
      <c r="Q2459" s="261"/>
      <c r="R2459" s="94"/>
    </row>
    <row r="2460" spans="3:18" x14ac:dyDescent="0.25">
      <c r="C2460" s="279"/>
      <c r="D2460" s="159"/>
      <c r="E2460" s="45"/>
      <c r="F2460" s="148"/>
      <c r="G2460" s="1"/>
      <c r="H2460" s="163"/>
      <c r="I2460" s="37"/>
      <c r="J2460" s="138"/>
      <c r="K2460" s="114"/>
      <c r="L2460" s="37"/>
      <c r="M2460" s="37"/>
      <c r="N2460" s="37"/>
      <c r="O2460" s="132"/>
      <c r="P2460" s="134"/>
      <c r="Q2460" s="261"/>
      <c r="R2460" s="94"/>
    </row>
    <row r="2461" spans="3:18" x14ac:dyDescent="0.25">
      <c r="C2461" s="279"/>
      <c r="D2461" s="159"/>
      <c r="E2461" s="45"/>
      <c r="F2461" s="148"/>
      <c r="G2461" s="1"/>
      <c r="H2461" s="163"/>
      <c r="I2461" s="37"/>
      <c r="J2461" s="138"/>
      <c r="K2461" s="114"/>
      <c r="L2461" s="37"/>
      <c r="M2461" s="37"/>
      <c r="N2461" s="37"/>
      <c r="O2461" s="132"/>
      <c r="P2461" s="134"/>
      <c r="Q2461" s="261"/>
      <c r="R2461" s="94"/>
    </row>
    <row r="2462" spans="3:18" x14ac:dyDescent="0.25">
      <c r="C2462" s="279"/>
      <c r="D2462" s="159"/>
      <c r="E2462" s="45"/>
      <c r="F2462" s="148"/>
      <c r="G2462" s="1"/>
      <c r="H2462" s="163"/>
      <c r="I2462" s="37"/>
      <c r="J2462" s="138"/>
      <c r="K2462" s="114"/>
      <c r="L2462" s="37"/>
      <c r="M2462" s="37"/>
      <c r="N2462" s="37"/>
      <c r="O2462" s="132"/>
      <c r="P2462" s="134"/>
      <c r="Q2462" s="261"/>
      <c r="R2462" s="94"/>
    </row>
    <row r="2463" spans="3:18" x14ac:dyDescent="0.25">
      <c r="C2463" s="279"/>
      <c r="D2463" s="159"/>
      <c r="E2463" s="45"/>
      <c r="F2463" s="148"/>
      <c r="G2463" s="1"/>
      <c r="H2463" s="163"/>
      <c r="I2463" s="37"/>
      <c r="J2463" s="138"/>
      <c r="K2463" s="114"/>
      <c r="L2463" s="37"/>
      <c r="M2463" s="37"/>
      <c r="N2463" s="37"/>
      <c r="O2463" s="132"/>
      <c r="P2463" s="134"/>
      <c r="Q2463" s="261"/>
      <c r="R2463" s="94"/>
    </row>
    <row r="2464" spans="3:18" x14ac:dyDescent="0.25">
      <c r="C2464" s="279"/>
      <c r="D2464" s="159"/>
      <c r="E2464" s="45"/>
      <c r="F2464" s="148"/>
      <c r="G2464" s="1"/>
      <c r="H2464" s="163"/>
      <c r="I2464" s="37"/>
      <c r="J2464" s="138"/>
      <c r="K2464" s="114"/>
      <c r="L2464" s="37"/>
      <c r="M2464" s="37"/>
      <c r="N2464" s="37"/>
      <c r="O2464" s="132"/>
      <c r="P2464" s="134"/>
      <c r="Q2464" s="261"/>
      <c r="R2464" s="94"/>
    </row>
    <row r="2465" spans="3:18" x14ac:dyDescent="0.25">
      <c r="C2465" s="279"/>
      <c r="D2465" s="159"/>
      <c r="E2465" s="45"/>
      <c r="F2465" s="148"/>
      <c r="G2465" s="1"/>
      <c r="H2465" s="163"/>
      <c r="I2465" s="37"/>
      <c r="J2465" s="138"/>
      <c r="K2465" s="114"/>
      <c r="L2465" s="37"/>
      <c r="M2465" s="37"/>
      <c r="N2465" s="37"/>
      <c r="O2465" s="132"/>
      <c r="P2465" s="134"/>
      <c r="Q2465" s="261"/>
      <c r="R2465" s="94"/>
    </row>
    <row r="2466" spans="3:18" x14ac:dyDescent="0.25">
      <c r="C2466" s="279"/>
      <c r="D2466" s="159"/>
      <c r="E2466" s="45"/>
      <c r="F2466" s="148"/>
      <c r="G2466" s="1"/>
      <c r="H2466" s="163"/>
      <c r="I2466" s="37"/>
      <c r="J2466" s="138"/>
      <c r="K2466" s="114"/>
      <c r="L2466" s="37"/>
      <c r="M2466" s="37"/>
      <c r="N2466" s="37"/>
      <c r="O2466" s="132"/>
      <c r="P2466" s="134"/>
      <c r="Q2466" s="261"/>
      <c r="R2466" s="94"/>
    </row>
    <row r="2467" spans="3:18" x14ac:dyDescent="0.25">
      <c r="C2467" s="279"/>
      <c r="D2467" s="159"/>
      <c r="E2467" s="45"/>
      <c r="F2467" s="148"/>
      <c r="G2467" s="1"/>
      <c r="H2467" s="163"/>
      <c r="I2467" s="37"/>
      <c r="J2467" s="138"/>
      <c r="K2467" s="114"/>
      <c r="L2467" s="37"/>
      <c r="M2467" s="37"/>
      <c r="N2467" s="37"/>
      <c r="O2467" s="132"/>
      <c r="P2467" s="134"/>
      <c r="Q2467" s="261"/>
      <c r="R2467" s="94"/>
    </row>
    <row r="2468" spans="3:18" x14ac:dyDescent="0.25">
      <c r="C2468" s="279"/>
      <c r="D2468" s="159"/>
      <c r="E2468" s="45"/>
      <c r="F2468" s="148"/>
      <c r="G2468" s="1"/>
      <c r="H2468" s="163"/>
      <c r="I2468" s="37"/>
      <c r="J2468" s="138"/>
      <c r="K2468" s="114"/>
      <c r="L2468" s="37"/>
      <c r="M2468" s="37"/>
      <c r="N2468" s="37"/>
      <c r="O2468" s="132"/>
      <c r="P2468" s="134"/>
      <c r="Q2468" s="261"/>
      <c r="R2468" s="94"/>
    </row>
    <row r="2469" spans="3:18" x14ac:dyDescent="0.25">
      <c r="C2469" s="279"/>
      <c r="D2469" s="159"/>
      <c r="E2469" s="45"/>
      <c r="F2469" s="148"/>
      <c r="G2469" s="1"/>
      <c r="H2469" s="163"/>
      <c r="I2469" s="37"/>
      <c r="J2469" s="138"/>
      <c r="K2469" s="114"/>
      <c r="L2469" s="37"/>
      <c r="M2469" s="37"/>
      <c r="N2469" s="37"/>
      <c r="O2469" s="132"/>
      <c r="P2469" s="134"/>
      <c r="Q2469" s="261"/>
      <c r="R2469" s="94"/>
    </row>
    <row r="2470" spans="3:18" x14ac:dyDescent="0.25">
      <c r="C2470" s="279"/>
      <c r="D2470" s="159"/>
      <c r="E2470" s="45"/>
      <c r="F2470" s="148"/>
      <c r="G2470" s="1"/>
      <c r="H2470" s="163"/>
      <c r="I2470" s="37"/>
      <c r="J2470" s="138"/>
      <c r="K2470" s="114"/>
      <c r="L2470" s="37"/>
      <c r="M2470" s="37"/>
      <c r="N2470" s="37"/>
      <c r="O2470" s="132"/>
      <c r="P2470" s="134"/>
      <c r="Q2470" s="261"/>
      <c r="R2470" s="94"/>
    </row>
    <row r="2471" spans="3:18" x14ac:dyDescent="0.25">
      <c r="C2471" s="279"/>
      <c r="D2471" s="159"/>
      <c r="E2471" s="45"/>
      <c r="F2471" s="148"/>
      <c r="G2471" s="1"/>
      <c r="H2471" s="163"/>
      <c r="I2471" s="37"/>
      <c r="J2471" s="138"/>
      <c r="K2471" s="114"/>
      <c r="L2471" s="37"/>
      <c r="M2471" s="37"/>
      <c r="N2471" s="37"/>
      <c r="O2471" s="132"/>
      <c r="P2471" s="134"/>
      <c r="Q2471" s="261"/>
      <c r="R2471" s="94"/>
    </row>
    <row r="2472" spans="3:18" x14ac:dyDescent="0.25">
      <c r="C2472" s="279"/>
      <c r="D2472" s="159"/>
      <c r="E2472" s="45"/>
      <c r="F2472" s="148"/>
      <c r="G2472" s="1"/>
      <c r="H2472" s="163"/>
      <c r="I2472" s="37"/>
      <c r="J2472" s="138"/>
      <c r="K2472" s="114"/>
      <c r="L2472" s="37"/>
      <c r="M2472" s="37"/>
      <c r="N2472" s="37"/>
      <c r="O2472" s="132"/>
      <c r="P2472" s="134"/>
      <c r="Q2472" s="261"/>
      <c r="R2472" s="94"/>
    </row>
    <row r="2473" spans="3:18" x14ac:dyDescent="0.25">
      <c r="C2473" s="279"/>
      <c r="D2473" s="159"/>
      <c r="E2473" s="45"/>
      <c r="F2473" s="148"/>
      <c r="G2473" s="1"/>
      <c r="H2473" s="163"/>
      <c r="I2473" s="37"/>
      <c r="J2473" s="138"/>
      <c r="K2473" s="114"/>
      <c r="L2473" s="37"/>
      <c r="M2473" s="37"/>
      <c r="N2473" s="37"/>
      <c r="O2473" s="132"/>
      <c r="P2473" s="134"/>
      <c r="Q2473" s="261"/>
      <c r="R2473" s="94"/>
    </row>
    <row r="2474" spans="3:18" x14ac:dyDescent="0.25">
      <c r="C2474" s="279"/>
      <c r="D2474" s="159"/>
      <c r="E2474" s="45"/>
      <c r="F2474" s="148"/>
      <c r="G2474" s="1"/>
      <c r="H2474" s="163"/>
      <c r="I2474" s="37"/>
      <c r="J2474" s="138"/>
      <c r="K2474" s="114"/>
      <c r="L2474" s="37"/>
      <c r="M2474" s="37"/>
      <c r="N2474" s="37"/>
      <c r="O2474" s="132"/>
      <c r="P2474" s="134"/>
      <c r="Q2474" s="261"/>
      <c r="R2474" s="94"/>
    </row>
    <row r="2475" spans="3:18" x14ac:dyDescent="0.25">
      <c r="C2475" s="279"/>
      <c r="D2475" s="159"/>
      <c r="E2475" s="45"/>
      <c r="F2475" s="148"/>
      <c r="G2475" s="1"/>
      <c r="H2475" s="163"/>
      <c r="I2475" s="37"/>
      <c r="J2475" s="138"/>
      <c r="K2475" s="114"/>
      <c r="L2475" s="37"/>
      <c r="M2475" s="37"/>
      <c r="N2475" s="37"/>
      <c r="O2475" s="132"/>
      <c r="P2475" s="134"/>
      <c r="Q2475" s="261"/>
      <c r="R2475" s="94"/>
    </row>
    <row r="2476" spans="3:18" x14ac:dyDescent="0.25">
      <c r="C2476" s="279"/>
      <c r="D2476" s="159"/>
      <c r="E2476" s="45"/>
      <c r="F2476" s="148"/>
      <c r="G2476" s="1"/>
      <c r="H2476" s="163"/>
      <c r="I2476" s="37"/>
      <c r="J2476" s="138"/>
      <c r="K2476" s="114"/>
      <c r="L2476" s="37"/>
      <c r="M2476" s="37"/>
      <c r="N2476" s="37"/>
      <c r="O2476" s="132"/>
      <c r="P2476" s="134"/>
      <c r="Q2476" s="261"/>
      <c r="R2476" s="94"/>
    </row>
    <row r="2477" spans="3:18" x14ac:dyDescent="0.25">
      <c r="C2477" s="279"/>
      <c r="D2477" s="159"/>
      <c r="E2477" s="45"/>
      <c r="F2477" s="148"/>
      <c r="G2477" s="1"/>
      <c r="H2477" s="163"/>
      <c r="I2477" s="37"/>
      <c r="J2477" s="138"/>
      <c r="K2477" s="114"/>
      <c r="L2477" s="37"/>
      <c r="M2477" s="37"/>
      <c r="N2477" s="37"/>
      <c r="O2477" s="132"/>
      <c r="P2477" s="134"/>
      <c r="Q2477" s="261"/>
      <c r="R2477" s="94"/>
    </row>
    <row r="2478" spans="3:18" x14ac:dyDescent="0.25">
      <c r="C2478" s="279"/>
      <c r="D2478" s="159"/>
      <c r="E2478" s="45"/>
      <c r="F2478" s="148"/>
      <c r="G2478" s="1"/>
      <c r="H2478" s="163"/>
      <c r="I2478" s="37"/>
      <c r="J2478" s="138"/>
      <c r="K2478" s="114"/>
      <c r="L2478" s="37"/>
      <c r="M2478" s="37"/>
      <c r="N2478" s="37"/>
      <c r="O2478" s="132"/>
      <c r="P2478" s="134"/>
      <c r="Q2478" s="261"/>
      <c r="R2478" s="94"/>
    </row>
    <row r="2479" spans="3:18" x14ac:dyDescent="0.25">
      <c r="C2479" s="279"/>
      <c r="D2479" s="159"/>
      <c r="E2479" s="45"/>
      <c r="F2479" s="148"/>
      <c r="G2479" s="1"/>
      <c r="H2479" s="163"/>
      <c r="I2479" s="37"/>
      <c r="J2479" s="138"/>
      <c r="K2479" s="114"/>
      <c r="L2479" s="37"/>
      <c r="M2479" s="37"/>
      <c r="N2479" s="37"/>
      <c r="O2479" s="132"/>
      <c r="P2479" s="134"/>
      <c r="Q2479" s="261"/>
      <c r="R2479" s="94"/>
    </row>
    <row r="2480" spans="3:18" x14ac:dyDescent="0.25">
      <c r="C2480" s="279"/>
      <c r="D2480" s="159"/>
      <c r="E2480" s="45"/>
      <c r="F2480" s="148"/>
      <c r="G2480" s="1"/>
      <c r="H2480" s="163"/>
      <c r="I2480" s="37"/>
      <c r="J2480" s="138"/>
      <c r="K2480" s="114"/>
      <c r="L2480" s="37"/>
      <c r="M2480" s="37"/>
      <c r="N2480" s="37"/>
      <c r="O2480" s="132"/>
      <c r="P2480" s="134"/>
      <c r="Q2480" s="261"/>
      <c r="R2480" s="94"/>
    </row>
    <row r="2481" spans="3:18" x14ac:dyDescent="0.25">
      <c r="C2481" s="279"/>
      <c r="D2481" s="159"/>
      <c r="E2481" s="45"/>
      <c r="F2481" s="148"/>
      <c r="G2481" s="1"/>
      <c r="H2481" s="163"/>
      <c r="I2481" s="37"/>
      <c r="J2481" s="138"/>
      <c r="K2481" s="114"/>
      <c r="L2481" s="37"/>
      <c r="M2481" s="37"/>
      <c r="N2481" s="37"/>
      <c r="O2481" s="132"/>
      <c r="P2481" s="134"/>
      <c r="Q2481" s="261"/>
      <c r="R2481" s="94"/>
    </row>
    <row r="2482" spans="3:18" x14ac:dyDescent="0.25">
      <c r="C2482" s="279"/>
      <c r="D2482" s="159"/>
      <c r="E2482" s="45"/>
      <c r="F2482" s="148"/>
      <c r="G2482" s="1"/>
      <c r="H2482" s="163"/>
      <c r="I2482" s="37"/>
      <c r="J2482" s="138"/>
      <c r="K2482" s="114"/>
      <c r="L2482" s="37"/>
      <c r="M2482" s="37"/>
      <c r="N2482" s="37"/>
      <c r="O2482" s="132"/>
      <c r="P2482" s="134"/>
      <c r="Q2482" s="261"/>
      <c r="R2482" s="94"/>
    </row>
    <row r="2483" spans="3:18" x14ac:dyDescent="0.25">
      <c r="C2483" s="279"/>
      <c r="D2483" s="159"/>
      <c r="E2483" s="45"/>
      <c r="F2483" s="148"/>
      <c r="G2483" s="1"/>
      <c r="H2483" s="163"/>
      <c r="I2483" s="37"/>
      <c r="J2483" s="138"/>
      <c r="K2483" s="114"/>
      <c r="L2483" s="37"/>
      <c r="M2483" s="37"/>
      <c r="N2483" s="37"/>
      <c r="O2483" s="132"/>
      <c r="P2483" s="134"/>
      <c r="Q2483" s="261"/>
      <c r="R2483" s="94"/>
    </row>
    <row r="2484" spans="3:18" x14ac:dyDescent="0.25">
      <c r="C2484" s="279"/>
      <c r="D2484" s="159"/>
      <c r="E2484" s="45"/>
      <c r="F2484" s="148"/>
      <c r="G2484" s="1"/>
      <c r="H2484" s="163"/>
      <c r="I2484" s="37"/>
      <c r="J2484" s="138"/>
      <c r="K2484" s="114"/>
      <c r="L2484" s="37"/>
      <c r="M2484" s="37"/>
      <c r="N2484" s="37"/>
      <c r="O2484" s="132"/>
      <c r="P2484" s="134"/>
      <c r="Q2484" s="261"/>
      <c r="R2484" s="94"/>
    </row>
    <row r="2485" spans="3:18" x14ac:dyDescent="0.25">
      <c r="C2485" s="279"/>
      <c r="D2485" s="159"/>
      <c r="E2485" s="45"/>
      <c r="F2485" s="148"/>
      <c r="G2485" s="1"/>
      <c r="H2485" s="163"/>
      <c r="I2485" s="37"/>
      <c r="J2485" s="138"/>
      <c r="K2485" s="114"/>
      <c r="L2485" s="37"/>
      <c r="M2485" s="37"/>
      <c r="N2485" s="37"/>
      <c r="O2485" s="132"/>
      <c r="P2485" s="134"/>
      <c r="Q2485" s="261"/>
      <c r="R2485" s="94"/>
    </row>
    <row r="2486" spans="3:18" x14ac:dyDescent="0.25">
      <c r="C2486" s="279"/>
      <c r="D2486" s="159"/>
      <c r="E2486" s="45"/>
      <c r="F2486" s="148"/>
      <c r="G2486" s="1"/>
      <c r="H2486" s="163"/>
      <c r="I2486" s="37"/>
      <c r="J2486" s="138"/>
      <c r="K2486" s="114"/>
      <c r="L2486" s="37"/>
      <c r="M2486" s="37"/>
      <c r="N2486" s="37"/>
      <c r="O2486" s="132"/>
      <c r="P2486" s="134"/>
      <c r="Q2486" s="261"/>
      <c r="R2486" s="94"/>
    </row>
    <row r="2487" spans="3:18" x14ac:dyDescent="0.25">
      <c r="C2487" s="279"/>
      <c r="D2487" s="159"/>
      <c r="E2487" s="45"/>
      <c r="F2487" s="148"/>
      <c r="G2487" s="1"/>
      <c r="H2487" s="163"/>
      <c r="I2487" s="37"/>
      <c r="J2487" s="138"/>
      <c r="K2487" s="114"/>
      <c r="L2487" s="37"/>
      <c r="M2487" s="37"/>
      <c r="N2487" s="37"/>
      <c r="O2487" s="132"/>
      <c r="P2487" s="134"/>
      <c r="Q2487" s="261"/>
      <c r="R2487" s="94"/>
    </row>
    <row r="2488" spans="3:18" x14ac:dyDescent="0.25">
      <c r="C2488" s="279"/>
      <c r="D2488" s="159"/>
      <c r="E2488" s="45"/>
      <c r="F2488" s="148"/>
      <c r="G2488" s="1"/>
      <c r="H2488" s="163"/>
      <c r="I2488" s="37"/>
      <c r="J2488" s="138"/>
      <c r="K2488" s="114"/>
      <c r="L2488" s="37"/>
      <c r="M2488" s="37"/>
      <c r="N2488" s="37"/>
      <c r="O2488" s="132"/>
      <c r="P2488" s="134"/>
      <c r="Q2488" s="261"/>
      <c r="R2488" s="94"/>
    </row>
    <row r="2489" spans="3:18" x14ac:dyDescent="0.25">
      <c r="C2489" s="279"/>
      <c r="D2489" s="159"/>
      <c r="E2489" s="45"/>
      <c r="F2489" s="148"/>
      <c r="G2489" s="1"/>
      <c r="H2489" s="163"/>
      <c r="I2489" s="37"/>
      <c r="J2489" s="138"/>
      <c r="K2489" s="114"/>
      <c r="L2489" s="37"/>
      <c r="M2489" s="37"/>
      <c r="N2489" s="37"/>
      <c r="O2489" s="132"/>
      <c r="P2489" s="134"/>
      <c r="Q2489" s="261"/>
      <c r="R2489" s="94"/>
    </row>
    <row r="2490" spans="3:18" x14ac:dyDescent="0.25">
      <c r="C2490" s="279"/>
      <c r="D2490" s="159"/>
      <c r="E2490" s="45"/>
      <c r="F2490" s="148"/>
      <c r="G2490" s="1"/>
      <c r="H2490" s="163"/>
      <c r="I2490" s="37"/>
      <c r="J2490" s="138"/>
      <c r="K2490" s="114"/>
      <c r="L2490" s="37"/>
      <c r="M2490" s="37"/>
      <c r="N2490" s="37"/>
      <c r="O2490" s="132"/>
      <c r="P2490" s="134"/>
      <c r="Q2490" s="261"/>
      <c r="R2490" s="94"/>
    </row>
    <row r="2491" spans="3:18" x14ac:dyDescent="0.25">
      <c r="C2491" s="279"/>
      <c r="D2491" s="159"/>
      <c r="E2491" s="45"/>
      <c r="F2491" s="148"/>
      <c r="G2491" s="1"/>
      <c r="H2491" s="163"/>
      <c r="I2491" s="37"/>
      <c r="J2491" s="138"/>
      <c r="K2491" s="114"/>
      <c r="L2491" s="37"/>
      <c r="M2491" s="37"/>
      <c r="N2491" s="37"/>
      <c r="O2491" s="132"/>
      <c r="P2491" s="134"/>
      <c r="Q2491" s="261"/>
      <c r="R2491" s="94"/>
    </row>
    <row r="2492" spans="3:18" x14ac:dyDescent="0.25">
      <c r="C2492" s="279"/>
      <c r="D2492" s="159"/>
      <c r="E2492" s="45"/>
      <c r="F2492" s="148"/>
      <c r="G2492" s="1"/>
      <c r="H2492" s="163"/>
      <c r="I2492" s="37"/>
      <c r="J2492" s="138"/>
      <c r="K2492" s="114"/>
      <c r="L2492" s="37"/>
      <c r="M2492" s="37"/>
      <c r="N2492" s="37"/>
      <c r="O2492" s="132"/>
      <c r="P2492" s="134"/>
      <c r="Q2492" s="261"/>
      <c r="R2492" s="94"/>
    </row>
    <row r="2493" spans="3:18" x14ac:dyDescent="0.25">
      <c r="C2493" s="279"/>
      <c r="D2493" s="159"/>
      <c r="E2493" s="45"/>
      <c r="F2493" s="148"/>
      <c r="G2493" s="1"/>
      <c r="H2493" s="163"/>
      <c r="I2493" s="37"/>
      <c r="J2493" s="138"/>
      <c r="K2493" s="114"/>
      <c r="L2493" s="37"/>
      <c r="M2493" s="37"/>
      <c r="N2493" s="37"/>
      <c r="O2493" s="132"/>
      <c r="P2493" s="134"/>
      <c r="Q2493" s="261"/>
      <c r="R2493" s="94"/>
    </row>
    <row r="2494" spans="3:18" x14ac:dyDescent="0.25">
      <c r="C2494" s="279"/>
      <c r="D2494" s="159"/>
      <c r="E2494" s="45"/>
      <c r="F2494" s="148"/>
      <c r="G2494" s="1"/>
      <c r="H2494" s="163"/>
      <c r="I2494" s="37"/>
      <c r="J2494" s="138"/>
      <c r="K2494" s="114"/>
      <c r="L2494" s="37"/>
      <c r="M2494" s="37"/>
      <c r="N2494" s="37"/>
      <c r="O2494" s="132"/>
      <c r="P2494" s="134"/>
      <c r="Q2494" s="261"/>
      <c r="R2494" s="94"/>
    </row>
    <row r="2495" spans="3:18" x14ac:dyDescent="0.25">
      <c r="C2495" s="279"/>
      <c r="D2495" s="159"/>
      <c r="E2495" s="45"/>
      <c r="F2495" s="148"/>
      <c r="G2495" s="1"/>
      <c r="H2495" s="163"/>
      <c r="I2495" s="37"/>
      <c r="J2495" s="138"/>
      <c r="K2495" s="114"/>
      <c r="L2495" s="37"/>
      <c r="M2495" s="37"/>
      <c r="N2495" s="37"/>
      <c r="O2495" s="132"/>
      <c r="P2495" s="134"/>
      <c r="Q2495" s="261"/>
      <c r="R2495" s="94"/>
    </row>
    <row r="2496" spans="3:18" x14ac:dyDescent="0.25">
      <c r="C2496" s="279"/>
      <c r="D2496" s="159"/>
      <c r="E2496" s="45"/>
      <c r="F2496" s="148"/>
      <c r="G2496" s="1"/>
      <c r="H2496" s="163"/>
      <c r="I2496" s="37"/>
      <c r="J2496" s="138"/>
      <c r="K2496" s="114"/>
      <c r="L2496" s="37"/>
      <c r="M2496" s="37"/>
      <c r="N2496" s="37"/>
      <c r="O2496" s="132"/>
      <c r="P2496" s="134"/>
      <c r="Q2496" s="261"/>
      <c r="R2496" s="94"/>
    </row>
    <row r="2497" spans="3:18" x14ac:dyDescent="0.25">
      <c r="C2497" s="279"/>
      <c r="D2497" s="159"/>
      <c r="E2497" s="45"/>
      <c r="F2497" s="148"/>
      <c r="G2497" s="1"/>
      <c r="H2497" s="163"/>
      <c r="I2497" s="37"/>
      <c r="J2497" s="138"/>
      <c r="K2497" s="114"/>
      <c r="L2497" s="37"/>
      <c r="M2497" s="37"/>
      <c r="N2497" s="37"/>
      <c r="O2497" s="132"/>
      <c r="P2497" s="134"/>
      <c r="Q2497" s="261"/>
      <c r="R2497" s="94"/>
    </row>
    <row r="2498" spans="3:18" x14ac:dyDescent="0.25">
      <c r="C2498" s="279"/>
      <c r="D2498" s="159"/>
      <c r="E2498" s="45"/>
      <c r="F2498" s="148"/>
      <c r="G2498" s="1"/>
      <c r="H2498" s="163"/>
      <c r="I2498" s="37"/>
      <c r="J2498" s="138"/>
      <c r="K2498" s="114"/>
      <c r="L2498" s="37"/>
      <c r="M2498" s="37"/>
      <c r="N2498" s="37"/>
      <c r="O2498" s="132"/>
      <c r="P2498" s="134"/>
      <c r="Q2498" s="261"/>
      <c r="R2498" s="94"/>
    </row>
    <row r="2499" spans="3:18" x14ac:dyDescent="0.25">
      <c r="C2499" s="279"/>
      <c r="D2499" s="159"/>
      <c r="E2499" s="45"/>
      <c r="F2499" s="148"/>
      <c r="G2499" s="1"/>
      <c r="H2499" s="163"/>
      <c r="I2499" s="37"/>
      <c r="J2499" s="138"/>
      <c r="K2499" s="114"/>
      <c r="L2499" s="37"/>
      <c r="M2499" s="37"/>
      <c r="N2499" s="37"/>
      <c r="O2499" s="132"/>
      <c r="P2499" s="134"/>
      <c r="Q2499" s="261"/>
      <c r="R2499" s="94"/>
    </row>
    <row r="2500" spans="3:18" x14ac:dyDescent="0.25">
      <c r="C2500" s="279"/>
      <c r="D2500" s="159"/>
      <c r="E2500" s="45"/>
      <c r="F2500" s="148"/>
      <c r="G2500" s="1"/>
      <c r="H2500" s="163"/>
      <c r="I2500" s="37"/>
      <c r="J2500" s="138"/>
      <c r="K2500" s="114"/>
      <c r="L2500" s="37"/>
      <c r="M2500" s="37"/>
      <c r="N2500" s="37"/>
      <c r="O2500" s="132"/>
      <c r="P2500" s="134"/>
      <c r="Q2500" s="261"/>
      <c r="R2500" s="94"/>
    </row>
    <row r="2501" spans="3:18" x14ac:dyDescent="0.25">
      <c r="C2501" s="279"/>
      <c r="D2501" s="159"/>
      <c r="E2501" s="45"/>
      <c r="F2501" s="148"/>
      <c r="G2501" s="1"/>
      <c r="H2501" s="163"/>
      <c r="I2501" s="37"/>
      <c r="J2501" s="138"/>
      <c r="K2501" s="114"/>
      <c r="L2501" s="37"/>
      <c r="M2501" s="37"/>
      <c r="N2501" s="37"/>
      <c r="O2501" s="132"/>
      <c r="P2501" s="134"/>
      <c r="Q2501" s="261"/>
      <c r="R2501" s="94"/>
    </row>
    <row r="2502" spans="3:18" x14ac:dyDescent="0.25">
      <c r="C2502" s="279"/>
      <c r="D2502" s="159"/>
      <c r="E2502" s="45"/>
      <c r="F2502" s="148"/>
      <c r="G2502" s="1"/>
      <c r="H2502" s="163"/>
      <c r="I2502" s="37"/>
      <c r="J2502" s="138"/>
      <c r="K2502" s="114"/>
      <c r="L2502" s="37"/>
      <c r="M2502" s="37"/>
      <c r="N2502" s="37"/>
      <c r="O2502" s="132"/>
      <c r="P2502" s="134"/>
      <c r="Q2502" s="261"/>
      <c r="R2502" s="94"/>
    </row>
    <row r="2503" spans="3:18" x14ac:dyDescent="0.25">
      <c r="C2503" s="279"/>
      <c r="D2503" s="159"/>
      <c r="E2503" s="45"/>
      <c r="F2503" s="148"/>
      <c r="G2503" s="1"/>
      <c r="H2503" s="163"/>
      <c r="I2503" s="37"/>
      <c r="J2503" s="138"/>
      <c r="K2503" s="114"/>
      <c r="L2503" s="37"/>
      <c r="M2503" s="37"/>
      <c r="N2503" s="37"/>
      <c r="O2503" s="132"/>
      <c r="P2503" s="134"/>
      <c r="Q2503" s="261"/>
      <c r="R2503" s="94"/>
    </row>
    <row r="2504" spans="3:18" x14ac:dyDescent="0.25">
      <c r="C2504" s="279"/>
      <c r="D2504" s="159"/>
      <c r="E2504" s="45"/>
      <c r="F2504" s="148"/>
      <c r="G2504" s="1"/>
      <c r="H2504" s="163"/>
      <c r="I2504" s="37"/>
      <c r="J2504" s="138"/>
      <c r="K2504" s="114"/>
      <c r="L2504" s="37"/>
      <c r="M2504" s="37"/>
      <c r="N2504" s="37"/>
      <c r="O2504" s="132"/>
      <c r="P2504" s="134"/>
      <c r="Q2504" s="261"/>
      <c r="R2504" s="94"/>
    </row>
    <row r="2505" spans="3:18" x14ac:dyDescent="0.25">
      <c r="C2505" s="279"/>
      <c r="D2505" s="159"/>
      <c r="E2505" s="45"/>
      <c r="F2505" s="148"/>
      <c r="G2505" s="1"/>
      <c r="H2505" s="163"/>
      <c r="I2505" s="37"/>
      <c r="J2505" s="138"/>
      <c r="K2505" s="114"/>
      <c r="L2505" s="37"/>
      <c r="M2505" s="37"/>
      <c r="N2505" s="37"/>
      <c r="O2505" s="132"/>
      <c r="P2505" s="134"/>
      <c r="Q2505" s="261"/>
      <c r="R2505" s="94"/>
    </row>
    <row r="2506" spans="3:18" x14ac:dyDescent="0.25">
      <c r="C2506" s="279"/>
      <c r="D2506" s="159"/>
      <c r="E2506" s="45"/>
      <c r="F2506" s="148"/>
      <c r="G2506" s="1"/>
      <c r="H2506" s="163"/>
      <c r="I2506" s="37"/>
      <c r="J2506" s="138"/>
      <c r="K2506" s="114"/>
      <c r="L2506" s="37"/>
      <c r="M2506" s="37"/>
      <c r="N2506" s="37"/>
      <c r="O2506" s="132"/>
      <c r="P2506" s="134"/>
      <c r="Q2506" s="261"/>
      <c r="R2506" s="94"/>
    </row>
    <row r="2507" spans="3:18" x14ac:dyDescent="0.25">
      <c r="C2507" s="279"/>
      <c r="D2507" s="159"/>
      <c r="E2507" s="45"/>
      <c r="F2507" s="148"/>
      <c r="G2507" s="1"/>
      <c r="H2507" s="163"/>
      <c r="I2507" s="37"/>
      <c r="J2507" s="138"/>
      <c r="K2507" s="114"/>
      <c r="L2507" s="37"/>
      <c r="M2507" s="37"/>
      <c r="N2507" s="37"/>
      <c r="O2507" s="132"/>
      <c r="P2507" s="134"/>
      <c r="Q2507" s="261"/>
      <c r="R2507" s="94"/>
    </row>
    <row r="2508" spans="3:18" x14ac:dyDescent="0.25">
      <c r="C2508" s="279"/>
      <c r="D2508" s="159"/>
      <c r="E2508" s="45"/>
      <c r="F2508" s="148"/>
      <c r="G2508" s="1"/>
      <c r="H2508" s="163"/>
      <c r="I2508" s="37"/>
      <c r="J2508" s="138"/>
      <c r="K2508" s="114"/>
      <c r="L2508" s="37"/>
      <c r="M2508" s="37"/>
      <c r="N2508" s="37"/>
      <c r="O2508" s="132"/>
      <c r="P2508" s="134"/>
      <c r="Q2508" s="261"/>
      <c r="R2508" s="94"/>
    </row>
    <row r="2509" spans="3:18" x14ac:dyDescent="0.25">
      <c r="C2509" s="279"/>
      <c r="D2509" s="159"/>
      <c r="E2509" s="45"/>
      <c r="F2509" s="148"/>
      <c r="G2509" s="1"/>
      <c r="H2509" s="163"/>
      <c r="I2509" s="37"/>
      <c r="J2509" s="138"/>
      <c r="K2509" s="114"/>
      <c r="L2509" s="37"/>
      <c r="M2509" s="37"/>
      <c r="N2509" s="37"/>
      <c r="O2509" s="132"/>
      <c r="P2509" s="134"/>
      <c r="Q2509" s="261"/>
      <c r="R2509" s="94"/>
    </row>
    <row r="2510" spans="3:18" x14ac:dyDescent="0.25">
      <c r="C2510" s="279"/>
      <c r="D2510" s="159"/>
      <c r="E2510" s="45"/>
      <c r="F2510" s="148"/>
      <c r="G2510" s="1"/>
      <c r="H2510" s="163"/>
      <c r="I2510" s="37"/>
      <c r="J2510" s="138"/>
      <c r="K2510" s="114"/>
      <c r="L2510" s="37"/>
      <c r="M2510" s="37"/>
      <c r="N2510" s="37"/>
      <c r="O2510" s="132"/>
      <c r="P2510" s="134"/>
      <c r="Q2510" s="261"/>
      <c r="R2510" s="94"/>
    </row>
    <row r="2511" spans="3:18" x14ac:dyDescent="0.25">
      <c r="C2511" s="279"/>
      <c r="D2511" s="159"/>
      <c r="E2511" s="45"/>
      <c r="F2511" s="148"/>
      <c r="G2511" s="1"/>
      <c r="H2511" s="163"/>
      <c r="I2511" s="37"/>
      <c r="J2511" s="138"/>
      <c r="K2511" s="114"/>
      <c r="L2511" s="37"/>
      <c r="M2511" s="37"/>
      <c r="N2511" s="37"/>
      <c r="O2511" s="132"/>
      <c r="P2511" s="134"/>
      <c r="Q2511" s="261"/>
      <c r="R2511" s="94"/>
    </row>
    <row r="2512" spans="3:18" x14ac:dyDescent="0.25">
      <c r="C2512" s="279"/>
      <c r="D2512" s="159"/>
      <c r="E2512" s="45"/>
      <c r="F2512" s="148"/>
      <c r="G2512" s="1"/>
      <c r="H2512" s="163"/>
      <c r="I2512" s="37"/>
      <c r="J2512" s="138"/>
      <c r="K2512" s="114"/>
      <c r="L2512" s="37"/>
      <c r="M2512" s="37"/>
      <c r="N2512" s="37"/>
      <c r="O2512" s="132"/>
      <c r="P2512" s="134"/>
      <c r="Q2512" s="261"/>
      <c r="R2512" s="94"/>
    </row>
    <row r="2513" spans="3:18" x14ac:dyDescent="0.25">
      <c r="C2513" s="279"/>
      <c r="D2513" s="159"/>
      <c r="E2513" s="45"/>
      <c r="F2513" s="148"/>
      <c r="G2513" s="1"/>
      <c r="H2513" s="163"/>
      <c r="I2513" s="37"/>
      <c r="J2513" s="138"/>
      <c r="K2513" s="114"/>
      <c r="L2513" s="37"/>
      <c r="M2513" s="37"/>
      <c r="N2513" s="37"/>
      <c r="O2513" s="132"/>
      <c r="P2513" s="134"/>
      <c r="Q2513" s="261"/>
      <c r="R2513" s="94"/>
    </row>
    <row r="2514" spans="3:18" x14ac:dyDescent="0.25">
      <c r="C2514" s="279"/>
      <c r="D2514" s="159"/>
      <c r="E2514" s="45"/>
      <c r="F2514" s="148"/>
      <c r="G2514" s="1"/>
      <c r="H2514" s="163"/>
      <c r="I2514" s="37"/>
      <c r="J2514" s="138"/>
      <c r="K2514" s="114"/>
      <c r="L2514" s="37"/>
      <c r="M2514" s="37"/>
      <c r="N2514" s="37"/>
      <c r="O2514" s="132"/>
      <c r="P2514" s="134"/>
      <c r="Q2514" s="261"/>
      <c r="R2514" s="94"/>
    </row>
    <row r="2515" spans="3:18" x14ac:dyDescent="0.25">
      <c r="C2515" s="279"/>
      <c r="D2515" s="159"/>
      <c r="E2515" s="45"/>
      <c r="F2515" s="148"/>
      <c r="G2515" s="1"/>
      <c r="H2515" s="163"/>
      <c r="I2515" s="37"/>
      <c r="J2515" s="138"/>
      <c r="K2515" s="114"/>
      <c r="L2515" s="37"/>
      <c r="M2515" s="37"/>
      <c r="N2515" s="37"/>
      <c r="O2515" s="132"/>
      <c r="P2515" s="134"/>
      <c r="Q2515" s="261"/>
      <c r="R2515" s="94"/>
    </row>
    <row r="2516" spans="3:18" x14ac:dyDescent="0.25">
      <c r="C2516" s="279"/>
      <c r="D2516" s="159"/>
      <c r="E2516" s="45"/>
      <c r="F2516" s="148"/>
      <c r="G2516" s="1"/>
      <c r="H2516" s="163"/>
      <c r="I2516" s="37"/>
      <c r="J2516" s="138"/>
      <c r="K2516" s="114"/>
      <c r="L2516" s="37"/>
      <c r="M2516" s="37"/>
      <c r="N2516" s="37"/>
      <c r="O2516" s="132"/>
      <c r="P2516" s="134"/>
      <c r="Q2516" s="261"/>
      <c r="R2516" s="94"/>
    </row>
    <row r="2517" spans="3:18" x14ac:dyDescent="0.25">
      <c r="C2517" s="279"/>
      <c r="D2517" s="159"/>
      <c r="E2517" s="45"/>
      <c r="F2517" s="148"/>
      <c r="G2517" s="1"/>
      <c r="H2517" s="163"/>
      <c r="I2517" s="37"/>
      <c r="J2517" s="138"/>
      <c r="K2517" s="114"/>
      <c r="L2517" s="37"/>
      <c r="M2517" s="37"/>
      <c r="N2517" s="37"/>
      <c r="O2517" s="132"/>
      <c r="P2517" s="134"/>
      <c r="Q2517" s="261"/>
      <c r="R2517" s="94"/>
    </row>
    <row r="2518" spans="3:18" x14ac:dyDescent="0.25">
      <c r="C2518" s="279"/>
      <c r="D2518" s="159"/>
      <c r="E2518" s="45"/>
      <c r="F2518" s="148"/>
      <c r="G2518" s="1"/>
      <c r="H2518" s="163"/>
      <c r="I2518" s="37"/>
      <c r="J2518" s="138"/>
      <c r="K2518" s="114"/>
      <c r="L2518" s="37"/>
      <c r="M2518" s="37"/>
      <c r="N2518" s="37"/>
      <c r="O2518" s="132"/>
      <c r="P2518" s="134"/>
      <c r="Q2518" s="261"/>
      <c r="R2518" s="94"/>
    </row>
    <row r="2519" spans="3:18" x14ac:dyDescent="0.25">
      <c r="C2519" s="279"/>
      <c r="D2519" s="159"/>
      <c r="E2519" s="45"/>
      <c r="F2519" s="148"/>
      <c r="G2519" s="1"/>
      <c r="H2519" s="163"/>
      <c r="I2519" s="37"/>
      <c r="J2519" s="138"/>
      <c r="K2519" s="114"/>
      <c r="L2519" s="37"/>
      <c r="M2519" s="37"/>
      <c r="N2519" s="37"/>
      <c r="O2519" s="132"/>
      <c r="P2519" s="134"/>
      <c r="Q2519" s="261"/>
      <c r="R2519" s="94"/>
    </row>
    <row r="2520" spans="3:18" x14ac:dyDescent="0.25">
      <c r="C2520" s="279"/>
      <c r="D2520" s="159"/>
      <c r="E2520" s="45"/>
      <c r="F2520" s="148"/>
      <c r="G2520" s="1"/>
      <c r="H2520" s="163"/>
      <c r="I2520" s="37"/>
      <c r="J2520" s="138"/>
      <c r="K2520" s="114"/>
      <c r="L2520" s="37"/>
      <c r="M2520" s="37"/>
      <c r="N2520" s="37"/>
      <c r="O2520" s="132"/>
      <c r="P2520" s="134"/>
      <c r="Q2520" s="261"/>
      <c r="R2520" s="94"/>
    </row>
    <row r="2521" spans="3:18" x14ac:dyDescent="0.25">
      <c r="C2521" s="279"/>
      <c r="D2521" s="159"/>
      <c r="E2521" s="45"/>
      <c r="F2521" s="148"/>
      <c r="G2521" s="1"/>
      <c r="H2521" s="163"/>
      <c r="I2521" s="37"/>
      <c r="J2521" s="138"/>
      <c r="K2521" s="114"/>
      <c r="L2521" s="37"/>
      <c r="M2521" s="37"/>
      <c r="N2521" s="37"/>
      <c r="O2521" s="132"/>
      <c r="P2521" s="134"/>
      <c r="Q2521" s="261"/>
      <c r="R2521" s="94"/>
    </row>
    <row r="2522" spans="3:18" x14ac:dyDescent="0.25">
      <c r="C2522" s="279"/>
      <c r="D2522" s="159"/>
      <c r="E2522" s="45"/>
      <c r="F2522" s="148"/>
      <c r="G2522" s="1"/>
      <c r="H2522" s="163"/>
      <c r="I2522" s="37"/>
      <c r="J2522" s="138"/>
      <c r="K2522" s="114"/>
      <c r="L2522" s="37"/>
      <c r="M2522" s="37"/>
      <c r="N2522" s="37"/>
      <c r="O2522" s="132"/>
      <c r="P2522" s="134"/>
      <c r="Q2522" s="261"/>
      <c r="R2522" s="94"/>
    </row>
    <row r="2523" spans="3:18" x14ac:dyDescent="0.25">
      <c r="C2523" s="279"/>
      <c r="D2523" s="159"/>
      <c r="E2523" s="45"/>
      <c r="F2523" s="148"/>
      <c r="G2523" s="1"/>
      <c r="H2523" s="163"/>
      <c r="I2523" s="37"/>
      <c r="J2523" s="138"/>
      <c r="K2523" s="114"/>
      <c r="L2523" s="37"/>
      <c r="M2523" s="37"/>
      <c r="N2523" s="37"/>
      <c r="O2523" s="132"/>
      <c r="P2523" s="134"/>
      <c r="Q2523" s="261"/>
      <c r="R2523" s="94"/>
    </row>
    <row r="2524" spans="3:18" x14ac:dyDescent="0.25">
      <c r="C2524" s="279"/>
      <c r="D2524" s="159"/>
      <c r="E2524" s="45"/>
      <c r="F2524" s="148"/>
      <c r="G2524" s="1"/>
      <c r="H2524" s="163"/>
      <c r="I2524" s="37"/>
      <c r="J2524" s="138"/>
      <c r="K2524" s="114"/>
      <c r="L2524" s="37"/>
      <c r="M2524" s="37"/>
      <c r="N2524" s="37"/>
      <c r="O2524" s="132"/>
      <c r="P2524" s="134"/>
      <c r="Q2524" s="261"/>
      <c r="R2524" s="94"/>
    </row>
    <row r="2525" spans="3:18" x14ac:dyDescent="0.25">
      <c r="C2525" s="279"/>
      <c r="D2525" s="159"/>
      <c r="E2525" s="45"/>
      <c r="F2525" s="148"/>
      <c r="G2525" s="1"/>
      <c r="H2525" s="163"/>
      <c r="I2525" s="37"/>
      <c r="J2525" s="138"/>
      <c r="K2525" s="114"/>
      <c r="L2525" s="37"/>
      <c r="M2525" s="37"/>
      <c r="N2525" s="37"/>
      <c r="O2525" s="132"/>
      <c r="P2525" s="134"/>
      <c r="Q2525" s="261"/>
      <c r="R2525" s="94"/>
    </row>
    <row r="2526" spans="3:18" x14ac:dyDescent="0.25">
      <c r="C2526" s="279"/>
      <c r="D2526" s="159"/>
      <c r="E2526" s="45"/>
      <c r="F2526" s="148"/>
      <c r="G2526" s="1"/>
      <c r="H2526" s="163"/>
      <c r="I2526" s="37"/>
      <c r="J2526" s="138"/>
      <c r="K2526" s="114"/>
      <c r="L2526" s="37"/>
      <c r="M2526" s="37"/>
      <c r="N2526" s="37"/>
      <c r="O2526" s="132"/>
      <c r="P2526" s="134"/>
      <c r="Q2526" s="261"/>
      <c r="R2526" s="94"/>
    </row>
    <row r="2527" spans="3:18" x14ac:dyDescent="0.25">
      <c r="C2527" s="279"/>
      <c r="D2527" s="159"/>
      <c r="E2527" s="45"/>
      <c r="F2527" s="148"/>
      <c r="G2527" s="1"/>
      <c r="H2527" s="163"/>
      <c r="I2527" s="37"/>
      <c r="J2527" s="138"/>
      <c r="K2527" s="114"/>
      <c r="L2527" s="37"/>
      <c r="M2527" s="37"/>
      <c r="N2527" s="37"/>
      <c r="O2527" s="132"/>
      <c r="P2527" s="134"/>
      <c r="Q2527" s="261"/>
      <c r="R2527" s="94"/>
    </row>
    <row r="2528" spans="3:18" x14ac:dyDescent="0.25">
      <c r="C2528" s="279"/>
      <c r="D2528" s="159"/>
      <c r="E2528" s="45"/>
      <c r="F2528" s="148"/>
      <c r="G2528" s="1"/>
      <c r="H2528" s="163"/>
      <c r="I2528" s="37"/>
      <c r="J2528" s="138"/>
      <c r="K2528" s="114"/>
      <c r="L2528" s="37"/>
      <c r="M2528" s="37"/>
      <c r="N2528" s="37"/>
      <c r="O2528" s="132"/>
      <c r="P2528" s="134"/>
      <c r="Q2528" s="261"/>
      <c r="R2528" s="94"/>
    </row>
    <row r="2529" spans="3:18" x14ac:dyDescent="0.25">
      <c r="C2529" s="279"/>
      <c r="D2529" s="159"/>
      <c r="E2529" s="45"/>
      <c r="F2529" s="148"/>
      <c r="G2529" s="1"/>
      <c r="H2529" s="163"/>
      <c r="I2529" s="37"/>
      <c r="J2529" s="138"/>
      <c r="K2529" s="114"/>
      <c r="L2529" s="37"/>
      <c r="M2529" s="37"/>
      <c r="N2529" s="37"/>
      <c r="O2529" s="132"/>
      <c r="P2529" s="134"/>
      <c r="Q2529" s="261"/>
      <c r="R2529" s="94"/>
    </row>
    <row r="2530" spans="3:18" x14ac:dyDescent="0.25">
      <c r="C2530" s="279"/>
      <c r="D2530" s="159"/>
      <c r="E2530" s="45"/>
      <c r="F2530" s="148"/>
      <c r="G2530" s="1"/>
      <c r="H2530" s="163"/>
      <c r="I2530" s="37"/>
      <c r="J2530" s="138"/>
      <c r="K2530" s="114"/>
      <c r="L2530" s="37"/>
      <c r="M2530" s="37"/>
      <c r="N2530" s="37"/>
      <c r="O2530" s="132"/>
      <c r="P2530" s="134"/>
      <c r="Q2530" s="261"/>
      <c r="R2530" s="94"/>
    </row>
    <row r="2531" spans="3:18" x14ac:dyDescent="0.25">
      <c r="C2531" s="279"/>
      <c r="D2531" s="159"/>
      <c r="E2531" s="45"/>
      <c r="F2531" s="148"/>
      <c r="G2531" s="1"/>
      <c r="H2531" s="163"/>
      <c r="I2531" s="37"/>
      <c r="J2531" s="138"/>
      <c r="K2531" s="114"/>
      <c r="L2531" s="37"/>
      <c r="M2531" s="37"/>
      <c r="N2531" s="37"/>
      <c r="O2531" s="132"/>
      <c r="P2531" s="134"/>
      <c r="Q2531" s="261"/>
      <c r="R2531" s="94"/>
    </row>
    <row r="2532" spans="3:18" x14ac:dyDescent="0.25">
      <c r="C2532" s="279"/>
      <c r="D2532" s="159"/>
      <c r="E2532" s="45"/>
      <c r="F2532" s="148"/>
      <c r="G2532" s="1"/>
      <c r="H2532" s="163"/>
      <c r="I2532" s="37"/>
      <c r="J2532" s="138"/>
      <c r="K2532" s="114"/>
      <c r="L2532" s="37"/>
      <c r="M2532" s="37"/>
      <c r="N2532" s="37"/>
      <c r="O2532" s="132"/>
      <c r="P2532" s="134"/>
      <c r="Q2532" s="261"/>
      <c r="R2532" s="94"/>
    </row>
    <row r="2533" spans="3:18" x14ac:dyDescent="0.25">
      <c r="C2533" s="279"/>
      <c r="D2533" s="159"/>
      <c r="E2533" s="45"/>
      <c r="F2533" s="148"/>
      <c r="G2533" s="1"/>
      <c r="H2533" s="163"/>
      <c r="I2533" s="37"/>
      <c r="J2533" s="138"/>
      <c r="K2533" s="114"/>
      <c r="L2533" s="37"/>
      <c r="M2533" s="37"/>
      <c r="N2533" s="37"/>
      <c r="O2533" s="132"/>
      <c r="P2533" s="134"/>
      <c r="Q2533" s="261"/>
      <c r="R2533" s="94"/>
    </row>
    <row r="2534" spans="3:18" x14ac:dyDescent="0.25">
      <c r="C2534" s="279"/>
      <c r="D2534" s="159"/>
      <c r="E2534" s="45"/>
      <c r="F2534" s="148"/>
      <c r="G2534" s="1"/>
      <c r="H2534" s="163"/>
      <c r="I2534" s="37"/>
      <c r="J2534" s="138"/>
      <c r="K2534" s="114"/>
      <c r="L2534" s="37"/>
      <c r="M2534" s="37"/>
      <c r="N2534" s="37"/>
      <c r="O2534" s="132"/>
      <c r="P2534" s="134"/>
      <c r="Q2534" s="261"/>
      <c r="R2534" s="94"/>
    </row>
    <row r="2535" spans="3:18" x14ac:dyDescent="0.25">
      <c r="C2535" s="279"/>
      <c r="D2535" s="159"/>
      <c r="E2535" s="45"/>
      <c r="F2535" s="148"/>
      <c r="G2535" s="1"/>
      <c r="H2535" s="163"/>
      <c r="I2535" s="37"/>
      <c r="J2535" s="138"/>
      <c r="K2535" s="114"/>
      <c r="L2535" s="37"/>
      <c r="M2535" s="37"/>
      <c r="N2535" s="37"/>
      <c r="O2535" s="132"/>
      <c r="P2535" s="134"/>
      <c r="Q2535" s="261"/>
      <c r="R2535" s="94"/>
    </row>
    <row r="2536" spans="3:18" x14ac:dyDescent="0.25">
      <c r="C2536" s="279"/>
      <c r="D2536" s="159"/>
      <c r="E2536" s="45"/>
      <c r="F2536" s="148"/>
      <c r="G2536" s="1"/>
      <c r="H2536" s="163"/>
      <c r="I2536" s="37"/>
      <c r="J2536" s="138"/>
      <c r="K2536" s="114"/>
      <c r="L2536" s="37"/>
      <c r="M2536" s="37"/>
      <c r="N2536" s="37"/>
      <c r="O2536" s="132"/>
      <c r="P2536" s="134"/>
      <c r="Q2536" s="261"/>
      <c r="R2536" s="94"/>
    </row>
    <row r="2537" spans="3:18" x14ac:dyDescent="0.25">
      <c r="C2537" s="279"/>
      <c r="D2537" s="159"/>
      <c r="E2537" s="45"/>
      <c r="F2537" s="148"/>
      <c r="G2537" s="1"/>
      <c r="H2537" s="163"/>
      <c r="I2537" s="37"/>
      <c r="J2537" s="138"/>
      <c r="K2537" s="114"/>
      <c r="L2537" s="37"/>
      <c r="M2537" s="37"/>
      <c r="N2537" s="37"/>
      <c r="O2537" s="132"/>
      <c r="P2537" s="134"/>
      <c r="Q2537" s="261"/>
      <c r="R2537" s="94"/>
    </row>
    <row r="2538" spans="3:18" x14ac:dyDescent="0.25">
      <c r="C2538" s="279"/>
      <c r="D2538" s="159"/>
      <c r="E2538" s="45"/>
      <c r="F2538" s="148"/>
      <c r="G2538" s="1"/>
      <c r="H2538" s="163"/>
      <c r="I2538" s="37"/>
      <c r="J2538" s="138"/>
      <c r="K2538" s="114"/>
      <c r="L2538" s="37"/>
      <c r="M2538" s="37"/>
      <c r="N2538" s="37"/>
      <c r="O2538" s="132"/>
      <c r="P2538" s="134"/>
      <c r="Q2538" s="261"/>
      <c r="R2538" s="94"/>
    </row>
    <row r="2539" spans="3:18" x14ac:dyDescent="0.25">
      <c r="C2539" s="279"/>
      <c r="D2539" s="159"/>
      <c r="E2539" s="45"/>
      <c r="F2539" s="148"/>
      <c r="G2539" s="1"/>
      <c r="H2539" s="163"/>
      <c r="I2539" s="37"/>
      <c r="J2539" s="138"/>
      <c r="K2539" s="114"/>
      <c r="L2539" s="37"/>
      <c r="M2539" s="37"/>
      <c r="N2539" s="37"/>
      <c r="O2539" s="132"/>
      <c r="P2539" s="134"/>
      <c r="Q2539" s="261"/>
      <c r="R2539" s="94"/>
    </row>
    <row r="2540" spans="3:18" x14ac:dyDescent="0.25">
      <c r="C2540" s="279"/>
      <c r="D2540" s="159"/>
      <c r="E2540" s="45"/>
      <c r="F2540" s="148"/>
      <c r="G2540" s="1"/>
      <c r="H2540" s="163"/>
      <c r="I2540" s="37"/>
      <c r="J2540" s="138"/>
      <c r="K2540" s="114"/>
      <c r="L2540" s="37"/>
      <c r="M2540" s="37"/>
      <c r="N2540" s="37"/>
      <c r="O2540" s="132"/>
      <c r="P2540" s="134"/>
      <c r="Q2540" s="261"/>
      <c r="R2540" s="94"/>
    </row>
    <row r="2541" spans="3:18" x14ac:dyDescent="0.25">
      <c r="C2541" s="279"/>
      <c r="D2541" s="159"/>
      <c r="E2541" s="45"/>
      <c r="F2541" s="148"/>
      <c r="G2541" s="1"/>
      <c r="H2541" s="163"/>
      <c r="I2541" s="37"/>
      <c r="J2541" s="138"/>
      <c r="K2541" s="114"/>
      <c r="L2541" s="37"/>
      <c r="M2541" s="37"/>
      <c r="N2541" s="37"/>
      <c r="O2541" s="132"/>
      <c r="P2541" s="134"/>
      <c r="Q2541" s="261"/>
      <c r="R2541" s="94"/>
    </row>
    <row r="2542" spans="3:18" x14ac:dyDescent="0.25">
      <c r="C2542" s="279"/>
      <c r="D2542" s="159"/>
      <c r="E2542" s="45"/>
      <c r="F2542" s="148"/>
      <c r="G2542" s="1"/>
      <c r="H2542" s="163"/>
      <c r="I2542" s="37"/>
      <c r="J2542" s="138"/>
      <c r="K2542" s="114"/>
      <c r="L2542" s="37"/>
      <c r="M2542" s="37"/>
      <c r="N2542" s="37"/>
      <c r="O2542" s="132"/>
      <c r="P2542" s="134"/>
      <c r="Q2542" s="261"/>
      <c r="R2542" s="94"/>
    </row>
    <row r="2543" spans="3:18" x14ac:dyDescent="0.25">
      <c r="C2543" s="279"/>
      <c r="D2543" s="159"/>
      <c r="E2543" s="45"/>
      <c r="F2543" s="148"/>
      <c r="G2543" s="1"/>
      <c r="H2543" s="163"/>
      <c r="I2543" s="37"/>
      <c r="J2543" s="138"/>
      <c r="K2543" s="114"/>
      <c r="L2543" s="37"/>
      <c r="M2543" s="37"/>
      <c r="N2543" s="37"/>
      <c r="O2543" s="132"/>
      <c r="P2543" s="134"/>
      <c r="Q2543" s="261"/>
      <c r="R2543" s="94"/>
    </row>
    <row r="2544" spans="3:18" x14ac:dyDescent="0.25">
      <c r="C2544" s="279"/>
      <c r="D2544" s="159"/>
      <c r="E2544" s="45"/>
      <c r="F2544" s="148"/>
      <c r="G2544" s="1"/>
      <c r="H2544" s="163"/>
      <c r="I2544" s="37"/>
      <c r="J2544" s="138"/>
      <c r="K2544" s="114"/>
      <c r="L2544" s="37"/>
      <c r="M2544" s="37"/>
      <c r="N2544" s="37"/>
      <c r="O2544" s="132"/>
      <c r="P2544" s="134"/>
      <c r="Q2544" s="261"/>
      <c r="R2544" s="94"/>
    </row>
    <row r="2545" spans="3:18" x14ac:dyDescent="0.25">
      <c r="C2545" s="279"/>
      <c r="D2545" s="159"/>
      <c r="E2545" s="45"/>
      <c r="F2545" s="148"/>
      <c r="G2545" s="1"/>
      <c r="H2545" s="163"/>
      <c r="I2545" s="37"/>
      <c r="J2545" s="138"/>
      <c r="K2545" s="114"/>
      <c r="L2545" s="37"/>
      <c r="M2545" s="37"/>
      <c r="N2545" s="37"/>
      <c r="O2545" s="132"/>
      <c r="P2545" s="134"/>
      <c r="Q2545" s="261"/>
      <c r="R2545" s="94"/>
    </row>
    <row r="2546" spans="3:18" x14ac:dyDescent="0.25">
      <c r="C2546" s="279"/>
      <c r="D2546" s="159"/>
      <c r="E2546" s="45"/>
      <c r="F2546" s="148"/>
      <c r="G2546" s="1"/>
      <c r="H2546" s="163"/>
      <c r="I2546" s="37"/>
      <c r="J2546" s="138"/>
      <c r="K2546" s="114"/>
      <c r="L2546" s="37"/>
      <c r="M2546" s="37"/>
      <c r="N2546" s="37"/>
      <c r="O2546" s="132"/>
      <c r="P2546" s="134"/>
      <c r="Q2546" s="261"/>
      <c r="R2546" s="94"/>
    </row>
    <row r="2547" spans="3:18" x14ac:dyDescent="0.25">
      <c r="C2547" s="279"/>
      <c r="D2547" s="159"/>
      <c r="E2547" s="45"/>
      <c r="F2547" s="148"/>
      <c r="G2547" s="1"/>
      <c r="H2547" s="163"/>
      <c r="I2547" s="37"/>
      <c r="J2547" s="138"/>
      <c r="K2547" s="114"/>
      <c r="L2547" s="37"/>
      <c r="M2547" s="37"/>
      <c r="N2547" s="37"/>
      <c r="O2547" s="132"/>
      <c r="P2547" s="134"/>
      <c r="Q2547" s="261"/>
      <c r="R2547" s="94"/>
    </row>
    <row r="2548" spans="3:18" x14ac:dyDescent="0.25">
      <c r="C2548" s="279"/>
      <c r="D2548" s="159"/>
      <c r="E2548" s="45"/>
      <c r="F2548" s="148"/>
      <c r="G2548" s="1"/>
      <c r="H2548" s="163"/>
      <c r="I2548" s="37"/>
      <c r="J2548" s="138"/>
      <c r="K2548" s="114"/>
      <c r="L2548" s="37"/>
      <c r="M2548" s="37"/>
      <c r="N2548" s="37"/>
      <c r="O2548" s="132"/>
      <c r="P2548" s="134"/>
      <c r="Q2548" s="261"/>
      <c r="R2548" s="94"/>
    </row>
    <row r="2549" spans="3:18" x14ac:dyDescent="0.25">
      <c r="C2549" s="279"/>
      <c r="D2549" s="159"/>
      <c r="E2549" s="45"/>
      <c r="F2549" s="148"/>
      <c r="G2549" s="1"/>
      <c r="H2549" s="163"/>
      <c r="I2549" s="37"/>
      <c r="J2549" s="138"/>
      <c r="K2549" s="114"/>
      <c r="L2549" s="37"/>
      <c r="M2549" s="37"/>
      <c r="N2549" s="37"/>
      <c r="O2549" s="132"/>
      <c r="P2549" s="134"/>
      <c r="Q2549" s="261"/>
      <c r="R2549" s="94"/>
    </row>
    <row r="2550" spans="3:18" x14ac:dyDescent="0.25">
      <c r="C2550" s="279"/>
      <c r="D2550" s="159"/>
      <c r="E2550" s="45"/>
      <c r="F2550" s="148"/>
      <c r="G2550" s="1"/>
      <c r="H2550" s="163"/>
      <c r="I2550" s="37"/>
      <c r="J2550" s="138"/>
      <c r="K2550" s="114"/>
      <c r="L2550" s="37"/>
      <c r="M2550" s="37"/>
      <c r="N2550" s="37"/>
      <c r="O2550" s="132"/>
      <c r="P2550" s="134"/>
      <c r="Q2550" s="261"/>
      <c r="R2550" s="94"/>
    </row>
    <row r="2551" spans="3:18" x14ac:dyDescent="0.25">
      <c r="C2551" s="279"/>
      <c r="D2551" s="159"/>
      <c r="E2551" s="45"/>
      <c r="F2551" s="148"/>
      <c r="G2551" s="1"/>
      <c r="H2551" s="163"/>
      <c r="I2551" s="37"/>
      <c r="J2551" s="138"/>
      <c r="K2551" s="114"/>
      <c r="L2551" s="37"/>
      <c r="M2551" s="37"/>
      <c r="N2551" s="37"/>
      <c r="O2551" s="132"/>
      <c r="P2551" s="134"/>
      <c r="Q2551" s="261"/>
      <c r="R2551" s="94"/>
    </row>
    <row r="2552" spans="3:18" x14ac:dyDescent="0.25">
      <c r="C2552" s="279"/>
      <c r="D2552" s="159"/>
      <c r="E2552" s="45"/>
      <c r="F2552" s="148"/>
      <c r="G2552" s="1"/>
      <c r="H2552" s="163"/>
      <c r="I2552" s="37"/>
      <c r="J2552" s="138"/>
      <c r="K2552" s="114"/>
      <c r="L2552" s="37"/>
      <c r="M2552" s="37"/>
      <c r="N2552" s="37"/>
      <c r="O2552" s="132"/>
      <c r="P2552" s="134"/>
      <c r="Q2552" s="261"/>
      <c r="R2552" s="94"/>
    </row>
    <row r="2553" spans="3:18" x14ac:dyDescent="0.25">
      <c r="C2553" s="279"/>
      <c r="D2553" s="159"/>
      <c r="E2553" s="45"/>
      <c r="F2553" s="148"/>
      <c r="G2553" s="1"/>
      <c r="H2553" s="163"/>
      <c r="I2553" s="37"/>
      <c r="J2553" s="138"/>
      <c r="K2553" s="114"/>
      <c r="L2553" s="37"/>
      <c r="M2553" s="37"/>
      <c r="N2553" s="37"/>
      <c r="O2553" s="132"/>
      <c r="P2553" s="134"/>
      <c r="Q2553" s="261"/>
      <c r="R2553" s="94"/>
    </row>
    <row r="2554" spans="3:18" x14ac:dyDescent="0.25">
      <c r="C2554" s="279"/>
      <c r="D2554" s="159"/>
      <c r="E2554" s="45"/>
      <c r="F2554" s="148"/>
      <c r="G2554" s="1"/>
      <c r="H2554" s="163"/>
      <c r="I2554" s="37"/>
      <c r="J2554" s="138"/>
      <c r="K2554" s="114"/>
      <c r="L2554" s="37"/>
      <c r="M2554" s="37"/>
      <c r="N2554" s="37"/>
      <c r="O2554" s="132"/>
      <c r="P2554" s="134"/>
      <c r="Q2554" s="261"/>
      <c r="R2554" s="94"/>
    </row>
    <row r="2555" spans="3:18" x14ac:dyDescent="0.25">
      <c r="C2555" s="279"/>
      <c r="D2555" s="159"/>
      <c r="E2555" s="45"/>
      <c r="F2555" s="148"/>
      <c r="G2555" s="1"/>
      <c r="H2555" s="163"/>
      <c r="I2555" s="37"/>
      <c r="J2555" s="138"/>
      <c r="K2555" s="114"/>
      <c r="L2555" s="37"/>
      <c r="M2555" s="37"/>
      <c r="N2555" s="37"/>
      <c r="O2555" s="132"/>
      <c r="P2555" s="134"/>
      <c r="Q2555" s="261"/>
      <c r="R2555" s="94"/>
    </row>
    <row r="2556" spans="3:18" x14ac:dyDescent="0.25">
      <c r="C2556" s="279"/>
      <c r="D2556" s="159"/>
      <c r="E2556" s="45"/>
      <c r="F2556" s="148"/>
      <c r="G2556" s="1"/>
      <c r="H2556" s="163"/>
      <c r="I2556" s="37"/>
      <c r="J2556" s="138"/>
      <c r="K2556" s="114"/>
      <c r="L2556" s="37"/>
      <c r="M2556" s="37"/>
      <c r="N2556" s="37"/>
      <c r="O2556" s="132"/>
      <c r="P2556" s="134"/>
      <c r="Q2556" s="261"/>
      <c r="R2556" s="94"/>
    </row>
    <row r="2557" spans="3:18" x14ac:dyDescent="0.25">
      <c r="C2557" s="279"/>
      <c r="D2557" s="159"/>
      <c r="E2557" s="45"/>
      <c r="F2557" s="148"/>
      <c r="G2557" s="1"/>
      <c r="H2557" s="163"/>
      <c r="I2557" s="37"/>
      <c r="J2557" s="138"/>
      <c r="K2557" s="114"/>
      <c r="L2557" s="37"/>
      <c r="M2557" s="37"/>
      <c r="N2557" s="37"/>
      <c r="O2557" s="132"/>
      <c r="P2557" s="134"/>
      <c r="Q2557" s="261"/>
      <c r="R2557" s="94"/>
    </row>
    <row r="2558" spans="3:18" x14ac:dyDescent="0.25">
      <c r="C2558" s="279"/>
      <c r="D2558" s="159"/>
      <c r="E2558" s="45"/>
      <c r="F2558" s="148"/>
      <c r="G2558" s="1"/>
      <c r="H2558" s="163"/>
      <c r="I2558" s="37"/>
      <c r="J2558" s="138"/>
      <c r="K2558" s="114"/>
      <c r="L2558" s="37"/>
      <c r="M2558" s="37"/>
      <c r="N2558" s="37"/>
      <c r="O2558" s="132"/>
      <c r="P2558" s="134"/>
      <c r="Q2558" s="261"/>
      <c r="R2558" s="94"/>
    </row>
    <row r="2559" spans="3:18" x14ac:dyDescent="0.25">
      <c r="C2559" s="279"/>
      <c r="D2559" s="159"/>
      <c r="E2559" s="45"/>
      <c r="F2559" s="148"/>
      <c r="G2559" s="1"/>
      <c r="H2559" s="163"/>
      <c r="I2559" s="37"/>
      <c r="J2559" s="138"/>
      <c r="K2559" s="114"/>
      <c r="L2559" s="37"/>
      <c r="M2559" s="37"/>
      <c r="N2559" s="37"/>
      <c r="O2559" s="132"/>
      <c r="P2559" s="134"/>
      <c r="Q2559" s="261"/>
      <c r="R2559" s="94"/>
    </row>
    <row r="2560" spans="3:18" x14ac:dyDescent="0.25">
      <c r="C2560" s="279"/>
      <c r="D2560" s="159"/>
      <c r="E2560" s="45"/>
      <c r="F2560" s="148"/>
      <c r="G2560" s="1"/>
      <c r="H2560" s="163"/>
      <c r="I2560" s="37"/>
      <c r="J2560" s="138"/>
      <c r="K2560" s="114"/>
      <c r="L2560" s="37"/>
      <c r="M2560" s="37"/>
      <c r="N2560" s="37"/>
      <c r="O2560" s="132"/>
      <c r="P2560" s="134"/>
      <c r="Q2560" s="261"/>
      <c r="R2560" s="94"/>
    </row>
    <row r="2561" spans="3:18" x14ac:dyDescent="0.25">
      <c r="C2561" s="279"/>
      <c r="D2561" s="159"/>
      <c r="E2561" s="45"/>
      <c r="F2561" s="148"/>
      <c r="G2561" s="1"/>
      <c r="H2561" s="163"/>
      <c r="I2561" s="37"/>
      <c r="J2561" s="138"/>
      <c r="K2561" s="114"/>
      <c r="L2561" s="37"/>
      <c r="M2561" s="37"/>
      <c r="N2561" s="37"/>
      <c r="O2561" s="132"/>
      <c r="P2561" s="134"/>
      <c r="Q2561" s="261"/>
      <c r="R2561" s="94"/>
    </row>
    <row r="2562" spans="3:18" x14ac:dyDescent="0.25">
      <c r="C2562" s="279"/>
      <c r="D2562" s="159"/>
      <c r="E2562" s="45"/>
      <c r="F2562" s="148"/>
      <c r="G2562" s="1"/>
      <c r="H2562" s="163"/>
      <c r="I2562" s="37"/>
      <c r="J2562" s="138"/>
      <c r="K2562" s="114"/>
      <c r="L2562" s="37"/>
      <c r="M2562" s="37"/>
      <c r="N2562" s="37"/>
      <c r="O2562" s="132"/>
      <c r="P2562" s="134"/>
      <c r="Q2562" s="261"/>
      <c r="R2562" s="94"/>
    </row>
    <row r="2563" spans="3:18" x14ac:dyDescent="0.25">
      <c r="C2563" s="279"/>
      <c r="D2563" s="159"/>
      <c r="E2563" s="45"/>
      <c r="F2563" s="148"/>
      <c r="G2563" s="1"/>
      <c r="H2563" s="163"/>
      <c r="I2563" s="37"/>
      <c r="J2563" s="138"/>
      <c r="K2563" s="114"/>
      <c r="L2563" s="37"/>
      <c r="M2563" s="37"/>
      <c r="N2563" s="37"/>
      <c r="O2563" s="132"/>
      <c r="P2563" s="134"/>
      <c r="Q2563" s="261"/>
      <c r="R2563" s="94"/>
    </row>
    <row r="2564" spans="3:18" x14ac:dyDescent="0.25">
      <c r="C2564" s="279"/>
      <c r="D2564" s="159"/>
      <c r="E2564" s="45"/>
      <c r="F2564" s="148"/>
      <c r="G2564" s="1"/>
      <c r="H2564" s="163"/>
      <c r="I2564" s="37"/>
      <c r="J2564" s="138"/>
      <c r="K2564" s="114"/>
      <c r="L2564" s="37"/>
      <c r="M2564" s="37"/>
      <c r="N2564" s="37"/>
      <c r="O2564" s="132"/>
      <c r="P2564" s="134"/>
      <c r="Q2564" s="261"/>
      <c r="R2564" s="94"/>
    </row>
    <row r="2565" spans="3:18" x14ac:dyDescent="0.25">
      <c r="C2565" s="279"/>
      <c r="D2565" s="159"/>
      <c r="E2565" s="45"/>
      <c r="F2565" s="148"/>
      <c r="G2565" s="1"/>
      <c r="H2565" s="163"/>
      <c r="I2565" s="37"/>
      <c r="J2565" s="138"/>
      <c r="K2565" s="114"/>
      <c r="L2565" s="37"/>
      <c r="M2565" s="37"/>
      <c r="N2565" s="37"/>
      <c r="O2565" s="132"/>
      <c r="P2565" s="134"/>
      <c r="Q2565" s="261"/>
      <c r="R2565" s="94"/>
    </row>
    <row r="2566" spans="3:18" x14ac:dyDescent="0.25">
      <c r="C2566" s="279"/>
      <c r="D2566" s="159"/>
      <c r="E2566" s="45"/>
      <c r="F2566" s="148"/>
      <c r="G2566" s="1"/>
      <c r="H2566" s="163"/>
      <c r="I2566" s="37"/>
      <c r="J2566" s="138"/>
      <c r="K2566" s="114"/>
      <c r="L2566" s="37"/>
      <c r="M2566" s="37"/>
      <c r="N2566" s="37"/>
      <c r="O2566" s="132"/>
      <c r="P2566" s="134"/>
      <c r="Q2566" s="261"/>
      <c r="R2566" s="94"/>
    </row>
    <row r="2567" spans="3:18" x14ac:dyDescent="0.25">
      <c r="C2567" s="279"/>
      <c r="D2567" s="159"/>
      <c r="E2567" s="45"/>
      <c r="F2567" s="148"/>
      <c r="G2567" s="1"/>
      <c r="H2567" s="163"/>
      <c r="I2567" s="37"/>
      <c r="J2567" s="138"/>
      <c r="K2567" s="114"/>
      <c r="L2567" s="37"/>
      <c r="M2567" s="37"/>
      <c r="N2567" s="37"/>
      <c r="O2567" s="132"/>
      <c r="P2567" s="134"/>
      <c r="Q2567" s="261"/>
      <c r="R2567" s="94"/>
    </row>
    <row r="2568" spans="3:18" x14ac:dyDescent="0.25">
      <c r="C2568" s="279"/>
      <c r="D2568" s="159"/>
      <c r="E2568" s="45"/>
      <c r="F2568" s="148"/>
      <c r="G2568" s="1"/>
      <c r="H2568" s="163"/>
      <c r="I2568" s="37"/>
      <c r="J2568" s="138"/>
      <c r="K2568" s="114"/>
      <c r="L2568" s="37"/>
      <c r="M2568" s="37"/>
      <c r="N2568" s="37"/>
      <c r="O2568" s="132"/>
      <c r="P2568" s="134"/>
      <c r="Q2568" s="261"/>
      <c r="R2568" s="94"/>
    </row>
    <row r="2569" spans="3:18" x14ac:dyDescent="0.25">
      <c r="C2569" s="279"/>
      <c r="D2569" s="159"/>
      <c r="E2569" s="45"/>
      <c r="F2569" s="148"/>
      <c r="G2569" s="1"/>
      <c r="H2569" s="163"/>
      <c r="I2569" s="37"/>
      <c r="J2569" s="138"/>
      <c r="K2569" s="114"/>
      <c r="L2569" s="37"/>
      <c r="M2569" s="37"/>
      <c r="N2569" s="37"/>
      <c r="O2569" s="132"/>
      <c r="P2569" s="134"/>
      <c r="Q2569" s="261"/>
      <c r="R2569" s="94"/>
    </row>
    <row r="2570" spans="3:18" x14ac:dyDescent="0.25">
      <c r="C2570" s="279"/>
      <c r="D2570" s="159"/>
      <c r="E2570" s="45"/>
      <c r="F2570" s="148"/>
      <c r="G2570" s="1"/>
      <c r="H2570" s="163"/>
      <c r="I2570" s="37"/>
      <c r="J2570" s="138"/>
      <c r="K2570" s="114"/>
      <c r="L2570" s="37"/>
      <c r="M2570" s="37"/>
      <c r="N2570" s="37"/>
      <c r="O2570" s="132"/>
      <c r="P2570" s="134"/>
      <c r="Q2570" s="261"/>
      <c r="R2570" s="94"/>
    </row>
    <row r="2571" spans="3:18" x14ac:dyDescent="0.25">
      <c r="C2571" s="279"/>
      <c r="D2571" s="159"/>
      <c r="E2571" s="45"/>
      <c r="F2571" s="148"/>
      <c r="G2571" s="1"/>
      <c r="H2571" s="163"/>
      <c r="I2571" s="37"/>
      <c r="J2571" s="138"/>
      <c r="K2571" s="114"/>
      <c r="L2571" s="37"/>
      <c r="M2571" s="37"/>
      <c r="N2571" s="37"/>
      <c r="O2571" s="132"/>
      <c r="P2571" s="134"/>
      <c r="Q2571" s="261"/>
      <c r="R2571" s="94"/>
    </row>
    <row r="2572" spans="3:18" x14ac:dyDescent="0.25">
      <c r="C2572" s="279"/>
      <c r="D2572" s="159"/>
      <c r="E2572" s="45"/>
      <c r="F2572" s="148"/>
      <c r="G2572" s="1"/>
      <c r="H2572" s="163"/>
      <c r="I2572" s="37"/>
      <c r="J2572" s="138"/>
      <c r="K2572" s="114"/>
      <c r="L2572" s="37"/>
      <c r="M2572" s="37"/>
      <c r="N2572" s="37"/>
      <c r="O2572" s="132"/>
      <c r="P2572" s="134"/>
      <c r="Q2572" s="261"/>
      <c r="R2572" s="94"/>
    </row>
    <row r="2573" spans="3:18" x14ac:dyDescent="0.25">
      <c r="C2573" s="279"/>
      <c r="D2573" s="159"/>
      <c r="E2573" s="45"/>
      <c r="F2573" s="148"/>
      <c r="G2573" s="1"/>
      <c r="H2573" s="163"/>
      <c r="I2573" s="37"/>
      <c r="J2573" s="138"/>
      <c r="K2573" s="114"/>
      <c r="L2573" s="37"/>
      <c r="M2573" s="37"/>
      <c r="N2573" s="37"/>
      <c r="O2573" s="132"/>
      <c r="P2573" s="134"/>
      <c r="Q2573" s="261"/>
      <c r="R2573" s="94"/>
    </row>
    <row r="2574" spans="3:18" x14ac:dyDescent="0.25">
      <c r="C2574" s="279"/>
      <c r="D2574" s="159"/>
      <c r="E2574" s="45"/>
      <c r="F2574" s="148"/>
      <c r="G2574" s="1"/>
      <c r="H2574" s="163"/>
      <c r="I2574" s="37"/>
      <c r="J2574" s="138"/>
      <c r="K2574" s="114"/>
      <c r="L2574" s="37"/>
      <c r="M2574" s="37"/>
      <c r="N2574" s="37"/>
      <c r="O2574" s="132"/>
      <c r="P2574" s="134"/>
      <c r="Q2574" s="261"/>
      <c r="R2574" s="94"/>
    </row>
    <row r="2575" spans="3:18" x14ac:dyDescent="0.25">
      <c r="C2575" s="279"/>
      <c r="D2575" s="159"/>
      <c r="E2575" s="45"/>
      <c r="F2575" s="148"/>
      <c r="G2575" s="1"/>
      <c r="H2575" s="163"/>
      <c r="I2575" s="37"/>
      <c r="J2575" s="138"/>
      <c r="K2575" s="114"/>
      <c r="L2575" s="37"/>
      <c r="M2575" s="37"/>
      <c r="N2575" s="37"/>
      <c r="O2575" s="132"/>
      <c r="P2575" s="134"/>
      <c r="Q2575" s="261"/>
      <c r="R2575" s="94"/>
    </row>
    <row r="2576" spans="3:18" x14ac:dyDescent="0.25">
      <c r="C2576" s="279"/>
      <c r="D2576" s="159"/>
      <c r="E2576" s="45"/>
      <c r="F2576" s="148"/>
      <c r="G2576" s="1"/>
      <c r="H2576" s="163"/>
      <c r="I2576" s="37"/>
      <c r="J2576" s="138"/>
      <c r="K2576" s="114"/>
      <c r="L2576" s="37"/>
      <c r="M2576" s="37"/>
      <c r="N2576" s="37"/>
      <c r="O2576" s="132"/>
      <c r="P2576" s="134"/>
      <c r="Q2576" s="261"/>
      <c r="R2576" s="94"/>
    </row>
    <row r="2577" spans="3:18" x14ac:dyDescent="0.25">
      <c r="C2577" s="279"/>
      <c r="D2577" s="159"/>
      <c r="E2577" s="45"/>
      <c r="F2577" s="148"/>
      <c r="G2577" s="1"/>
      <c r="H2577" s="163"/>
      <c r="I2577" s="37"/>
      <c r="J2577" s="138"/>
      <c r="K2577" s="114"/>
      <c r="L2577" s="37"/>
      <c r="M2577" s="37"/>
      <c r="N2577" s="37"/>
      <c r="O2577" s="132"/>
      <c r="P2577" s="134"/>
      <c r="Q2577" s="261"/>
      <c r="R2577" s="94"/>
    </row>
    <row r="2578" spans="3:18" x14ac:dyDescent="0.25">
      <c r="C2578" s="279"/>
      <c r="D2578" s="159"/>
      <c r="E2578" s="45"/>
      <c r="F2578" s="148"/>
      <c r="G2578" s="1"/>
      <c r="H2578" s="163"/>
      <c r="I2578" s="37"/>
      <c r="J2578" s="138"/>
      <c r="K2578" s="114"/>
      <c r="L2578" s="37"/>
      <c r="M2578" s="37"/>
      <c r="N2578" s="37"/>
      <c r="O2578" s="132"/>
      <c r="P2578" s="134"/>
      <c r="Q2578" s="261"/>
      <c r="R2578" s="94"/>
    </row>
    <row r="2579" spans="3:18" x14ac:dyDescent="0.25">
      <c r="C2579" s="279"/>
      <c r="D2579" s="159"/>
      <c r="E2579" s="45"/>
      <c r="F2579" s="148"/>
      <c r="G2579" s="1"/>
      <c r="H2579" s="163"/>
      <c r="I2579" s="37"/>
      <c r="J2579" s="138"/>
      <c r="K2579" s="114"/>
      <c r="L2579" s="37"/>
      <c r="M2579" s="37"/>
      <c r="N2579" s="37"/>
      <c r="O2579" s="132"/>
      <c r="P2579" s="134"/>
      <c r="Q2579" s="261"/>
      <c r="R2579" s="94"/>
    </row>
    <row r="2580" spans="3:18" x14ac:dyDescent="0.25">
      <c r="C2580" s="279"/>
      <c r="D2580" s="159"/>
      <c r="E2580" s="45"/>
      <c r="F2580" s="148"/>
      <c r="G2580" s="1"/>
      <c r="H2580" s="163"/>
      <c r="I2580" s="37"/>
      <c r="J2580" s="138"/>
      <c r="K2580" s="114"/>
      <c r="L2580" s="37"/>
      <c r="M2580" s="37"/>
      <c r="N2580" s="37"/>
      <c r="O2580" s="132"/>
      <c r="P2580" s="134"/>
      <c r="Q2580" s="261"/>
      <c r="R2580" s="94"/>
    </row>
    <row r="2581" spans="3:18" x14ac:dyDescent="0.25">
      <c r="C2581" s="279"/>
      <c r="D2581" s="159"/>
      <c r="E2581" s="45"/>
      <c r="F2581" s="148"/>
      <c r="G2581" s="1"/>
      <c r="H2581" s="163"/>
      <c r="I2581" s="37"/>
      <c r="J2581" s="138"/>
      <c r="K2581" s="114"/>
      <c r="L2581" s="37"/>
      <c r="M2581" s="37"/>
      <c r="N2581" s="37"/>
      <c r="O2581" s="132"/>
      <c r="P2581" s="134"/>
      <c r="Q2581" s="261"/>
      <c r="R2581" s="94"/>
    </row>
    <row r="2582" spans="3:18" x14ac:dyDescent="0.25">
      <c r="C2582" s="279"/>
      <c r="D2582" s="159"/>
      <c r="E2582" s="45"/>
      <c r="F2582" s="148"/>
      <c r="G2582" s="1"/>
      <c r="H2582" s="163"/>
      <c r="I2582" s="37"/>
      <c r="J2582" s="138"/>
      <c r="K2582" s="114"/>
      <c r="L2582" s="37"/>
      <c r="M2582" s="37"/>
      <c r="N2582" s="37"/>
      <c r="O2582" s="132"/>
      <c r="P2582" s="134"/>
      <c r="Q2582" s="261"/>
      <c r="R2582" s="94"/>
    </row>
    <row r="2583" spans="3:18" x14ac:dyDescent="0.25">
      <c r="C2583" s="279"/>
      <c r="D2583" s="159"/>
      <c r="E2583" s="45"/>
      <c r="F2583" s="148"/>
      <c r="G2583" s="1"/>
      <c r="H2583" s="163"/>
      <c r="I2583" s="37"/>
      <c r="J2583" s="138"/>
      <c r="K2583" s="114"/>
      <c r="L2583" s="37"/>
      <c r="M2583" s="37"/>
      <c r="N2583" s="37"/>
      <c r="O2583" s="132"/>
      <c r="P2583" s="134"/>
      <c r="Q2583" s="261"/>
      <c r="R2583" s="94"/>
    </row>
    <row r="2584" spans="3:18" x14ac:dyDescent="0.25">
      <c r="C2584" s="279"/>
      <c r="D2584" s="159"/>
      <c r="E2584" s="45"/>
      <c r="F2584" s="148"/>
      <c r="G2584" s="1"/>
      <c r="H2584" s="163"/>
      <c r="I2584" s="37"/>
      <c r="J2584" s="138"/>
      <c r="K2584" s="114"/>
      <c r="L2584" s="37"/>
      <c r="M2584" s="37"/>
      <c r="N2584" s="37"/>
      <c r="O2584" s="132"/>
      <c r="P2584" s="134"/>
      <c r="Q2584" s="261"/>
      <c r="R2584" s="94"/>
    </row>
    <row r="2585" spans="3:18" x14ac:dyDescent="0.25">
      <c r="C2585" s="279"/>
      <c r="D2585" s="159"/>
      <c r="E2585" s="45"/>
      <c r="F2585" s="148"/>
      <c r="G2585" s="1"/>
      <c r="H2585" s="163"/>
      <c r="I2585" s="37"/>
      <c r="J2585" s="138"/>
      <c r="K2585" s="114"/>
      <c r="L2585" s="37"/>
      <c r="M2585" s="37"/>
      <c r="N2585" s="37"/>
      <c r="O2585" s="132"/>
      <c r="P2585" s="134"/>
      <c r="Q2585" s="261"/>
      <c r="R2585" s="94"/>
    </row>
    <row r="2586" spans="3:18" x14ac:dyDescent="0.25">
      <c r="C2586" s="279"/>
      <c r="D2586" s="159"/>
      <c r="E2586" s="45"/>
      <c r="F2586" s="148"/>
      <c r="G2586" s="1"/>
      <c r="H2586" s="163"/>
      <c r="I2586" s="37"/>
      <c r="J2586" s="138"/>
      <c r="K2586" s="114"/>
      <c r="L2586" s="37"/>
      <c r="M2586" s="37"/>
      <c r="N2586" s="37"/>
      <c r="O2586" s="132"/>
      <c r="P2586" s="134"/>
      <c r="Q2586" s="261"/>
      <c r="R2586" s="94"/>
    </row>
    <row r="2587" spans="3:18" x14ac:dyDescent="0.25">
      <c r="C2587" s="279"/>
      <c r="D2587" s="159"/>
      <c r="E2587" s="45"/>
      <c r="F2587" s="148"/>
      <c r="G2587" s="1"/>
      <c r="H2587" s="163"/>
      <c r="I2587" s="37"/>
      <c r="J2587" s="138"/>
      <c r="K2587" s="114"/>
      <c r="L2587" s="37"/>
      <c r="M2587" s="37"/>
      <c r="N2587" s="37"/>
      <c r="O2587" s="132"/>
      <c r="P2587" s="134"/>
      <c r="Q2587" s="261"/>
      <c r="R2587" s="94"/>
    </row>
    <row r="2588" spans="3:18" x14ac:dyDescent="0.25">
      <c r="C2588" s="279"/>
      <c r="D2588" s="159"/>
      <c r="E2588" s="45"/>
      <c r="F2588" s="148"/>
      <c r="G2588" s="1"/>
      <c r="H2588" s="163"/>
      <c r="I2588" s="37"/>
      <c r="J2588" s="138"/>
      <c r="K2588" s="114"/>
      <c r="L2588" s="37"/>
      <c r="M2588" s="37"/>
      <c r="N2588" s="37"/>
      <c r="O2588" s="132"/>
      <c r="P2588" s="134"/>
      <c r="Q2588" s="261"/>
      <c r="R2588" s="94"/>
    </row>
    <row r="2589" spans="3:18" x14ac:dyDescent="0.25">
      <c r="C2589" s="279"/>
      <c r="D2589" s="159"/>
      <c r="E2589" s="45"/>
      <c r="F2589" s="148"/>
      <c r="G2589" s="1"/>
      <c r="H2589" s="163"/>
      <c r="I2589" s="37"/>
      <c r="J2589" s="138"/>
      <c r="K2589" s="114"/>
      <c r="L2589" s="37"/>
      <c r="M2589" s="37"/>
      <c r="N2589" s="37"/>
      <c r="O2589" s="132"/>
      <c r="P2589" s="134"/>
      <c r="Q2589" s="261"/>
      <c r="R2589" s="94"/>
    </row>
    <row r="2590" spans="3:18" x14ac:dyDescent="0.25">
      <c r="C2590" s="279"/>
      <c r="D2590" s="159"/>
      <c r="E2590" s="45"/>
      <c r="F2590" s="148"/>
      <c r="G2590" s="1"/>
      <c r="H2590" s="163"/>
      <c r="I2590" s="37"/>
      <c r="J2590" s="138"/>
      <c r="K2590" s="114"/>
      <c r="L2590" s="37"/>
      <c r="M2590" s="37"/>
      <c r="N2590" s="37"/>
      <c r="O2590" s="132"/>
      <c r="P2590" s="134"/>
      <c r="Q2590" s="261"/>
      <c r="R2590" s="94"/>
    </row>
    <row r="2591" spans="3:18" x14ac:dyDescent="0.25">
      <c r="C2591" s="279"/>
      <c r="D2591" s="159"/>
      <c r="E2591" s="45"/>
      <c r="F2591" s="148"/>
      <c r="G2591" s="1"/>
      <c r="H2591" s="163"/>
      <c r="I2591" s="37"/>
      <c r="J2591" s="138"/>
      <c r="K2591" s="114"/>
      <c r="L2591" s="37"/>
      <c r="M2591" s="37"/>
      <c r="N2591" s="37"/>
      <c r="O2591" s="132"/>
      <c r="P2591" s="134"/>
      <c r="Q2591" s="261"/>
      <c r="R2591" s="94"/>
    </row>
    <row r="2592" spans="3:18" x14ac:dyDescent="0.25">
      <c r="C2592" s="279"/>
      <c r="D2592" s="159"/>
      <c r="E2592" s="45"/>
      <c r="F2592" s="148"/>
      <c r="G2592" s="1"/>
      <c r="H2592" s="163"/>
      <c r="I2592" s="37"/>
      <c r="J2592" s="138"/>
      <c r="K2592" s="114"/>
      <c r="L2592" s="37"/>
      <c r="M2592" s="37"/>
      <c r="N2592" s="37"/>
      <c r="O2592" s="132"/>
      <c r="P2592" s="134"/>
      <c r="Q2592" s="261"/>
      <c r="R2592" s="94"/>
    </row>
    <row r="2593" spans="3:18" x14ac:dyDescent="0.25">
      <c r="C2593" s="279"/>
      <c r="D2593" s="159"/>
      <c r="E2593" s="45"/>
      <c r="F2593" s="148"/>
      <c r="G2593" s="1"/>
      <c r="H2593" s="163"/>
      <c r="I2593" s="37"/>
      <c r="J2593" s="138"/>
      <c r="K2593" s="114"/>
      <c r="L2593" s="37"/>
      <c r="M2593" s="37"/>
      <c r="N2593" s="37"/>
      <c r="O2593" s="132"/>
      <c r="P2593" s="134"/>
      <c r="Q2593" s="261"/>
      <c r="R2593" s="94"/>
    </row>
    <row r="2594" spans="3:18" x14ac:dyDescent="0.25">
      <c r="C2594" s="279"/>
      <c r="D2594" s="159"/>
      <c r="E2594" s="45"/>
      <c r="F2594" s="148"/>
      <c r="G2594" s="1"/>
      <c r="H2594" s="163"/>
      <c r="I2594" s="37"/>
      <c r="J2594" s="138"/>
      <c r="K2594" s="114"/>
      <c r="L2594" s="37"/>
      <c r="M2594" s="37"/>
      <c r="N2594" s="37"/>
      <c r="O2594" s="132"/>
      <c r="P2594" s="134"/>
      <c r="Q2594" s="261"/>
      <c r="R2594" s="94"/>
    </row>
    <row r="2595" spans="3:18" x14ac:dyDescent="0.25">
      <c r="C2595" s="279"/>
      <c r="D2595" s="159"/>
      <c r="E2595" s="45"/>
      <c r="F2595" s="148"/>
      <c r="G2595" s="1"/>
      <c r="H2595" s="163"/>
      <c r="I2595" s="37"/>
      <c r="J2595" s="138"/>
      <c r="K2595" s="114"/>
      <c r="L2595" s="37"/>
      <c r="M2595" s="37"/>
      <c r="N2595" s="37"/>
      <c r="O2595" s="132"/>
      <c r="P2595" s="134"/>
      <c r="Q2595" s="261"/>
      <c r="R2595" s="94"/>
    </row>
    <row r="2596" spans="3:18" x14ac:dyDescent="0.25">
      <c r="C2596" s="279"/>
      <c r="D2596" s="159"/>
      <c r="E2596" s="45"/>
      <c r="F2596" s="148"/>
      <c r="G2596" s="1"/>
      <c r="H2596" s="163"/>
      <c r="I2596" s="37"/>
      <c r="J2596" s="138"/>
      <c r="K2596" s="114"/>
      <c r="L2596" s="37"/>
      <c r="M2596" s="37"/>
      <c r="N2596" s="37"/>
      <c r="O2596" s="132"/>
      <c r="P2596" s="134"/>
      <c r="Q2596" s="261"/>
      <c r="R2596" s="94"/>
    </row>
    <row r="2597" spans="3:18" x14ac:dyDescent="0.25">
      <c r="C2597" s="279"/>
      <c r="D2597" s="159"/>
      <c r="E2597" s="45"/>
      <c r="F2597" s="148"/>
      <c r="G2597" s="1"/>
      <c r="H2597" s="163"/>
      <c r="I2597" s="37"/>
      <c r="J2597" s="138"/>
      <c r="K2597" s="114"/>
      <c r="L2597" s="37"/>
      <c r="M2597" s="37"/>
      <c r="N2597" s="37"/>
      <c r="O2597" s="132"/>
      <c r="P2597" s="134"/>
      <c r="Q2597" s="261"/>
      <c r="R2597" s="94"/>
    </row>
    <row r="2598" spans="3:18" x14ac:dyDescent="0.25">
      <c r="C2598" s="279"/>
      <c r="D2598" s="159"/>
      <c r="E2598" s="45"/>
      <c r="F2598" s="148"/>
      <c r="G2598" s="1"/>
      <c r="H2598" s="163"/>
      <c r="I2598" s="37"/>
      <c r="J2598" s="138"/>
      <c r="K2598" s="114"/>
      <c r="L2598" s="37"/>
      <c r="M2598" s="37"/>
      <c r="N2598" s="37"/>
      <c r="O2598" s="132"/>
      <c r="P2598" s="134"/>
      <c r="Q2598" s="261"/>
      <c r="R2598" s="94"/>
    </row>
    <row r="2599" spans="3:18" x14ac:dyDescent="0.25">
      <c r="C2599" s="279"/>
      <c r="D2599" s="159"/>
      <c r="E2599" s="45"/>
      <c r="F2599" s="148"/>
      <c r="G2599" s="1"/>
      <c r="H2599" s="163"/>
      <c r="I2599" s="37"/>
      <c r="J2599" s="138"/>
      <c r="K2599" s="114"/>
      <c r="L2599" s="37"/>
      <c r="M2599" s="37"/>
      <c r="N2599" s="37"/>
      <c r="O2599" s="132"/>
      <c r="P2599" s="134"/>
      <c r="Q2599" s="261"/>
      <c r="R2599" s="94"/>
    </row>
    <row r="2600" spans="3:18" x14ac:dyDescent="0.25">
      <c r="C2600" s="279"/>
      <c r="D2600" s="159"/>
      <c r="E2600" s="45"/>
      <c r="F2600" s="148"/>
      <c r="G2600" s="1"/>
      <c r="H2600" s="163"/>
      <c r="I2600" s="37"/>
      <c r="J2600" s="138"/>
      <c r="K2600" s="114"/>
      <c r="L2600" s="37"/>
      <c r="M2600" s="37"/>
      <c r="N2600" s="37"/>
      <c r="O2600" s="132"/>
      <c r="P2600" s="134"/>
      <c r="Q2600" s="261"/>
      <c r="R2600" s="94"/>
    </row>
    <row r="2601" spans="3:18" x14ac:dyDescent="0.25">
      <c r="C2601" s="279"/>
      <c r="D2601" s="159"/>
      <c r="E2601" s="45"/>
      <c r="F2601" s="148"/>
      <c r="G2601" s="1"/>
      <c r="H2601" s="163"/>
      <c r="I2601" s="37"/>
      <c r="J2601" s="138"/>
      <c r="K2601" s="114"/>
      <c r="L2601" s="37"/>
      <c r="M2601" s="37"/>
      <c r="N2601" s="37"/>
      <c r="O2601" s="132"/>
      <c r="P2601" s="134"/>
      <c r="Q2601" s="261"/>
      <c r="R2601" s="94"/>
    </row>
    <row r="2602" spans="3:18" x14ac:dyDescent="0.25">
      <c r="C2602" s="279"/>
      <c r="D2602" s="159"/>
      <c r="E2602" s="45"/>
      <c r="F2602" s="148"/>
      <c r="G2602" s="1"/>
      <c r="H2602" s="163"/>
      <c r="I2602" s="37"/>
      <c r="J2602" s="138"/>
      <c r="K2602" s="114"/>
      <c r="L2602" s="37"/>
      <c r="M2602" s="37"/>
      <c r="N2602" s="37"/>
      <c r="O2602" s="132"/>
      <c r="P2602" s="134"/>
      <c r="Q2602" s="261"/>
      <c r="R2602" s="94"/>
    </row>
    <row r="2603" spans="3:18" x14ac:dyDescent="0.25">
      <c r="C2603" s="279"/>
      <c r="D2603" s="159"/>
      <c r="E2603" s="45"/>
      <c r="F2603" s="148"/>
      <c r="G2603" s="1"/>
      <c r="H2603" s="163"/>
      <c r="I2603" s="37"/>
      <c r="J2603" s="138"/>
      <c r="K2603" s="114"/>
      <c r="L2603" s="37"/>
      <c r="M2603" s="37"/>
      <c r="N2603" s="37"/>
      <c r="O2603" s="132"/>
      <c r="P2603" s="134"/>
      <c r="Q2603" s="261"/>
      <c r="R2603" s="94"/>
    </row>
    <row r="2604" spans="3:18" x14ac:dyDescent="0.25">
      <c r="C2604" s="279"/>
      <c r="D2604" s="159"/>
      <c r="E2604" s="45"/>
      <c r="F2604" s="148"/>
      <c r="G2604" s="1"/>
      <c r="H2604" s="163"/>
      <c r="I2604" s="37"/>
      <c r="J2604" s="138"/>
      <c r="K2604" s="114"/>
      <c r="L2604" s="37"/>
      <c r="M2604" s="37"/>
      <c r="N2604" s="37"/>
      <c r="O2604" s="132"/>
      <c r="P2604" s="134"/>
      <c r="Q2604" s="261"/>
      <c r="R2604" s="94"/>
    </row>
    <row r="2605" spans="3:18" x14ac:dyDescent="0.25">
      <c r="C2605" s="279"/>
      <c r="D2605" s="159"/>
      <c r="E2605" s="45"/>
      <c r="F2605" s="148"/>
      <c r="G2605" s="1"/>
      <c r="H2605" s="163"/>
      <c r="I2605" s="37"/>
      <c r="J2605" s="138"/>
      <c r="K2605" s="114"/>
      <c r="L2605" s="37"/>
      <c r="M2605" s="37"/>
      <c r="N2605" s="37"/>
      <c r="O2605" s="132"/>
      <c r="P2605" s="134"/>
      <c r="Q2605" s="261"/>
      <c r="R2605" s="94"/>
    </row>
    <row r="2606" spans="3:18" x14ac:dyDescent="0.25">
      <c r="C2606" s="279"/>
      <c r="D2606" s="159"/>
      <c r="E2606" s="45"/>
      <c r="F2606" s="148"/>
      <c r="G2606" s="1"/>
      <c r="H2606" s="163"/>
      <c r="I2606" s="37"/>
      <c r="J2606" s="138"/>
      <c r="K2606" s="114"/>
      <c r="L2606" s="37"/>
      <c r="M2606" s="37"/>
      <c r="N2606" s="37"/>
      <c r="O2606" s="132"/>
      <c r="P2606" s="134"/>
      <c r="Q2606" s="261"/>
      <c r="R2606" s="94"/>
    </row>
    <row r="2607" spans="3:18" x14ac:dyDescent="0.25">
      <c r="C2607" s="279"/>
      <c r="D2607" s="159"/>
      <c r="E2607" s="45"/>
      <c r="F2607" s="148"/>
      <c r="G2607" s="1"/>
      <c r="H2607" s="163"/>
      <c r="I2607" s="37"/>
      <c r="J2607" s="138"/>
      <c r="K2607" s="114"/>
      <c r="L2607" s="37"/>
      <c r="M2607" s="37"/>
      <c r="N2607" s="37"/>
      <c r="O2607" s="132"/>
      <c r="P2607" s="134"/>
      <c r="Q2607" s="261"/>
      <c r="R2607" s="94"/>
    </row>
    <row r="2608" spans="3:18" x14ac:dyDescent="0.25">
      <c r="C2608" s="279"/>
      <c r="D2608" s="159"/>
      <c r="E2608" s="45"/>
      <c r="F2608" s="148"/>
      <c r="G2608" s="1"/>
      <c r="H2608" s="163"/>
      <c r="I2608" s="37"/>
      <c r="J2608" s="138"/>
      <c r="K2608" s="114"/>
      <c r="L2608" s="37"/>
      <c r="M2608" s="37"/>
      <c r="N2608" s="37"/>
      <c r="O2608" s="132"/>
      <c r="P2608" s="134"/>
      <c r="Q2608" s="261"/>
      <c r="R2608" s="94"/>
    </row>
    <row r="2609" spans="3:18" x14ac:dyDescent="0.25">
      <c r="C2609" s="279"/>
      <c r="D2609" s="159"/>
      <c r="E2609" s="45"/>
      <c r="F2609" s="148"/>
      <c r="G2609" s="1"/>
      <c r="H2609" s="163"/>
      <c r="I2609" s="37"/>
      <c r="J2609" s="138"/>
      <c r="K2609" s="114"/>
      <c r="L2609" s="37"/>
      <c r="M2609" s="37"/>
      <c r="N2609" s="37"/>
      <c r="O2609" s="132"/>
      <c r="P2609" s="134"/>
      <c r="Q2609" s="261"/>
      <c r="R2609" s="94"/>
    </row>
    <row r="2610" spans="3:18" x14ac:dyDescent="0.25">
      <c r="C2610" s="279"/>
      <c r="D2610" s="159"/>
      <c r="E2610" s="45"/>
      <c r="F2610" s="148"/>
      <c r="G2610" s="1"/>
      <c r="H2610" s="163"/>
      <c r="I2610" s="37"/>
      <c r="J2610" s="138"/>
      <c r="K2610" s="114"/>
      <c r="L2610" s="37"/>
      <c r="M2610" s="37"/>
      <c r="N2610" s="37"/>
      <c r="O2610" s="132"/>
      <c r="P2610" s="134"/>
      <c r="Q2610" s="261"/>
      <c r="R2610" s="94"/>
    </row>
    <row r="2611" spans="3:18" x14ac:dyDescent="0.25">
      <c r="C2611" s="279"/>
      <c r="D2611" s="159"/>
      <c r="E2611" s="45"/>
      <c r="F2611" s="148"/>
      <c r="G2611" s="1"/>
      <c r="H2611" s="163"/>
      <c r="I2611" s="37"/>
      <c r="J2611" s="138"/>
      <c r="K2611" s="114"/>
      <c r="L2611" s="37"/>
      <c r="M2611" s="37"/>
      <c r="N2611" s="37"/>
      <c r="O2611" s="132"/>
      <c r="P2611" s="134"/>
      <c r="Q2611" s="261"/>
      <c r="R2611" s="94"/>
    </row>
    <row r="2612" spans="3:18" x14ac:dyDescent="0.25">
      <c r="C2612" s="279"/>
      <c r="D2612" s="159"/>
      <c r="E2612" s="45"/>
      <c r="F2612" s="148"/>
      <c r="G2612" s="1"/>
      <c r="H2612" s="163"/>
      <c r="I2612" s="37"/>
      <c r="J2612" s="138"/>
      <c r="K2612" s="114"/>
      <c r="L2612" s="37"/>
      <c r="M2612" s="37"/>
      <c r="N2612" s="37"/>
      <c r="O2612" s="132"/>
      <c r="P2612" s="134"/>
      <c r="Q2612" s="261"/>
      <c r="R2612" s="94"/>
    </row>
    <row r="2613" spans="3:18" x14ac:dyDescent="0.25">
      <c r="C2613" s="279"/>
      <c r="D2613" s="159"/>
      <c r="E2613" s="45"/>
      <c r="F2613" s="148"/>
      <c r="G2613" s="1"/>
      <c r="H2613" s="163"/>
      <c r="I2613" s="37"/>
      <c r="J2613" s="138"/>
      <c r="K2613" s="114"/>
      <c r="L2613" s="37"/>
      <c r="M2613" s="37"/>
      <c r="N2613" s="37"/>
      <c r="O2613" s="132"/>
      <c r="P2613" s="134"/>
      <c r="Q2613" s="261"/>
      <c r="R2613" s="94"/>
    </row>
    <row r="2614" spans="3:18" x14ac:dyDescent="0.25">
      <c r="C2614" s="279"/>
      <c r="D2614" s="159"/>
      <c r="E2614" s="45"/>
      <c r="F2614" s="148"/>
      <c r="G2614" s="1"/>
      <c r="H2614" s="163"/>
      <c r="I2614" s="37"/>
      <c r="J2614" s="138"/>
      <c r="K2614" s="114"/>
      <c r="L2614" s="37"/>
      <c r="M2614" s="37"/>
      <c r="N2614" s="37"/>
      <c r="O2614" s="132"/>
      <c r="P2614" s="134"/>
      <c r="Q2614" s="261"/>
      <c r="R2614" s="94"/>
    </row>
    <row r="2615" spans="3:18" x14ac:dyDescent="0.25">
      <c r="C2615" s="279"/>
      <c r="D2615" s="159"/>
      <c r="E2615" s="45"/>
      <c r="F2615" s="148"/>
      <c r="G2615" s="1"/>
      <c r="H2615" s="163"/>
      <c r="I2615" s="37"/>
      <c r="J2615" s="138"/>
      <c r="K2615" s="114"/>
      <c r="L2615" s="37"/>
      <c r="M2615" s="37"/>
      <c r="N2615" s="37"/>
      <c r="O2615" s="132"/>
      <c r="P2615" s="134"/>
      <c r="Q2615" s="261"/>
      <c r="R2615" s="94"/>
    </row>
    <row r="2616" spans="3:18" x14ac:dyDescent="0.25">
      <c r="C2616" s="279"/>
      <c r="D2616" s="159"/>
      <c r="E2616" s="45"/>
      <c r="F2616" s="148"/>
      <c r="G2616" s="1"/>
      <c r="H2616" s="163"/>
      <c r="I2616" s="37"/>
      <c r="J2616" s="138"/>
      <c r="K2616" s="114"/>
      <c r="L2616" s="37"/>
      <c r="M2616" s="37"/>
      <c r="N2616" s="37"/>
      <c r="O2616" s="132"/>
      <c r="P2616" s="134"/>
      <c r="Q2616" s="261"/>
      <c r="R2616" s="94"/>
    </row>
    <row r="2617" spans="3:18" x14ac:dyDescent="0.25">
      <c r="C2617" s="279"/>
      <c r="D2617" s="159"/>
      <c r="E2617" s="45"/>
      <c r="F2617" s="148"/>
      <c r="G2617" s="1"/>
      <c r="H2617" s="163"/>
      <c r="I2617" s="37"/>
      <c r="J2617" s="138"/>
      <c r="K2617" s="114"/>
      <c r="L2617" s="37"/>
      <c r="M2617" s="37"/>
      <c r="N2617" s="37"/>
      <c r="O2617" s="132"/>
      <c r="P2617" s="134"/>
      <c r="Q2617" s="261"/>
      <c r="R2617" s="94"/>
    </row>
    <row r="2618" spans="3:18" x14ac:dyDescent="0.25">
      <c r="C2618" s="279"/>
      <c r="D2618" s="159"/>
      <c r="E2618" s="45"/>
      <c r="F2618" s="148"/>
      <c r="G2618" s="1"/>
      <c r="H2618" s="163"/>
      <c r="I2618" s="37"/>
      <c r="J2618" s="138"/>
      <c r="K2618" s="114"/>
      <c r="L2618" s="37"/>
      <c r="M2618" s="37"/>
      <c r="N2618" s="37"/>
      <c r="O2618" s="132"/>
      <c r="P2618" s="134"/>
      <c r="Q2618" s="261"/>
      <c r="R2618" s="94"/>
    </row>
    <row r="2619" spans="3:18" x14ac:dyDescent="0.25">
      <c r="C2619" s="279"/>
      <c r="D2619" s="159"/>
      <c r="E2619" s="45"/>
      <c r="F2619" s="148"/>
      <c r="G2619" s="1"/>
      <c r="H2619" s="163"/>
      <c r="I2619" s="37"/>
      <c r="J2619" s="138"/>
      <c r="K2619" s="114"/>
      <c r="L2619" s="37"/>
      <c r="M2619" s="37"/>
      <c r="N2619" s="37"/>
      <c r="O2619" s="132"/>
      <c r="P2619" s="134"/>
      <c r="Q2619" s="261"/>
      <c r="R2619" s="94"/>
    </row>
    <row r="2620" spans="3:18" x14ac:dyDescent="0.25">
      <c r="C2620" s="279"/>
      <c r="D2620" s="159"/>
      <c r="E2620" s="45"/>
      <c r="F2620" s="148"/>
      <c r="G2620" s="1"/>
      <c r="H2620" s="163"/>
      <c r="I2620" s="37"/>
      <c r="J2620" s="138"/>
      <c r="K2620" s="114"/>
      <c r="L2620" s="37"/>
      <c r="M2620" s="37"/>
      <c r="N2620" s="37"/>
      <c r="O2620" s="132"/>
      <c r="P2620" s="134"/>
      <c r="Q2620" s="261"/>
      <c r="R2620" s="94"/>
    </row>
    <row r="2621" spans="3:18" x14ac:dyDescent="0.25">
      <c r="C2621" s="279"/>
      <c r="D2621" s="159"/>
      <c r="E2621" s="45"/>
      <c r="F2621" s="148"/>
      <c r="G2621" s="1"/>
      <c r="H2621" s="163"/>
      <c r="I2621" s="37"/>
      <c r="J2621" s="138"/>
      <c r="K2621" s="114"/>
      <c r="L2621" s="37"/>
      <c r="M2621" s="37"/>
      <c r="N2621" s="37"/>
      <c r="O2621" s="132"/>
      <c r="P2621" s="134"/>
      <c r="Q2621" s="261"/>
      <c r="R2621" s="94"/>
    </row>
    <row r="2622" spans="3:18" x14ac:dyDescent="0.25">
      <c r="C2622" s="279"/>
      <c r="D2622" s="159"/>
      <c r="E2622" s="45"/>
      <c r="F2622" s="148"/>
      <c r="G2622" s="1"/>
      <c r="H2622" s="163"/>
      <c r="I2622" s="37"/>
      <c r="J2622" s="138"/>
      <c r="K2622" s="114"/>
      <c r="L2622" s="37"/>
      <c r="M2622" s="37"/>
      <c r="N2622" s="37"/>
      <c r="O2622" s="132"/>
      <c r="P2622" s="134"/>
      <c r="Q2622" s="261"/>
      <c r="R2622" s="94"/>
    </row>
    <row r="2623" spans="3:18" x14ac:dyDescent="0.25">
      <c r="C2623" s="279"/>
      <c r="D2623" s="159"/>
      <c r="E2623" s="45"/>
      <c r="F2623" s="148"/>
      <c r="G2623" s="1"/>
      <c r="H2623" s="163"/>
      <c r="I2623" s="37"/>
      <c r="J2623" s="138"/>
      <c r="K2623" s="114"/>
      <c r="L2623" s="37"/>
      <c r="M2623" s="37"/>
      <c r="N2623" s="37"/>
      <c r="O2623" s="132"/>
      <c r="P2623" s="134"/>
      <c r="Q2623" s="261"/>
      <c r="R2623" s="94"/>
    </row>
    <row r="2624" spans="3:18" x14ac:dyDescent="0.25">
      <c r="C2624" s="279"/>
      <c r="D2624" s="159"/>
      <c r="E2624" s="45"/>
      <c r="F2624" s="148"/>
      <c r="G2624" s="1"/>
      <c r="H2624" s="163"/>
      <c r="I2624" s="37"/>
      <c r="J2624" s="138"/>
      <c r="K2624" s="114"/>
      <c r="L2624" s="37"/>
      <c r="M2624" s="37"/>
      <c r="N2624" s="37"/>
      <c r="O2624" s="132"/>
      <c r="P2624" s="134"/>
      <c r="Q2624" s="261"/>
      <c r="R2624" s="94"/>
    </row>
    <row r="2625" spans="3:18" x14ac:dyDescent="0.25">
      <c r="C2625" s="279"/>
      <c r="D2625" s="159"/>
      <c r="E2625" s="45"/>
      <c r="F2625" s="148"/>
      <c r="G2625" s="1"/>
      <c r="H2625" s="163"/>
      <c r="I2625" s="37"/>
      <c r="J2625" s="138"/>
      <c r="K2625" s="114"/>
      <c r="L2625" s="37"/>
      <c r="M2625" s="37"/>
      <c r="N2625" s="37"/>
      <c r="O2625" s="132"/>
      <c r="P2625" s="134"/>
      <c r="Q2625" s="261"/>
      <c r="R2625" s="94"/>
    </row>
    <row r="2626" spans="3:18" x14ac:dyDescent="0.25">
      <c r="C2626" s="279"/>
      <c r="D2626" s="159"/>
      <c r="E2626" s="45"/>
      <c r="F2626" s="148"/>
      <c r="G2626" s="1"/>
      <c r="H2626" s="163"/>
      <c r="I2626" s="37"/>
      <c r="J2626" s="138"/>
      <c r="K2626" s="114"/>
      <c r="L2626" s="37"/>
      <c r="M2626" s="37"/>
      <c r="N2626" s="37"/>
      <c r="O2626" s="132"/>
      <c r="P2626" s="134"/>
      <c r="Q2626" s="261"/>
      <c r="R2626" s="94"/>
    </row>
    <row r="2627" spans="3:18" x14ac:dyDescent="0.25">
      <c r="C2627" s="279"/>
      <c r="D2627" s="159"/>
      <c r="E2627" s="45"/>
      <c r="F2627" s="148"/>
      <c r="G2627" s="1"/>
      <c r="H2627" s="163"/>
      <c r="I2627" s="37"/>
      <c r="J2627" s="138"/>
      <c r="K2627" s="114"/>
      <c r="L2627" s="37"/>
      <c r="M2627" s="37"/>
      <c r="N2627" s="37"/>
      <c r="O2627" s="132"/>
      <c r="P2627" s="134"/>
      <c r="Q2627" s="261"/>
      <c r="R2627" s="94"/>
    </row>
    <row r="2628" spans="3:18" x14ac:dyDescent="0.25">
      <c r="C2628" s="279"/>
      <c r="D2628" s="159"/>
      <c r="E2628" s="45"/>
      <c r="F2628" s="148"/>
      <c r="G2628" s="1"/>
      <c r="H2628" s="163"/>
      <c r="I2628" s="37"/>
      <c r="J2628" s="138"/>
      <c r="K2628" s="114"/>
      <c r="L2628" s="37"/>
      <c r="M2628" s="37"/>
      <c r="N2628" s="37"/>
      <c r="O2628" s="132"/>
      <c r="P2628" s="134"/>
      <c r="Q2628" s="261"/>
      <c r="R2628" s="94"/>
    </row>
    <row r="2629" spans="3:18" x14ac:dyDescent="0.25">
      <c r="C2629" s="279"/>
      <c r="D2629" s="159"/>
      <c r="E2629" s="45"/>
      <c r="F2629" s="148"/>
      <c r="G2629" s="1"/>
      <c r="H2629" s="163"/>
      <c r="I2629" s="37"/>
      <c r="J2629" s="138"/>
      <c r="K2629" s="114"/>
      <c r="L2629" s="37"/>
      <c r="M2629" s="37"/>
      <c r="N2629" s="37"/>
      <c r="O2629" s="132"/>
      <c r="P2629" s="134"/>
      <c r="Q2629" s="261"/>
      <c r="R2629" s="94"/>
    </row>
    <row r="2630" spans="3:18" x14ac:dyDescent="0.25">
      <c r="C2630" s="279"/>
      <c r="D2630" s="159"/>
      <c r="E2630" s="45"/>
      <c r="F2630" s="148"/>
      <c r="G2630" s="1"/>
      <c r="H2630" s="163"/>
      <c r="I2630" s="37"/>
      <c r="J2630" s="138"/>
      <c r="K2630" s="114"/>
      <c r="L2630" s="37"/>
      <c r="M2630" s="37"/>
      <c r="N2630" s="37"/>
      <c r="O2630" s="132"/>
      <c r="P2630" s="134"/>
      <c r="Q2630" s="261"/>
      <c r="R2630" s="94"/>
    </row>
    <row r="2631" spans="3:18" x14ac:dyDescent="0.25">
      <c r="C2631" s="279"/>
      <c r="D2631" s="159"/>
      <c r="E2631" s="45"/>
      <c r="F2631" s="148"/>
      <c r="G2631" s="1"/>
      <c r="H2631" s="163"/>
      <c r="I2631" s="37"/>
      <c r="J2631" s="138"/>
      <c r="K2631" s="114"/>
      <c r="L2631" s="37"/>
      <c r="M2631" s="37"/>
      <c r="N2631" s="37"/>
      <c r="O2631" s="132"/>
      <c r="P2631" s="134"/>
      <c r="Q2631" s="261"/>
      <c r="R2631" s="94"/>
    </row>
    <row r="2632" spans="3:18" x14ac:dyDescent="0.25">
      <c r="C2632" s="279"/>
      <c r="D2632" s="159"/>
      <c r="E2632" s="45"/>
      <c r="F2632" s="148"/>
      <c r="G2632" s="1"/>
      <c r="H2632" s="163"/>
      <c r="I2632" s="37"/>
      <c r="J2632" s="138"/>
      <c r="K2632" s="114"/>
      <c r="L2632" s="37"/>
      <c r="M2632" s="37"/>
      <c r="N2632" s="37"/>
      <c r="O2632" s="132"/>
      <c r="P2632" s="134"/>
      <c r="Q2632" s="261"/>
      <c r="R2632" s="94"/>
    </row>
    <row r="2633" spans="3:18" x14ac:dyDescent="0.25">
      <c r="C2633" s="279"/>
      <c r="D2633" s="159"/>
      <c r="E2633" s="45"/>
      <c r="F2633" s="148"/>
      <c r="G2633" s="1"/>
      <c r="H2633" s="163"/>
      <c r="I2633" s="37"/>
      <c r="J2633" s="138"/>
      <c r="K2633" s="114"/>
      <c r="L2633" s="37"/>
      <c r="M2633" s="37"/>
      <c r="N2633" s="37"/>
      <c r="O2633" s="132"/>
      <c r="P2633" s="134"/>
      <c r="Q2633" s="261"/>
      <c r="R2633" s="94"/>
    </row>
    <row r="2634" spans="3:18" x14ac:dyDescent="0.25">
      <c r="C2634" s="279"/>
      <c r="D2634" s="159"/>
      <c r="E2634" s="45"/>
      <c r="F2634" s="148"/>
      <c r="G2634" s="1"/>
      <c r="H2634" s="163"/>
      <c r="I2634" s="37"/>
      <c r="J2634" s="138"/>
      <c r="K2634" s="114"/>
      <c r="L2634" s="37"/>
      <c r="M2634" s="37"/>
      <c r="N2634" s="37"/>
      <c r="O2634" s="132"/>
      <c r="P2634" s="134"/>
      <c r="Q2634" s="261"/>
      <c r="R2634" s="94"/>
    </row>
    <row r="2635" spans="3:18" x14ac:dyDescent="0.25">
      <c r="C2635" s="279"/>
      <c r="D2635" s="159"/>
      <c r="E2635" s="45"/>
      <c r="F2635" s="148"/>
      <c r="G2635" s="1"/>
      <c r="H2635" s="163"/>
      <c r="I2635" s="37"/>
      <c r="J2635" s="138"/>
      <c r="K2635" s="114"/>
      <c r="L2635" s="37"/>
      <c r="M2635" s="37"/>
      <c r="N2635" s="37"/>
      <c r="O2635" s="132"/>
      <c r="P2635" s="134"/>
      <c r="Q2635" s="261"/>
      <c r="R2635" s="94"/>
    </row>
    <row r="2636" spans="3:18" x14ac:dyDescent="0.25">
      <c r="C2636" s="279"/>
      <c r="D2636" s="159"/>
      <c r="E2636" s="45"/>
      <c r="F2636" s="148"/>
      <c r="G2636" s="1"/>
      <c r="H2636" s="163"/>
      <c r="I2636" s="37"/>
      <c r="J2636" s="138"/>
      <c r="K2636" s="114"/>
      <c r="L2636" s="37"/>
      <c r="M2636" s="37"/>
      <c r="N2636" s="37"/>
      <c r="O2636" s="132"/>
      <c r="P2636" s="134"/>
      <c r="Q2636" s="261"/>
      <c r="R2636" s="94"/>
    </row>
    <row r="2637" spans="3:18" x14ac:dyDescent="0.25">
      <c r="C2637" s="279"/>
      <c r="D2637" s="159"/>
      <c r="E2637" s="45"/>
      <c r="F2637" s="148"/>
      <c r="G2637" s="1"/>
      <c r="H2637" s="163"/>
      <c r="I2637" s="37"/>
      <c r="J2637" s="138"/>
      <c r="K2637" s="114"/>
      <c r="L2637" s="37"/>
      <c r="M2637" s="37"/>
      <c r="N2637" s="37"/>
      <c r="O2637" s="132"/>
      <c r="P2637" s="134"/>
      <c r="Q2637" s="261"/>
      <c r="R2637" s="94"/>
    </row>
    <row r="2638" spans="3:18" x14ac:dyDescent="0.25">
      <c r="C2638" s="279"/>
      <c r="D2638" s="159"/>
      <c r="E2638" s="45"/>
      <c r="F2638" s="148"/>
      <c r="G2638" s="1"/>
      <c r="H2638" s="163"/>
      <c r="I2638" s="37"/>
      <c r="J2638" s="138"/>
      <c r="K2638" s="114"/>
      <c r="L2638" s="37"/>
      <c r="M2638" s="37"/>
      <c r="N2638" s="37"/>
      <c r="O2638" s="132"/>
      <c r="P2638" s="134"/>
      <c r="Q2638" s="261"/>
      <c r="R2638" s="94"/>
    </row>
    <row r="2639" spans="3:18" x14ac:dyDescent="0.25">
      <c r="C2639" s="279"/>
      <c r="D2639" s="159"/>
      <c r="E2639" s="45"/>
      <c r="F2639" s="148"/>
      <c r="G2639" s="1"/>
      <c r="H2639" s="163"/>
      <c r="I2639" s="37"/>
      <c r="J2639" s="138"/>
      <c r="K2639" s="114"/>
      <c r="L2639" s="37"/>
      <c r="M2639" s="37"/>
      <c r="N2639" s="37"/>
      <c r="O2639" s="132"/>
      <c r="P2639" s="134"/>
      <c r="Q2639" s="261"/>
      <c r="R2639" s="94"/>
    </row>
    <row r="2640" spans="3:18" x14ac:dyDescent="0.25">
      <c r="C2640" s="279"/>
      <c r="D2640" s="159"/>
      <c r="E2640" s="45"/>
      <c r="F2640" s="148"/>
      <c r="G2640" s="1"/>
      <c r="H2640" s="163"/>
      <c r="I2640" s="37"/>
      <c r="J2640" s="138"/>
      <c r="K2640" s="114"/>
      <c r="L2640" s="37"/>
      <c r="M2640" s="37"/>
      <c r="N2640" s="37"/>
      <c r="O2640" s="132"/>
      <c r="P2640" s="134"/>
      <c r="Q2640" s="261"/>
      <c r="R2640" s="94"/>
    </row>
    <row r="2641" spans="3:18" x14ac:dyDescent="0.25">
      <c r="C2641" s="279"/>
      <c r="D2641" s="159"/>
      <c r="E2641" s="45"/>
      <c r="F2641" s="148"/>
      <c r="G2641" s="1"/>
      <c r="H2641" s="163"/>
      <c r="I2641" s="37"/>
      <c r="J2641" s="138"/>
      <c r="K2641" s="114"/>
      <c r="L2641" s="37"/>
      <c r="M2641" s="37"/>
      <c r="N2641" s="37"/>
      <c r="O2641" s="132"/>
      <c r="P2641" s="134"/>
      <c r="Q2641" s="261"/>
      <c r="R2641" s="94"/>
    </row>
    <row r="2642" spans="3:18" x14ac:dyDescent="0.25">
      <c r="C2642" s="279"/>
      <c r="D2642" s="159"/>
      <c r="E2642" s="45"/>
      <c r="F2642" s="148"/>
      <c r="G2642" s="1"/>
      <c r="H2642" s="163"/>
      <c r="I2642" s="37"/>
      <c r="J2642" s="138"/>
      <c r="K2642" s="114"/>
      <c r="L2642" s="37"/>
      <c r="M2642" s="37"/>
      <c r="N2642" s="37"/>
      <c r="O2642" s="132"/>
      <c r="P2642" s="134"/>
      <c r="Q2642" s="261"/>
      <c r="R2642" s="94"/>
    </row>
    <row r="2643" spans="3:18" x14ac:dyDescent="0.25">
      <c r="C2643" s="279"/>
      <c r="D2643" s="159"/>
      <c r="E2643" s="45"/>
      <c r="F2643" s="148"/>
      <c r="G2643" s="1"/>
      <c r="H2643" s="163"/>
      <c r="I2643" s="37"/>
      <c r="J2643" s="138"/>
      <c r="K2643" s="114"/>
      <c r="L2643" s="37"/>
      <c r="M2643" s="37"/>
      <c r="N2643" s="37"/>
      <c r="O2643" s="132"/>
      <c r="P2643" s="134"/>
      <c r="Q2643" s="261"/>
      <c r="R2643" s="94"/>
    </row>
    <row r="2644" spans="3:18" x14ac:dyDescent="0.25">
      <c r="C2644" s="279"/>
      <c r="D2644" s="159"/>
      <c r="E2644" s="45"/>
      <c r="F2644" s="148"/>
      <c r="G2644" s="1"/>
      <c r="H2644" s="163"/>
      <c r="I2644" s="37"/>
      <c r="J2644" s="138"/>
      <c r="K2644" s="114"/>
      <c r="L2644" s="37"/>
      <c r="M2644" s="37"/>
      <c r="N2644" s="37"/>
      <c r="O2644" s="132"/>
      <c r="P2644" s="134"/>
      <c r="Q2644" s="261"/>
      <c r="R2644" s="94"/>
    </row>
    <row r="2645" spans="3:18" x14ac:dyDescent="0.25">
      <c r="C2645" s="279"/>
      <c r="D2645" s="159"/>
      <c r="E2645" s="45"/>
      <c r="F2645" s="148"/>
      <c r="G2645" s="1"/>
      <c r="H2645" s="163"/>
      <c r="I2645" s="37"/>
      <c r="J2645" s="138"/>
      <c r="K2645" s="114"/>
      <c r="L2645" s="37"/>
      <c r="M2645" s="37"/>
      <c r="N2645" s="37"/>
      <c r="O2645" s="132"/>
      <c r="P2645" s="134"/>
      <c r="Q2645" s="261"/>
      <c r="R2645" s="94"/>
    </row>
    <row r="2646" spans="3:18" x14ac:dyDescent="0.25">
      <c r="C2646" s="279"/>
      <c r="D2646" s="159"/>
      <c r="E2646" s="45"/>
      <c r="F2646" s="148"/>
      <c r="G2646" s="1"/>
      <c r="H2646" s="163"/>
      <c r="I2646" s="37"/>
      <c r="J2646" s="138"/>
      <c r="K2646" s="114"/>
      <c r="L2646" s="37"/>
      <c r="M2646" s="37"/>
      <c r="N2646" s="37"/>
      <c r="O2646" s="132"/>
      <c r="P2646" s="134"/>
      <c r="Q2646" s="261"/>
      <c r="R2646" s="94"/>
    </row>
    <row r="2647" spans="3:18" x14ac:dyDescent="0.25">
      <c r="C2647" s="279"/>
      <c r="D2647" s="159"/>
      <c r="E2647" s="45"/>
      <c r="F2647" s="148"/>
      <c r="G2647" s="1"/>
      <c r="H2647" s="163"/>
      <c r="I2647" s="37"/>
      <c r="J2647" s="138"/>
      <c r="K2647" s="114"/>
      <c r="L2647" s="37"/>
      <c r="M2647" s="37"/>
      <c r="N2647" s="37"/>
      <c r="O2647" s="132"/>
      <c r="P2647" s="134"/>
      <c r="Q2647" s="261"/>
      <c r="R2647" s="94"/>
    </row>
    <row r="2648" spans="3:18" x14ac:dyDescent="0.25">
      <c r="C2648" s="279"/>
      <c r="D2648" s="159"/>
      <c r="E2648" s="45"/>
      <c r="F2648" s="148"/>
      <c r="G2648" s="1"/>
      <c r="H2648" s="163"/>
      <c r="I2648" s="37"/>
      <c r="J2648" s="138"/>
      <c r="K2648" s="114"/>
      <c r="L2648" s="37"/>
      <c r="M2648" s="37"/>
      <c r="N2648" s="37"/>
      <c r="O2648" s="132"/>
      <c r="P2648" s="134"/>
      <c r="Q2648" s="261"/>
      <c r="R2648" s="94"/>
    </row>
    <row r="2649" spans="3:18" x14ac:dyDescent="0.25">
      <c r="C2649" s="279"/>
      <c r="D2649" s="159"/>
      <c r="E2649" s="45"/>
      <c r="F2649" s="148"/>
      <c r="G2649" s="1"/>
      <c r="H2649" s="163"/>
      <c r="I2649" s="37"/>
      <c r="J2649" s="138"/>
      <c r="K2649" s="114"/>
      <c r="L2649" s="37"/>
      <c r="M2649" s="37"/>
      <c r="N2649" s="37"/>
      <c r="O2649" s="132"/>
      <c r="P2649" s="134"/>
      <c r="Q2649" s="261"/>
      <c r="R2649" s="94"/>
    </row>
    <row r="2650" spans="3:18" x14ac:dyDescent="0.25">
      <c r="C2650" s="279"/>
      <c r="D2650" s="159"/>
      <c r="E2650" s="45"/>
      <c r="F2650" s="148"/>
      <c r="G2650" s="1"/>
      <c r="H2650" s="163"/>
      <c r="I2650" s="37"/>
      <c r="J2650" s="138"/>
      <c r="K2650" s="114"/>
      <c r="L2650" s="37"/>
      <c r="M2650" s="37"/>
      <c r="N2650" s="37"/>
      <c r="O2650" s="132"/>
      <c r="P2650" s="134"/>
      <c r="Q2650" s="261"/>
      <c r="R2650" s="94"/>
    </row>
    <row r="2651" spans="3:18" x14ac:dyDescent="0.25">
      <c r="C2651" s="279"/>
      <c r="D2651" s="159"/>
      <c r="E2651" s="45"/>
      <c r="F2651" s="148"/>
      <c r="G2651" s="1"/>
      <c r="H2651" s="163"/>
      <c r="I2651" s="37"/>
      <c r="J2651" s="138"/>
      <c r="K2651" s="114"/>
      <c r="L2651" s="37"/>
      <c r="M2651" s="37"/>
      <c r="N2651" s="37"/>
      <c r="O2651" s="132"/>
      <c r="P2651" s="134"/>
      <c r="Q2651" s="261"/>
      <c r="R2651" s="94"/>
    </row>
    <row r="2652" spans="3:18" x14ac:dyDescent="0.25">
      <c r="C2652" s="279"/>
      <c r="D2652" s="159"/>
      <c r="E2652" s="45"/>
      <c r="F2652" s="148"/>
      <c r="G2652" s="1"/>
      <c r="H2652" s="163"/>
      <c r="I2652" s="37"/>
      <c r="J2652" s="138"/>
      <c r="K2652" s="114"/>
      <c r="L2652" s="37"/>
      <c r="M2652" s="37"/>
      <c r="N2652" s="37"/>
      <c r="O2652" s="132"/>
      <c r="P2652" s="134"/>
      <c r="Q2652" s="261"/>
      <c r="R2652" s="94"/>
    </row>
    <row r="2653" spans="3:18" x14ac:dyDescent="0.25">
      <c r="C2653" s="279"/>
      <c r="D2653" s="159"/>
      <c r="E2653" s="45"/>
      <c r="F2653" s="148"/>
      <c r="G2653" s="1"/>
      <c r="H2653" s="163"/>
      <c r="I2653" s="37"/>
      <c r="J2653" s="138"/>
      <c r="K2653" s="114"/>
      <c r="L2653" s="37"/>
      <c r="M2653" s="37"/>
      <c r="N2653" s="37"/>
      <c r="O2653" s="132"/>
      <c r="P2653" s="134"/>
      <c r="Q2653" s="261"/>
      <c r="R2653" s="94"/>
    </row>
    <row r="2654" spans="3:18" x14ac:dyDescent="0.25">
      <c r="C2654" s="279"/>
      <c r="D2654" s="159"/>
      <c r="E2654" s="45"/>
      <c r="F2654" s="148"/>
      <c r="G2654" s="1"/>
      <c r="H2654" s="163"/>
      <c r="I2654" s="37"/>
      <c r="J2654" s="138"/>
      <c r="K2654" s="114"/>
      <c r="L2654" s="37"/>
      <c r="M2654" s="37"/>
      <c r="N2654" s="37"/>
      <c r="O2654" s="132"/>
      <c r="P2654" s="134"/>
      <c r="Q2654" s="261"/>
      <c r="R2654" s="94"/>
    </row>
    <row r="2655" spans="3:18" x14ac:dyDescent="0.25">
      <c r="C2655" s="279"/>
      <c r="D2655" s="159"/>
      <c r="E2655" s="45"/>
      <c r="F2655" s="148"/>
      <c r="G2655" s="1"/>
      <c r="H2655" s="163"/>
      <c r="I2655" s="37"/>
      <c r="J2655" s="138"/>
      <c r="K2655" s="114"/>
      <c r="L2655" s="37"/>
      <c r="M2655" s="37"/>
      <c r="N2655" s="37"/>
      <c r="O2655" s="132"/>
      <c r="P2655" s="134"/>
      <c r="Q2655" s="261"/>
      <c r="R2655" s="94"/>
    </row>
    <row r="2656" spans="3:18" x14ac:dyDescent="0.25">
      <c r="C2656" s="279"/>
      <c r="D2656" s="159"/>
      <c r="E2656" s="45"/>
      <c r="F2656" s="148"/>
      <c r="G2656" s="1"/>
      <c r="H2656" s="163"/>
      <c r="I2656" s="37"/>
      <c r="J2656" s="138"/>
      <c r="K2656" s="114"/>
      <c r="L2656" s="37"/>
      <c r="M2656" s="37"/>
      <c r="N2656" s="37"/>
      <c r="O2656" s="132"/>
      <c r="P2656" s="134"/>
      <c r="Q2656" s="261"/>
      <c r="R2656" s="94"/>
    </row>
    <row r="2657" spans="3:18" x14ac:dyDescent="0.25">
      <c r="C2657" s="279"/>
      <c r="D2657" s="159"/>
      <c r="E2657" s="45"/>
      <c r="F2657" s="148"/>
      <c r="G2657" s="1"/>
      <c r="H2657" s="163"/>
      <c r="I2657" s="37"/>
      <c r="J2657" s="138"/>
      <c r="K2657" s="114"/>
      <c r="L2657" s="37"/>
      <c r="M2657" s="37"/>
      <c r="N2657" s="37"/>
      <c r="O2657" s="132"/>
      <c r="P2657" s="134"/>
      <c r="Q2657" s="261"/>
      <c r="R2657" s="94"/>
    </row>
    <row r="2658" spans="3:18" x14ac:dyDescent="0.25">
      <c r="C2658" s="279"/>
      <c r="D2658" s="159"/>
      <c r="E2658" s="45"/>
      <c r="F2658" s="148"/>
      <c r="G2658" s="1"/>
      <c r="H2658" s="163"/>
      <c r="I2658" s="37"/>
      <c r="J2658" s="138"/>
      <c r="K2658" s="114"/>
      <c r="L2658" s="37"/>
      <c r="M2658" s="37"/>
      <c r="N2658" s="37"/>
      <c r="O2658" s="132"/>
      <c r="P2658" s="134"/>
      <c r="Q2658" s="261"/>
      <c r="R2658" s="94"/>
    </row>
    <row r="2659" spans="3:18" x14ac:dyDescent="0.25">
      <c r="C2659" s="279"/>
      <c r="D2659" s="159"/>
      <c r="E2659" s="45"/>
      <c r="F2659" s="148"/>
      <c r="G2659" s="1"/>
      <c r="H2659" s="163"/>
      <c r="I2659" s="37"/>
      <c r="J2659" s="138"/>
      <c r="K2659" s="114"/>
      <c r="L2659" s="37"/>
      <c r="M2659" s="37"/>
      <c r="N2659" s="37"/>
      <c r="O2659" s="132"/>
      <c r="P2659" s="134"/>
      <c r="Q2659" s="261"/>
      <c r="R2659" s="94"/>
    </row>
    <row r="2660" spans="3:18" x14ac:dyDescent="0.25">
      <c r="C2660" s="279"/>
      <c r="D2660" s="159"/>
      <c r="E2660" s="45"/>
      <c r="F2660" s="148"/>
      <c r="G2660" s="1"/>
      <c r="H2660" s="163"/>
      <c r="I2660" s="37"/>
      <c r="J2660" s="138"/>
      <c r="K2660" s="114"/>
      <c r="L2660" s="37"/>
      <c r="M2660" s="37"/>
      <c r="N2660" s="37"/>
      <c r="O2660" s="132"/>
      <c r="P2660" s="134"/>
      <c r="Q2660" s="261"/>
      <c r="R2660" s="94"/>
    </row>
    <row r="2661" spans="3:18" x14ac:dyDescent="0.25">
      <c r="C2661" s="279"/>
      <c r="D2661" s="159"/>
      <c r="E2661" s="45"/>
      <c r="F2661" s="148"/>
      <c r="G2661" s="1"/>
      <c r="H2661" s="163"/>
      <c r="I2661" s="37"/>
      <c r="J2661" s="138"/>
      <c r="K2661" s="114"/>
      <c r="L2661" s="37"/>
      <c r="M2661" s="37"/>
      <c r="N2661" s="37"/>
      <c r="O2661" s="132"/>
      <c r="P2661" s="134"/>
      <c r="Q2661" s="261"/>
      <c r="R2661" s="94"/>
    </row>
    <row r="2662" spans="3:18" x14ac:dyDescent="0.25">
      <c r="C2662" s="279"/>
      <c r="D2662" s="159"/>
      <c r="E2662" s="45"/>
      <c r="F2662" s="148"/>
      <c r="G2662" s="1"/>
      <c r="H2662" s="163"/>
      <c r="I2662" s="37"/>
      <c r="J2662" s="138"/>
      <c r="K2662" s="114"/>
      <c r="L2662" s="37"/>
      <c r="M2662" s="37"/>
      <c r="N2662" s="37"/>
      <c r="O2662" s="132"/>
      <c r="P2662" s="134"/>
      <c r="Q2662" s="261"/>
      <c r="R2662" s="94"/>
    </row>
    <row r="2663" spans="3:18" x14ac:dyDescent="0.25">
      <c r="C2663" s="279"/>
      <c r="D2663" s="159"/>
      <c r="E2663" s="45"/>
      <c r="F2663" s="148"/>
      <c r="G2663" s="1"/>
      <c r="H2663" s="163"/>
      <c r="I2663" s="37"/>
      <c r="J2663" s="138"/>
      <c r="K2663" s="114"/>
      <c r="L2663" s="37"/>
      <c r="M2663" s="37"/>
      <c r="N2663" s="37"/>
      <c r="O2663" s="132"/>
      <c r="P2663" s="134"/>
      <c r="Q2663" s="261"/>
      <c r="R2663" s="94"/>
    </row>
    <row r="2664" spans="3:18" x14ac:dyDescent="0.25">
      <c r="C2664" s="279"/>
      <c r="D2664" s="159"/>
      <c r="E2664" s="45"/>
      <c r="F2664" s="148"/>
      <c r="G2664" s="1"/>
      <c r="H2664" s="163"/>
      <c r="I2664" s="37"/>
      <c r="J2664" s="138"/>
      <c r="K2664" s="114"/>
      <c r="L2664" s="37"/>
      <c r="M2664" s="37"/>
      <c r="N2664" s="37"/>
      <c r="O2664" s="132"/>
      <c r="P2664" s="134"/>
      <c r="Q2664" s="261"/>
      <c r="R2664" s="94"/>
    </row>
    <row r="2665" spans="3:18" x14ac:dyDescent="0.25">
      <c r="C2665" s="279"/>
      <c r="D2665" s="159"/>
      <c r="E2665" s="45"/>
      <c r="F2665" s="148"/>
      <c r="G2665" s="1"/>
      <c r="H2665" s="163"/>
      <c r="I2665" s="37"/>
      <c r="J2665" s="138"/>
      <c r="K2665" s="114"/>
      <c r="L2665" s="37"/>
      <c r="M2665" s="37"/>
      <c r="N2665" s="37"/>
      <c r="O2665" s="132"/>
      <c r="P2665" s="134"/>
      <c r="Q2665" s="261"/>
      <c r="R2665" s="94"/>
    </row>
    <row r="2666" spans="3:18" x14ac:dyDescent="0.25">
      <c r="C2666" s="279"/>
      <c r="D2666" s="159"/>
      <c r="E2666" s="45"/>
      <c r="F2666" s="148"/>
      <c r="G2666" s="1"/>
      <c r="H2666" s="163"/>
      <c r="I2666" s="37"/>
      <c r="J2666" s="138"/>
      <c r="K2666" s="114"/>
      <c r="L2666" s="37"/>
      <c r="M2666" s="37"/>
      <c r="N2666" s="37"/>
      <c r="O2666" s="132"/>
      <c r="P2666" s="134"/>
      <c r="Q2666" s="261"/>
      <c r="R2666" s="94"/>
    </row>
    <row r="2667" spans="3:18" x14ac:dyDescent="0.25">
      <c r="C2667" s="279"/>
      <c r="D2667" s="159"/>
      <c r="E2667" s="45"/>
      <c r="F2667" s="148"/>
      <c r="G2667" s="1"/>
      <c r="H2667" s="163"/>
      <c r="I2667" s="37"/>
      <c r="J2667" s="138"/>
      <c r="K2667" s="114"/>
      <c r="L2667" s="37"/>
      <c r="M2667" s="37"/>
      <c r="N2667" s="37"/>
      <c r="O2667" s="132"/>
      <c r="P2667" s="134"/>
      <c r="Q2667" s="261"/>
      <c r="R2667" s="94"/>
    </row>
    <row r="2668" spans="3:18" x14ac:dyDescent="0.25">
      <c r="C2668" s="279"/>
      <c r="D2668" s="159"/>
      <c r="E2668" s="45"/>
      <c r="F2668" s="148"/>
      <c r="G2668" s="1"/>
      <c r="H2668" s="163"/>
      <c r="I2668" s="37"/>
      <c r="J2668" s="138"/>
      <c r="K2668" s="114"/>
      <c r="L2668" s="37"/>
      <c r="M2668" s="37"/>
      <c r="N2668" s="37"/>
      <c r="O2668" s="132"/>
      <c r="P2668" s="134"/>
      <c r="Q2668" s="261"/>
      <c r="R2668" s="94"/>
    </row>
    <row r="2669" spans="3:18" x14ac:dyDescent="0.25">
      <c r="C2669" s="279"/>
      <c r="D2669" s="159"/>
      <c r="E2669" s="45"/>
      <c r="F2669" s="148"/>
      <c r="G2669" s="1"/>
      <c r="H2669" s="163"/>
      <c r="I2669" s="37"/>
      <c r="J2669" s="138"/>
      <c r="K2669" s="114"/>
      <c r="L2669" s="37"/>
      <c r="M2669" s="37"/>
      <c r="N2669" s="37"/>
      <c r="O2669" s="132"/>
      <c r="P2669" s="134"/>
      <c r="Q2669" s="261"/>
      <c r="R2669" s="94"/>
    </row>
    <row r="2670" spans="3:18" x14ac:dyDescent="0.25">
      <c r="C2670" s="279"/>
      <c r="D2670" s="159"/>
      <c r="E2670" s="45"/>
      <c r="F2670" s="148"/>
      <c r="G2670" s="1"/>
      <c r="H2670" s="163"/>
      <c r="I2670" s="37"/>
      <c r="J2670" s="138"/>
      <c r="K2670" s="114"/>
      <c r="L2670" s="37"/>
      <c r="M2670" s="37"/>
      <c r="N2670" s="37"/>
      <c r="O2670" s="132"/>
      <c r="P2670" s="134"/>
      <c r="Q2670" s="261"/>
      <c r="R2670" s="94"/>
    </row>
    <row r="2671" spans="3:18" x14ac:dyDescent="0.25">
      <c r="C2671" s="279"/>
      <c r="D2671" s="159"/>
      <c r="E2671" s="45"/>
      <c r="F2671" s="148"/>
      <c r="G2671" s="1"/>
      <c r="H2671" s="163"/>
      <c r="I2671" s="37"/>
      <c r="J2671" s="138"/>
      <c r="K2671" s="114"/>
      <c r="L2671" s="37"/>
      <c r="M2671" s="37"/>
      <c r="N2671" s="37"/>
      <c r="O2671" s="132"/>
      <c r="P2671" s="134"/>
      <c r="Q2671" s="261"/>
      <c r="R2671" s="94"/>
    </row>
    <row r="2672" spans="3:18" x14ac:dyDescent="0.25">
      <c r="C2672" s="279"/>
      <c r="D2672" s="159"/>
      <c r="E2672" s="45"/>
      <c r="F2672" s="148"/>
      <c r="G2672" s="1"/>
      <c r="H2672" s="163"/>
      <c r="I2672" s="37"/>
      <c r="J2672" s="138"/>
      <c r="K2672" s="114"/>
      <c r="L2672" s="37"/>
      <c r="M2672" s="37"/>
      <c r="N2672" s="37"/>
      <c r="O2672" s="132"/>
      <c r="P2672" s="134"/>
      <c r="Q2672" s="261"/>
      <c r="R2672" s="94"/>
    </row>
    <row r="2673" spans="3:18" x14ac:dyDescent="0.25">
      <c r="C2673" s="279"/>
      <c r="D2673" s="159"/>
      <c r="E2673" s="45"/>
      <c r="F2673" s="148"/>
      <c r="G2673" s="1"/>
      <c r="H2673" s="163"/>
      <c r="I2673" s="37"/>
      <c r="J2673" s="138"/>
      <c r="K2673" s="114"/>
      <c r="L2673" s="37"/>
      <c r="M2673" s="37"/>
      <c r="N2673" s="37"/>
      <c r="O2673" s="132"/>
      <c r="P2673" s="134"/>
      <c r="Q2673" s="261"/>
      <c r="R2673" s="94"/>
    </row>
    <row r="2674" spans="3:18" x14ac:dyDescent="0.25">
      <c r="C2674" s="279"/>
      <c r="D2674" s="159"/>
      <c r="E2674" s="45"/>
      <c r="F2674" s="148"/>
      <c r="G2674" s="1"/>
      <c r="H2674" s="163"/>
      <c r="I2674" s="37"/>
      <c r="J2674" s="138"/>
      <c r="K2674" s="114"/>
      <c r="L2674" s="37"/>
      <c r="M2674" s="37"/>
      <c r="N2674" s="37"/>
      <c r="O2674" s="132"/>
      <c r="P2674" s="134"/>
      <c r="Q2674" s="261"/>
      <c r="R2674" s="94"/>
    </row>
    <row r="2675" spans="3:18" x14ac:dyDescent="0.25">
      <c r="C2675" s="279"/>
      <c r="D2675" s="159"/>
      <c r="E2675" s="45"/>
      <c r="F2675" s="148"/>
      <c r="G2675" s="1"/>
      <c r="H2675" s="163"/>
      <c r="I2675" s="37"/>
      <c r="J2675" s="138"/>
      <c r="K2675" s="114"/>
      <c r="L2675" s="37"/>
      <c r="M2675" s="37"/>
      <c r="N2675" s="37"/>
      <c r="O2675" s="132"/>
      <c r="P2675" s="134"/>
      <c r="Q2675" s="261"/>
      <c r="R2675" s="94"/>
    </row>
    <row r="2676" spans="3:18" x14ac:dyDescent="0.25">
      <c r="C2676" s="279"/>
      <c r="D2676" s="159"/>
      <c r="E2676" s="45"/>
      <c r="F2676" s="148"/>
      <c r="G2676" s="1"/>
      <c r="H2676" s="163"/>
      <c r="I2676" s="37"/>
      <c r="J2676" s="138"/>
      <c r="K2676" s="114"/>
      <c r="L2676" s="37"/>
      <c r="M2676" s="37"/>
      <c r="N2676" s="37"/>
      <c r="O2676" s="132"/>
      <c r="P2676" s="134"/>
      <c r="Q2676" s="261"/>
      <c r="R2676" s="94"/>
    </row>
    <row r="2677" spans="3:18" x14ac:dyDescent="0.25">
      <c r="C2677" s="279"/>
      <c r="D2677" s="159"/>
      <c r="E2677" s="45"/>
      <c r="F2677" s="148"/>
      <c r="G2677" s="1"/>
      <c r="H2677" s="163"/>
      <c r="I2677" s="37"/>
      <c r="J2677" s="138"/>
      <c r="K2677" s="114"/>
      <c r="L2677" s="37"/>
      <c r="M2677" s="37"/>
      <c r="N2677" s="37"/>
      <c r="O2677" s="132"/>
      <c r="P2677" s="134"/>
      <c r="Q2677" s="261"/>
      <c r="R2677" s="94"/>
    </row>
    <row r="2678" spans="3:18" x14ac:dyDescent="0.25">
      <c r="C2678" s="279"/>
      <c r="D2678" s="159"/>
      <c r="E2678" s="45"/>
      <c r="F2678" s="148"/>
      <c r="G2678" s="1"/>
      <c r="H2678" s="163"/>
      <c r="I2678" s="37"/>
      <c r="J2678" s="138"/>
      <c r="K2678" s="114"/>
      <c r="L2678" s="37"/>
      <c r="M2678" s="37"/>
      <c r="N2678" s="37"/>
      <c r="O2678" s="132"/>
      <c r="P2678" s="134"/>
      <c r="Q2678" s="261"/>
      <c r="R2678" s="94"/>
    </row>
    <row r="2679" spans="3:18" x14ac:dyDescent="0.25">
      <c r="C2679" s="279"/>
      <c r="D2679" s="159"/>
      <c r="E2679" s="45"/>
      <c r="F2679" s="148"/>
      <c r="G2679" s="1"/>
      <c r="H2679" s="163"/>
      <c r="I2679" s="37"/>
      <c r="J2679" s="138"/>
      <c r="K2679" s="114"/>
      <c r="L2679" s="37"/>
      <c r="M2679" s="37"/>
      <c r="N2679" s="37"/>
      <c r="O2679" s="132"/>
      <c r="P2679" s="134"/>
      <c r="Q2679" s="261"/>
      <c r="R2679" s="94"/>
    </row>
    <row r="2680" spans="3:18" x14ac:dyDescent="0.25">
      <c r="C2680" s="279"/>
      <c r="D2680" s="159"/>
      <c r="E2680" s="45"/>
      <c r="F2680" s="148"/>
      <c r="G2680" s="1"/>
      <c r="H2680" s="163"/>
      <c r="I2680" s="37"/>
      <c r="J2680" s="138"/>
      <c r="K2680" s="114"/>
      <c r="L2680" s="37"/>
      <c r="M2680" s="37"/>
      <c r="N2680" s="37"/>
      <c r="O2680" s="132"/>
      <c r="P2680" s="134"/>
      <c r="Q2680" s="261"/>
      <c r="R2680" s="94"/>
    </row>
    <row r="2681" spans="3:18" x14ac:dyDescent="0.25">
      <c r="C2681" s="279"/>
      <c r="D2681" s="159"/>
      <c r="E2681" s="45"/>
      <c r="F2681" s="148"/>
      <c r="G2681" s="1"/>
      <c r="H2681" s="163"/>
      <c r="I2681" s="37"/>
      <c r="J2681" s="138"/>
      <c r="K2681" s="114"/>
      <c r="L2681" s="37"/>
      <c r="M2681" s="37"/>
      <c r="N2681" s="37"/>
      <c r="O2681" s="132"/>
      <c r="P2681" s="134"/>
      <c r="Q2681" s="261"/>
      <c r="R2681" s="94"/>
    </row>
    <row r="2682" spans="3:18" x14ac:dyDescent="0.25">
      <c r="C2682" s="279"/>
      <c r="D2682" s="159"/>
      <c r="E2682" s="45"/>
      <c r="F2682" s="148"/>
      <c r="G2682" s="1"/>
      <c r="H2682" s="163"/>
      <c r="I2682" s="37"/>
      <c r="J2682" s="138"/>
      <c r="K2682" s="114"/>
      <c r="L2682" s="37"/>
      <c r="M2682" s="37"/>
      <c r="N2682" s="37"/>
      <c r="O2682" s="132"/>
      <c r="P2682" s="134"/>
      <c r="Q2682" s="261"/>
      <c r="R2682" s="94"/>
    </row>
    <row r="2683" spans="3:18" x14ac:dyDescent="0.25">
      <c r="C2683" s="279"/>
      <c r="D2683" s="159"/>
      <c r="E2683" s="45"/>
      <c r="F2683" s="148"/>
      <c r="G2683" s="1"/>
      <c r="H2683" s="163"/>
      <c r="I2683" s="37"/>
      <c r="J2683" s="138"/>
      <c r="K2683" s="114"/>
      <c r="L2683" s="37"/>
      <c r="M2683" s="37"/>
      <c r="N2683" s="37"/>
      <c r="O2683" s="132"/>
      <c r="P2683" s="134"/>
      <c r="Q2683" s="261"/>
      <c r="R2683" s="94"/>
    </row>
    <row r="2684" spans="3:18" x14ac:dyDescent="0.25">
      <c r="C2684" s="279"/>
      <c r="D2684" s="159"/>
      <c r="E2684" s="45"/>
      <c r="F2684" s="148"/>
      <c r="G2684" s="1"/>
      <c r="H2684" s="163"/>
      <c r="I2684" s="37"/>
      <c r="J2684" s="138"/>
      <c r="K2684" s="114"/>
      <c r="L2684" s="37"/>
      <c r="M2684" s="37"/>
      <c r="N2684" s="37"/>
      <c r="O2684" s="132"/>
      <c r="P2684" s="134"/>
      <c r="Q2684" s="261"/>
      <c r="R2684" s="94"/>
    </row>
    <row r="2685" spans="3:18" x14ac:dyDescent="0.25">
      <c r="C2685" s="279"/>
      <c r="D2685" s="159"/>
      <c r="E2685" s="45"/>
      <c r="F2685" s="148"/>
      <c r="G2685" s="1"/>
      <c r="H2685" s="163"/>
      <c r="I2685" s="37"/>
      <c r="J2685" s="138"/>
      <c r="K2685" s="114"/>
      <c r="L2685" s="37"/>
      <c r="M2685" s="37"/>
      <c r="N2685" s="37"/>
      <c r="O2685" s="132"/>
      <c r="P2685" s="134"/>
      <c r="Q2685" s="261"/>
      <c r="R2685" s="94"/>
    </row>
    <row r="2686" spans="3:18" x14ac:dyDescent="0.25">
      <c r="C2686" s="279"/>
      <c r="D2686" s="159"/>
      <c r="E2686" s="45"/>
      <c r="F2686" s="148"/>
      <c r="G2686" s="1"/>
      <c r="H2686" s="163"/>
      <c r="I2686" s="37"/>
      <c r="J2686" s="138"/>
      <c r="K2686" s="114"/>
      <c r="L2686" s="37"/>
      <c r="M2686" s="37"/>
      <c r="N2686" s="37"/>
      <c r="O2686" s="132"/>
      <c r="P2686" s="134"/>
      <c r="Q2686" s="261"/>
      <c r="R2686" s="94"/>
    </row>
    <row r="2687" spans="3:18" x14ac:dyDescent="0.25">
      <c r="C2687" s="279"/>
      <c r="D2687" s="159"/>
      <c r="E2687" s="45"/>
      <c r="F2687" s="148"/>
      <c r="G2687" s="1"/>
      <c r="H2687" s="163"/>
      <c r="I2687" s="37"/>
      <c r="J2687" s="138"/>
      <c r="K2687" s="114"/>
      <c r="L2687" s="37"/>
      <c r="M2687" s="37"/>
      <c r="N2687" s="37"/>
      <c r="O2687" s="132"/>
      <c r="P2687" s="134"/>
      <c r="Q2687" s="261"/>
      <c r="R2687" s="94"/>
    </row>
    <row r="2688" spans="3:18" x14ac:dyDescent="0.25">
      <c r="C2688" s="279"/>
      <c r="D2688" s="159"/>
      <c r="E2688" s="45"/>
      <c r="F2688" s="148"/>
      <c r="G2688" s="1"/>
      <c r="H2688" s="163"/>
      <c r="I2688" s="37"/>
      <c r="J2688" s="138"/>
      <c r="K2688" s="114"/>
      <c r="L2688" s="37"/>
      <c r="M2688" s="37"/>
      <c r="N2688" s="37"/>
      <c r="O2688" s="132"/>
      <c r="P2688" s="134"/>
      <c r="Q2688" s="261"/>
      <c r="R2688" s="94"/>
    </row>
    <row r="2689" spans="3:18" x14ac:dyDescent="0.25">
      <c r="C2689" s="279"/>
      <c r="D2689" s="159"/>
      <c r="E2689" s="45"/>
      <c r="F2689" s="148"/>
      <c r="G2689" s="1"/>
      <c r="H2689" s="163"/>
      <c r="I2689" s="37"/>
      <c r="J2689" s="138"/>
      <c r="K2689" s="114"/>
      <c r="L2689" s="37"/>
      <c r="M2689" s="37"/>
      <c r="N2689" s="37"/>
      <c r="O2689" s="132"/>
      <c r="P2689" s="134"/>
      <c r="Q2689" s="261"/>
      <c r="R2689" s="94"/>
    </row>
    <row r="2690" spans="3:18" x14ac:dyDescent="0.25">
      <c r="C2690" s="279"/>
      <c r="D2690" s="159"/>
      <c r="E2690" s="45"/>
      <c r="F2690" s="148"/>
      <c r="G2690" s="1"/>
      <c r="H2690" s="163"/>
      <c r="I2690" s="37"/>
      <c r="J2690" s="138"/>
      <c r="K2690" s="114"/>
      <c r="L2690" s="37"/>
      <c r="M2690" s="37"/>
      <c r="N2690" s="37"/>
      <c r="O2690" s="132"/>
      <c r="P2690" s="134"/>
      <c r="Q2690" s="261"/>
      <c r="R2690" s="94"/>
    </row>
    <row r="2691" spans="3:18" x14ac:dyDescent="0.25">
      <c r="C2691" s="279"/>
      <c r="D2691" s="159"/>
      <c r="E2691" s="45"/>
      <c r="F2691" s="148"/>
      <c r="G2691" s="1"/>
      <c r="H2691" s="163"/>
      <c r="I2691" s="37"/>
      <c r="J2691" s="138"/>
      <c r="K2691" s="114"/>
      <c r="L2691" s="37"/>
      <c r="M2691" s="37"/>
      <c r="N2691" s="37"/>
      <c r="O2691" s="132"/>
      <c r="P2691" s="134"/>
      <c r="Q2691" s="261"/>
      <c r="R2691" s="94"/>
    </row>
    <row r="2692" spans="3:18" x14ac:dyDescent="0.25">
      <c r="C2692" s="279"/>
      <c r="D2692" s="159"/>
      <c r="E2692" s="45"/>
      <c r="F2692" s="148"/>
      <c r="G2692" s="1"/>
      <c r="H2692" s="163"/>
      <c r="I2692" s="37"/>
      <c r="J2692" s="138"/>
      <c r="K2692" s="114"/>
      <c r="L2692" s="37"/>
      <c r="M2692" s="37"/>
      <c r="N2692" s="37"/>
      <c r="O2692" s="132"/>
      <c r="P2692" s="134"/>
      <c r="Q2692" s="261"/>
      <c r="R2692" s="94"/>
    </row>
    <row r="2693" spans="3:18" x14ac:dyDescent="0.25">
      <c r="C2693" s="279"/>
      <c r="D2693" s="159"/>
      <c r="E2693" s="45"/>
      <c r="F2693" s="148"/>
      <c r="G2693" s="1"/>
      <c r="H2693" s="163"/>
      <c r="I2693" s="37"/>
      <c r="J2693" s="138"/>
      <c r="K2693" s="114"/>
      <c r="L2693" s="37"/>
      <c r="M2693" s="37"/>
      <c r="N2693" s="37"/>
      <c r="O2693" s="132"/>
      <c r="P2693" s="134"/>
      <c r="Q2693" s="261"/>
      <c r="R2693" s="94"/>
    </row>
    <row r="2694" spans="3:18" x14ac:dyDescent="0.25">
      <c r="C2694" s="279"/>
      <c r="D2694" s="159"/>
      <c r="E2694" s="45"/>
      <c r="F2694" s="148"/>
      <c r="G2694" s="1"/>
      <c r="H2694" s="163"/>
      <c r="I2694" s="37"/>
      <c r="J2694" s="138"/>
      <c r="K2694" s="114"/>
      <c r="L2694" s="37"/>
      <c r="M2694" s="37"/>
      <c r="N2694" s="37"/>
      <c r="O2694" s="132"/>
      <c r="P2694" s="134"/>
      <c r="Q2694" s="261"/>
      <c r="R2694" s="94"/>
    </row>
    <row r="2695" spans="3:18" x14ac:dyDescent="0.25">
      <c r="C2695" s="279"/>
      <c r="D2695" s="159"/>
      <c r="E2695" s="45"/>
      <c r="F2695" s="148"/>
      <c r="G2695" s="1"/>
      <c r="H2695" s="163"/>
      <c r="I2695" s="37"/>
      <c r="J2695" s="138"/>
      <c r="K2695" s="114"/>
      <c r="L2695" s="37"/>
      <c r="M2695" s="37"/>
      <c r="N2695" s="37"/>
      <c r="O2695" s="132"/>
      <c r="P2695" s="134"/>
      <c r="Q2695" s="261"/>
      <c r="R2695" s="94"/>
    </row>
    <row r="2696" spans="3:18" x14ac:dyDescent="0.25">
      <c r="C2696" s="279"/>
      <c r="D2696" s="159"/>
      <c r="E2696" s="45"/>
      <c r="F2696" s="148"/>
      <c r="G2696" s="1"/>
      <c r="H2696" s="163"/>
      <c r="I2696" s="37"/>
      <c r="J2696" s="138"/>
      <c r="K2696" s="114"/>
      <c r="L2696" s="37"/>
      <c r="M2696" s="37"/>
      <c r="N2696" s="37"/>
      <c r="O2696" s="132"/>
      <c r="P2696" s="134"/>
      <c r="Q2696" s="261"/>
      <c r="R2696" s="94"/>
    </row>
    <row r="2697" spans="3:18" x14ac:dyDescent="0.25">
      <c r="C2697" s="279"/>
      <c r="D2697" s="159"/>
      <c r="E2697" s="45"/>
      <c r="F2697" s="148"/>
      <c r="G2697" s="1"/>
      <c r="H2697" s="163"/>
      <c r="I2697" s="37"/>
      <c r="J2697" s="138"/>
      <c r="K2697" s="114"/>
      <c r="L2697" s="37"/>
      <c r="M2697" s="37"/>
      <c r="N2697" s="37"/>
      <c r="O2697" s="132"/>
      <c r="P2697" s="134"/>
      <c r="Q2697" s="261"/>
      <c r="R2697" s="94"/>
    </row>
    <row r="2698" spans="3:18" x14ac:dyDescent="0.25">
      <c r="C2698" s="279"/>
      <c r="D2698" s="159"/>
      <c r="E2698" s="45"/>
      <c r="F2698" s="148"/>
      <c r="G2698" s="1"/>
      <c r="H2698" s="163"/>
      <c r="I2698" s="37"/>
      <c r="J2698" s="138"/>
      <c r="K2698" s="114"/>
      <c r="L2698" s="37"/>
      <c r="M2698" s="37"/>
      <c r="N2698" s="37"/>
      <c r="O2698" s="132"/>
      <c r="P2698" s="134"/>
      <c r="Q2698" s="261"/>
      <c r="R2698" s="94"/>
    </row>
    <row r="2699" spans="3:18" x14ac:dyDescent="0.25">
      <c r="C2699" s="279"/>
      <c r="D2699" s="159"/>
      <c r="E2699" s="45"/>
      <c r="F2699" s="148"/>
      <c r="G2699" s="1"/>
      <c r="H2699" s="163"/>
      <c r="I2699" s="37"/>
      <c r="J2699" s="138"/>
      <c r="K2699" s="114"/>
      <c r="L2699" s="37"/>
      <c r="M2699" s="37"/>
      <c r="N2699" s="37"/>
      <c r="O2699" s="132"/>
      <c r="P2699" s="134"/>
      <c r="Q2699" s="261"/>
      <c r="R2699" s="94"/>
    </row>
    <row r="2700" spans="3:18" x14ac:dyDescent="0.25">
      <c r="C2700" s="279"/>
      <c r="D2700" s="159"/>
      <c r="E2700" s="45"/>
      <c r="F2700" s="148"/>
      <c r="G2700" s="1"/>
      <c r="H2700" s="163"/>
      <c r="I2700" s="37"/>
      <c r="J2700" s="138"/>
      <c r="K2700" s="114"/>
      <c r="L2700" s="37"/>
      <c r="M2700" s="37"/>
      <c r="N2700" s="37"/>
      <c r="O2700" s="132"/>
      <c r="P2700" s="134"/>
      <c r="Q2700" s="261"/>
      <c r="R2700" s="94"/>
    </row>
    <row r="2701" spans="3:18" x14ac:dyDescent="0.25">
      <c r="C2701" s="279"/>
      <c r="D2701" s="159"/>
      <c r="E2701" s="45"/>
      <c r="F2701" s="148"/>
      <c r="G2701" s="1"/>
      <c r="H2701" s="163"/>
      <c r="I2701" s="37"/>
      <c r="J2701" s="138"/>
      <c r="K2701" s="114"/>
      <c r="L2701" s="37"/>
      <c r="M2701" s="37"/>
      <c r="N2701" s="37"/>
      <c r="O2701" s="132"/>
      <c r="P2701" s="134"/>
      <c r="Q2701" s="261"/>
      <c r="R2701" s="94"/>
    </row>
    <row r="2702" spans="3:18" x14ac:dyDescent="0.25">
      <c r="C2702" s="279"/>
      <c r="D2702" s="159"/>
      <c r="E2702" s="45"/>
      <c r="F2702" s="148"/>
      <c r="G2702" s="1"/>
      <c r="H2702" s="163"/>
      <c r="I2702" s="37"/>
      <c r="J2702" s="138"/>
      <c r="K2702" s="114"/>
      <c r="L2702" s="37"/>
      <c r="M2702" s="37"/>
      <c r="N2702" s="37"/>
      <c r="O2702" s="132"/>
      <c r="P2702" s="134"/>
      <c r="Q2702" s="261"/>
      <c r="R2702" s="94"/>
    </row>
    <row r="2703" spans="3:18" x14ac:dyDescent="0.25">
      <c r="C2703" s="279"/>
      <c r="D2703" s="159"/>
      <c r="E2703" s="45"/>
      <c r="F2703" s="148"/>
      <c r="G2703" s="1"/>
      <c r="H2703" s="163"/>
      <c r="I2703" s="37"/>
      <c r="J2703" s="138"/>
      <c r="K2703" s="114"/>
      <c r="L2703" s="37"/>
      <c r="M2703" s="37"/>
      <c r="N2703" s="37"/>
      <c r="O2703" s="132"/>
      <c r="P2703" s="134"/>
      <c r="Q2703" s="261"/>
      <c r="R2703" s="94"/>
    </row>
    <row r="2704" spans="3:18" x14ac:dyDescent="0.25">
      <c r="C2704" s="279"/>
      <c r="D2704" s="159"/>
      <c r="E2704" s="45"/>
      <c r="F2704" s="148"/>
      <c r="G2704" s="1"/>
      <c r="H2704" s="163"/>
      <c r="I2704" s="37"/>
      <c r="J2704" s="138"/>
      <c r="K2704" s="114"/>
      <c r="L2704" s="37"/>
      <c r="M2704" s="37"/>
      <c r="N2704" s="37"/>
      <c r="O2704" s="132"/>
      <c r="P2704" s="134"/>
      <c r="Q2704" s="261"/>
      <c r="R2704" s="94"/>
    </row>
    <row r="2705" spans="3:18" x14ac:dyDescent="0.25">
      <c r="C2705" s="279"/>
      <c r="D2705" s="159"/>
      <c r="E2705" s="45"/>
      <c r="F2705" s="148"/>
      <c r="G2705" s="1"/>
      <c r="H2705" s="163"/>
      <c r="I2705" s="37"/>
      <c r="J2705" s="138"/>
      <c r="K2705" s="114"/>
      <c r="L2705" s="37"/>
      <c r="M2705" s="37"/>
      <c r="N2705" s="37"/>
      <c r="O2705" s="132"/>
      <c r="P2705" s="134"/>
      <c r="Q2705" s="261"/>
      <c r="R2705" s="94"/>
    </row>
    <row r="2706" spans="3:18" x14ac:dyDescent="0.25">
      <c r="C2706" s="279"/>
      <c r="D2706" s="159"/>
      <c r="E2706" s="45"/>
      <c r="F2706" s="148"/>
      <c r="G2706" s="1"/>
      <c r="H2706" s="163"/>
      <c r="I2706" s="37"/>
      <c r="J2706" s="138"/>
      <c r="K2706" s="114"/>
      <c r="L2706" s="37"/>
      <c r="M2706" s="37"/>
      <c r="N2706" s="37"/>
      <c r="O2706" s="132"/>
      <c r="P2706" s="134"/>
      <c r="Q2706" s="261"/>
      <c r="R2706" s="94"/>
    </row>
    <row r="2707" spans="3:18" x14ac:dyDescent="0.25">
      <c r="C2707" s="279"/>
      <c r="D2707" s="159"/>
      <c r="E2707" s="45"/>
      <c r="F2707" s="148"/>
      <c r="G2707" s="1"/>
      <c r="H2707" s="163"/>
      <c r="I2707" s="37"/>
      <c r="J2707" s="138"/>
      <c r="K2707" s="114"/>
      <c r="L2707" s="37"/>
      <c r="M2707" s="37"/>
      <c r="N2707" s="37"/>
      <c r="O2707" s="132"/>
      <c r="P2707" s="134"/>
      <c r="Q2707" s="261"/>
      <c r="R2707" s="94"/>
    </row>
    <row r="2708" spans="3:18" x14ac:dyDescent="0.25">
      <c r="C2708" s="279"/>
      <c r="D2708" s="159"/>
      <c r="E2708" s="45"/>
      <c r="F2708" s="148"/>
      <c r="G2708" s="1"/>
      <c r="H2708" s="163"/>
      <c r="I2708" s="37"/>
      <c r="J2708" s="138"/>
      <c r="K2708" s="114"/>
      <c r="L2708" s="37"/>
      <c r="M2708" s="37"/>
      <c r="N2708" s="37"/>
      <c r="O2708" s="132"/>
      <c r="P2708" s="134"/>
      <c r="Q2708" s="261"/>
      <c r="R2708" s="94"/>
    </row>
    <row r="2709" spans="3:18" x14ac:dyDescent="0.25">
      <c r="C2709" s="279"/>
      <c r="D2709" s="159"/>
      <c r="E2709" s="45"/>
      <c r="F2709" s="148"/>
      <c r="G2709" s="1"/>
      <c r="H2709" s="163"/>
      <c r="I2709" s="37"/>
      <c r="J2709" s="138"/>
      <c r="K2709" s="114"/>
      <c r="L2709" s="37"/>
      <c r="M2709" s="37"/>
      <c r="N2709" s="37"/>
      <c r="O2709" s="132"/>
      <c r="P2709" s="134"/>
      <c r="Q2709" s="261"/>
      <c r="R2709" s="94"/>
    </row>
    <row r="2710" spans="3:18" x14ac:dyDescent="0.25">
      <c r="C2710" s="279"/>
      <c r="D2710" s="159"/>
      <c r="E2710" s="45"/>
      <c r="F2710" s="148"/>
      <c r="G2710" s="1"/>
      <c r="H2710" s="163"/>
      <c r="I2710" s="37"/>
      <c r="J2710" s="138"/>
      <c r="K2710" s="114"/>
      <c r="L2710" s="37"/>
      <c r="M2710" s="37"/>
      <c r="N2710" s="37"/>
      <c r="O2710" s="132"/>
      <c r="P2710" s="134"/>
      <c r="Q2710" s="261"/>
      <c r="R2710" s="94"/>
    </row>
    <row r="2711" spans="3:18" x14ac:dyDescent="0.25">
      <c r="C2711" s="279"/>
      <c r="D2711" s="159"/>
      <c r="E2711" s="45"/>
      <c r="F2711" s="148"/>
      <c r="G2711" s="1"/>
      <c r="H2711" s="163"/>
      <c r="I2711" s="37"/>
      <c r="J2711" s="138"/>
      <c r="K2711" s="114"/>
      <c r="L2711" s="37"/>
      <c r="M2711" s="37"/>
      <c r="N2711" s="37"/>
      <c r="O2711" s="132"/>
      <c r="P2711" s="134"/>
      <c r="Q2711" s="261"/>
      <c r="R2711" s="94"/>
    </row>
    <row r="2712" spans="3:18" x14ac:dyDescent="0.25">
      <c r="C2712" s="279"/>
      <c r="D2712" s="159"/>
      <c r="E2712" s="45"/>
      <c r="F2712" s="148"/>
      <c r="G2712" s="1"/>
      <c r="H2712" s="163"/>
      <c r="I2712" s="37"/>
      <c r="J2712" s="138"/>
      <c r="K2712" s="114"/>
      <c r="L2712" s="37"/>
      <c r="M2712" s="37"/>
      <c r="N2712" s="37"/>
      <c r="O2712" s="132"/>
      <c r="P2712" s="134"/>
      <c r="Q2712" s="261"/>
      <c r="R2712" s="94"/>
    </row>
    <row r="2713" spans="3:18" x14ac:dyDescent="0.25">
      <c r="C2713" s="279"/>
      <c r="D2713" s="159"/>
      <c r="E2713" s="45"/>
      <c r="F2713" s="148"/>
      <c r="G2713" s="1"/>
      <c r="H2713" s="163"/>
      <c r="I2713" s="37"/>
      <c r="J2713" s="138"/>
      <c r="K2713" s="114"/>
      <c r="L2713" s="37"/>
      <c r="M2713" s="37"/>
      <c r="N2713" s="37"/>
      <c r="O2713" s="132"/>
      <c r="P2713" s="134"/>
      <c r="Q2713" s="261"/>
      <c r="R2713" s="94"/>
    </row>
    <row r="2714" spans="3:18" x14ac:dyDescent="0.25">
      <c r="C2714" s="279"/>
      <c r="D2714" s="159"/>
      <c r="E2714" s="45"/>
      <c r="F2714" s="148"/>
      <c r="G2714" s="1"/>
      <c r="H2714" s="163"/>
      <c r="I2714" s="37"/>
      <c r="J2714" s="138"/>
      <c r="K2714" s="114"/>
      <c r="L2714" s="37"/>
      <c r="M2714" s="37"/>
      <c r="N2714" s="37"/>
      <c r="O2714" s="132"/>
      <c r="P2714" s="134"/>
      <c r="Q2714" s="261"/>
      <c r="R2714" s="94"/>
    </row>
    <row r="2715" spans="3:18" x14ac:dyDescent="0.25">
      <c r="C2715" s="279"/>
      <c r="D2715" s="159"/>
      <c r="E2715" s="45"/>
      <c r="F2715" s="148"/>
      <c r="G2715" s="1"/>
      <c r="H2715" s="163"/>
      <c r="I2715" s="37"/>
      <c r="J2715" s="138"/>
      <c r="K2715" s="114"/>
      <c r="L2715" s="37"/>
      <c r="M2715" s="37"/>
      <c r="N2715" s="37"/>
      <c r="O2715" s="132"/>
      <c r="P2715" s="134"/>
      <c r="Q2715" s="261"/>
      <c r="R2715" s="94"/>
    </row>
    <row r="2716" spans="3:18" x14ac:dyDescent="0.25">
      <c r="C2716" s="279"/>
      <c r="D2716" s="159"/>
      <c r="E2716" s="45"/>
      <c r="F2716" s="148"/>
      <c r="G2716" s="1"/>
      <c r="H2716" s="163"/>
      <c r="I2716" s="37"/>
      <c r="J2716" s="138"/>
      <c r="K2716" s="114"/>
      <c r="L2716" s="37"/>
      <c r="M2716" s="37"/>
      <c r="N2716" s="37"/>
      <c r="O2716" s="132"/>
      <c r="P2716" s="134"/>
      <c r="Q2716" s="261"/>
      <c r="R2716" s="94"/>
    </row>
    <row r="2717" spans="3:18" x14ac:dyDescent="0.25">
      <c r="C2717" s="279"/>
      <c r="D2717" s="159"/>
      <c r="E2717" s="45"/>
      <c r="F2717" s="148"/>
      <c r="G2717" s="1"/>
      <c r="H2717" s="163"/>
      <c r="I2717" s="37"/>
      <c r="J2717" s="138"/>
      <c r="K2717" s="114"/>
      <c r="L2717" s="37"/>
      <c r="M2717" s="37"/>
      <c r="N2717" s="37"/>
      <c r="O2717" s="132"/>
      <c r="P2717" s="134"/>
      <c r="Q2717" s="261"/>
      <c r="R2717" s="94"/>
    </row>
    <row r="2718" spans="3:18" x14ac:dyDescent="0.25">
      <c r="C2718" s="279"/>
      <c r="D2718" s="159"/>
      <c r="E2718" s="45"/>
      <c r="F2718" s="148"/>
      <c r="G2718" s="1"/>
      <c r="H2718" s="163"/>
      <c r="I2718" s="37"/>
      <c r="J2718" s="138"/>
      <c r="K2718" s="114"/>
      <c r="L2718" s="37"/>
      <c r="M2718" s="37"/>
      <c r="N2718" s="37"/>
      <c r="O2718" s="132"/>
      <c r="P2718" s="134"/>
      <c r="Q2718" s="261"/>
      <c r="R2718" s="94"/>
    </row>
    <row r="2719" spans="3:18" x14ac:dyDescent="0.25">
      <c r="C2719" s="279"/>
      <c r="D2719" s="159"/>
      <c r="E2719" s="45"/>
      <c r="F2719" s="148"/>
      <c r="G2719" s="1"/>
      <c r="H2719" s="163"/>
      <c r="I2719" s="37"/>
      <c r="J2719" s="138"/>
      <c r="K2719" s="114"/>
      <c r="L2719" s="37"/>
      <c r="M2719" s="37"/>
      <c r="N2719" s="37"/>
      <c r="O2719" s="132"/>
      <c r="P2719" s="134"/>
      <c r="Q2719" s="261"/>
      <c r="R2719" s="94"/>
    </row>
    <row r="2720" spans="3:18" x14ac:dyDescent="0.25">
      <c r="C2720" s="279"/>
      <c r="D2720" s="159"/>
      <c r="E2720" s="45"/>
      <c r="F2720" s="148"/>
      <c r="G2720" s="1"/>
      <c r="H2720" s="163"/>
      <c r="I2720" s="37"/>
      <c r="J2720" s="138"/>
      <c r="K2720" s="114"/>
      <c r="L2720" s="37"/>
      <c r="M2720" s="37"/>
      <c r="N2720" s="37"/>
      <c r="O2720" s="132"/>
      <c r="P2720" s="134"/>
      <c r="Q2720" s="261"/>
      <c r="R2720" s="94"/>
    </row>
    <row r="2721" spans="3:18" x14ac:dyDescent="0.25">
      <c r="C2721" s="279"/>
      <c r="D2721" s="159"/>
      <c r="E2721" s="45"/>
      <c r="F2721" s="148"/>
      <c r="G2721" s="1"/>
      <c r="H2721" s="163"/>
      <c r="I2721" s="37"/>
      <c r="J2721" s="138"/>
      <c r="K2721" s="114"/>
      <c r="L2721" s="37"/>
      <c r="M2721" s="37"/>
      <c r="N2721" s="37"/>
      <c r="O2721" s="132"/>
      <c r="P2721" s="134"/>
      <c r="Q2721" s="261"/>
      <c r="R2721" s="94"/>
    </row>
    <row r="2722" spans="3:18" x14ac:dyDescent="0.25">
      <c r="C2722" s="279"/>
      <c r="D2722" s="159"/>
      <c r="E2722" s="45"/>
      <c r="F2722" s="148"/>
      <c r="G2722" s="1"/>
      <c r="H2722" s="163"/>
      <c r="I2722" s="37"/>
      <c r="J2722" s="138"/>
      <c r="K2722" s="114"/>
      <c r="L2722" s="37"/>
      <c r="M2722" s="37"/>
      <c r="N2722" s="37"/>
      <c r="O2722" s="132"/>
      <c r="P2722" s="134"/>
      <c r="Q2722" s="261"/>
      <c r="R2722" s="94"/>
    </row>
    <row r="2723" spans="3:18" x14ac:dyDescent="0.25">
      <c r="C2723" s="279"/>
      <c r="D2723" s="159"/>
      <c r="E2723" s="45"/>
      <c r="F2723" s="148"/>
      <c r="G2723" s="1"/>
      <c r="H2723" s="163"/>
      <c r="I2723" s="37"/>
      <c r="J2723" s="138"/>
      <c r="K2723" s="114"/>
      <c r="L2723" s="37"/>
      <c r="M2723" s="37"/>
      <c r="N2723" s="37"/>
      <c r="O2723" s="132"/>
      <c r="P2723" s="134"/>
      <c r="Q2723" s="261"/>
      <c r="R2723" s="94"/>
    </row>
    <row r="2724" spans="3:18" x14ac:dyDescent="0.25">
      <c r="C2724" s="279"/>
      <c r="D2724" s="159"/>
      <c r="E2724" s="45"/>
      <c r="F2724" s="148"/>
      <c r="G2724" s="1"/>
      <c r="H2724" s="163"/>
      <c r="I2724" s="37"/>
      <c r="J2724" s="138"/>
      <c r="K2724" s="114"/>
      <c r="L2724" s="37"/>
      <c r="M2724" s="37"/>
      <c r="N2724" s="37"/>
      <c r="O2724" s="132"/>
      <c r="P2724" s="134"/>
      <c r="Q2724" s="261"/>
      <c r="R2724" s="94"/>
    </row>
    <row r="2725" spans="3:18" x14ac:dyDescent="0.25">
      <c r="C2725" s="279"/>
      <c r="D2725" s="159"/>
      <c r="E2725" s="45"/>
      <c r="F2725" s="148"/>
      <c r="G2725" s="1"/>
      <c r="H2725" s="163"/>
      <c r="I2725" s="37"/>
      <c r="J2725" s="138"/>
      <c r="K2725" s="114"/>
      <c r="L2725" s="37"/>
      <c r="M2725" s="37"/>
      <c r="N2725" s="37"/>
      <c r="O2725" s="132"/>
      <c r="P2725" s="134"/>
      <c r="Q2725" s="261"/>
      <c r="R2725" s="94"/>
    </row>
    <row r="2726" spans="3:18" x14ac:dyDescent="0.25">
      <c r="C2726" s="279"/>
      <c r="D2726" s="159"/>
      <c r="E2726" s="45"/>
      <c r="F2726" s="148"/>
      <c r="G2726" s="1"/>
      <c r="H2726" s="163"/>
      <c r="I2726" s="37"/>
      <c r="J2726" s="138"/>
      <c r="K2726" s="114"/>
      <c r="L2726" s="37"/>
      <c r="M2726" s="37"/>
      <c r="N2726" s="37"/>
      <c r="O2726" s="132"/>
      <c r="P2726" s="134"/>
      <c r="Q2726" s="261"/>
      <c r="R2726" s="94"/>
    </row>
    <row r="2727" spans="3:18" x14ac:dyDescent="0.25">
      <c r="C2727" s="279"/>
      <c r="D2727" s="159"/>
      <c r="E2727" s="45"/>
      <c r="F2727" s="148"/>
      <c r="G2727" s="1"/>
      <c r="H2727" s="163"/>
      <c r="I2727" s="37"/>
      <c r="J2727" s="138"/>
      <c r="K2727" s="114"/>
      <c r="L2727" s="37"/>
      <c r="M2727" s="37"/>
      <c r="N2727" s="37"/>
      <c r="O2727" s="132"/>
      <c r="P2727" s="134"/>
      <c r="Q2727" s="261"/>
      <c r="R2727" s="94"/>
    </row>
    <row r="2728" spans="3:18" x14ac:dyDescent="0.25">
      <c r="C2728" s="279"/>
      <c r="D2728" s="159"/>
      <c r="E2728" s="45"/>
      <c r="F2728" s="148"/>
      <c r="G2728" s="1"/>
      <c r="H2728" s="163"/>
      <c r="I2728" s="37"/>
      <c r="J2728" s="138"/>
      <c r="K2728" s="114"/>
      <c r="L2728" s="37"/>
      <c r="M2728" s="37"/>
      <c r="N2728" s="37"/>
      <c r="O2728" s="132"/>
      <c r="P2728" s="134"/>
      <c r="Q2728" s="261"/>
      <c r="R2728" s="94"/>
    </row>
    <row r="2729" spans="3:18" x14ac:dyDescent="0.25">
      <c r="C2729" s="279"/>
      <c r="D2729" s="159"/>
      <c r="E2729" s="45"/>
      <c r="F2729" s="148"/>
      <c r="G2729" s="1"/>
      <c r="H2729" s="163"/>
      <c r="I2729" s="37"/>
      <c r="J2729" s="138"/>
      <c r="K2729" s="114"/>
      <c r="L2729" s="37"/>
      <c r="M2729" s="37"/>
      <c r="N2729" s="37"/>
      <c r="O2729" s="132"/>
      <c r="P2729" s="134"/>
      <c r="Q2729" s="261"/>
      <c r="R2729" s="94"/>
    </row>
    <row r="2730" spans="3:18" x14ac:dyDescent="0.25">
      <c r="C2730" s="279"/>
      <c r="D2730" s="159"/>
      <c r="E2730" s="45"/>
      <c r="F2730" s="148"/>
      <c r="G2730" s="1"/>
      <c r="H2730" s="163"/>
      <c r="I2730" s="37"/>
      <c r="J2730" s="138"/>
      <c r="K2730" s="114"/>
      <c r="L2730" s="37"/>
      <c r="M2730" s="37"/>
      <c r="N2730" s="37"/>
      <c r="O2730" s="132"/>
      <c r="P2730" s="134"/>
      <c r="Q2730" s="261"/>
      <c r="R2730" s="94"/>
    </row>
    <row r="2731" spans="3:18" x14ac:dyDescent="0.25">
      <c r="C2731" s="279"/>
      <c r="D2731" s="159"/>
      <c r="E2731" s="45"/>
      <c r="F2731" s="148"/>
      <c r="G2731" s="1"/>
      <c r="H2731" s="163"/>
      <c r="I2731" s="37"/>
      <c r="J2731" s="138"/>
      <c r="K2731" s="114"/>
      <c r="L2731" s="37"/>
      <c r="M2731" s="37"/>
      <c r="N2731" s="37"/>
      <c r="O2731" s="132"/>
      <c r="P2731" s="134"/>
      <c r="Q2731" s="261"/>
      <c r="R2731" s="94"/>
    </row>
    <row r="2732" spans="3:18" x14ac:dyDescent="0.25">
      <c r="C2732" s="279"/>
      <c r="D2732" s="159"/>
      <c r="E2732" s="45"/>
      <c r="F2732" s="148"/>
      <c r="G2732" s="1"/>
      <c r="H2732" s="163"/>
      <c r="I2732" s="37"/>
      <c r="J2732" s="138"/>
      <c r="K2732" s="114"/>
      <c r="L2732" s="37"/>
      <c r="M2732" s="37"/>
      <c r="N2732" s="37"/>
      <c r="O2732" s="132"/>
      <c r="P2732" s="134"/>
      <c r="Q2732" s="261"/>
      <c r="R2732" s="94"/>
    </row>
    <row r="2733" spans="3:18" x14ac:dyDescent="0.25">
      <c r="C2733" s="279"/>
      <c r="D2733" s="159"/>
      <c r="E2733" s="45"/>
      <c r="F2733" s="148"/>
      <c r="G2733" s="1"/>
      <c r="H2733" s="163"/>
      <c r="I2733" s="37"/>
      <c r="J2733" s="138"/>
      <c r="K2733" s="114"/>
      <c r="L2733" s="37"/>
      <c r="M2733" s="37"/>
      <c r="N2733" s="37"/>
      <c r="O2733" s="132"/>
      <c r="P2733" s="134"/>
      <c r="Q2733" s="261"/>
      <c r="R2733" s="94"/>
    </row>
    <row r="2734" spans="3:18" x14ac:dyDescent="0.25">
      <c r="C2734" s="279"/>
      <c r="D2734" s="159"/>
      <c r="E2734" s="45"/>
      <c r="F2734" s="148"/>
      <c r="G2734" s="1"/>
      <c r="H2734" s="163"/>
      <c r="I2734" s="37"/>
      <c r="J2734" s="138"/>
      <c r="K2734" s="114"/>
      <c r="L2734" s="37"/>
      <c r="M2734" s="37"/>
      <c r="N2734" s="37"/>
      <c r="O2734" s="132"/>
      <c r="P2734" s="134"/>
      <c r="Q2734" s="261"/>
      <c r="R2734" s="94"/>
    </row>
    <row r="2735" spans="3:18" x14ac:dyDescent="0.25">
      <c r="C2735" s="279"/>
      <c r="D2735" s="159"/>
      <c r="E2735" s="45"/>
      <c r="F2735" s="148"/>
      <c r="G2735" s="1"/>
      <c r="H2735" s="163"/>
      <c r="I2735" s="37"/>
      <c r="J2735" s="138"/>
      <c r="K2735" s="114"/>
      <c r="L2735" s="37"/>
      <c r="M2735" s="37"/>
      <c r="N2735" s="37"/>
      <c r="O2735" s="132"/>
      <c r="P2735" s="134"/>
      <c r="Q2735" s="261"/>
      <c r="R2735" s="94"/>
    </row>
    <row r="2736" spans="3:18" x14ac:dyDescent="0.25">
      <c r="C2736" s="279"/>
      <c r="D2736" s="159"/>
      <c r="E2736" s="45"/>
      <c r="F2736" s="148"/>
      <c r="G2736" s="1"/>
      <c r="H2736" s="163"/>
      <c r="I2736" s="37"/>
      <c r="J2736" s="138"/>
      <c r="K2736" s="114"/>
      <c r="L2736" s="37"/>
      <c r="M2736" s="37"/>
      <c r="N2736" s="37"/>
      <c r="O2736" s="132"/>
      <c r="P2736" s="134"/>
      <c r="Q2736" s="261"/>
      <c r="R2736" s="94"/>
    </row>
    <row r="2737" spans="3:18" x14ac:dyDescent="0.25">
      <c r="C2737" s="279"/>
      <c r="D2737" s="159"/>
      <c r="E2737" s="45"/>
      <c r="F2737" s="148"/>
      <c r="G2737" s="1"/>
      <c r="H2737" s="163"/>
      <c r="I2737" s="37"/>
      <c r="J2737" s="138"/>
      <c r="K2737" s="114"/>
      <c r="L2737" s="37"/>
      <c r="M2737" s="37"/>
      <c r="N2737" s="37"/>
      <c r="O2737" s="132"/>
      <c r="P2737" s="134"/>
      <c r="Q2737" s="261"/>
      <c r="R2737" s="94"/>
    </row>
    <row r="2738" spans="3:18" x14ac:dyDescent="0.25">
      <c r="C2738" s="279"/>
      <c r="D2738" s="159"/>
      <c r="E2738" s="45"/>
      <c r="F2738" s="148"/>
      <c r="G2738" s="1"/>
      <c r="H2738" s="163"/>
      <c r="I2738" s="37"/>
      <c r="J2738" s="138"/>
      <c r="K2738" s="114"/>
      <c r="L2738" s="37"/>
      <c r="M2738" s="37"/>
      <c r="N2738" s="37"/>
      <c r="O2738" s="132"/>
      <c r="P2738" s="134"/>
      <c r="Q2738" s="261"/>
      <c r="R2738" s="94"/>
    </row>
    <row r="2739" spans="3:18" x14ac:dyDescent="0.25">
      <c r="C2739" s="279"/>
      <c r="D2739" s="159"/>
      <c r="E2739" s="45"/>
      <c r="F2739" s="148"/>
      <c r="G2739" s="1"/>
      <c r="H2739" s="163"/>
      <c r="I2739" s="37"/>
      <c r="J2739" s="138"/>
      <c r="K2739" s="114"/>
      <c r="L2739" s="37"/>
      <c r="M2739" s="37"/>
      <c r="N2739" s="37"/>
      <c r="O2739" s="132"/>
      <c r="P2739" s="134"/>
      <c r="Q2739" s="261"/>
      <c r="R2739" s="94"/>
    </row>
    <row r="2740" spans="3:18" x14ac:dyDescent="0.25">
      <c r="C2740" s="279"/>
      <c r="D2740" s="159"/>
      <c r="E2740" s="45"/>
      <c r="F2740" s="148"/>
      <c r="G2740" s="1"/>
      <c r="H2740" s="163"/>
      <c r="I2740" s="37"/>
      <c r="J2740" s="138"/>
      <c r="K2740" s="114"/>
      <c r="L2740" s="37"/>
      <c r="M2740" s="37"/>
      <c r="N2740" s="37"/>
      <c r="O2740" s="132"/>
      <c r="P2740" s="134"/>
      <c r="Q2740" s="261"/>
      <c r="R2740" s="94"/>
    </row>
    <row r="2741" spans="3:18" x14ac:dyDescent="0.25">
      <c r="C2741" s="279"/>
      <c r="D2741" s="159"/>
      <c r="E2741" s="45"/>
      <c r="F2741" s="148"/>
      <c r="G2741" s="1"/>
      <c r="H2741" s="163"/>
      <c r="I2741" s="37"/>
      <c r="J2741" s="138"/>
      <c r="K2741" s="114"/>
      <c r="L2741" s="37"/>
      <c r="M2741" s="37"/>
      <c r="N2741" s="37"/>
      <c r="O2741" s="132"/>
      <c r="P2741" s="134"/>
      <c r="Q2741" s="261"/>
      <c r="R2741" s="94"/>
    </row>
    <row r="2742" spans="3:18" x14ac:dyDescent="0.25">
      <c r="C2742" s="279"/>
      <c r="D2742" s="159"/>
      <c r="E2742" s="45"/>
      <c r="F2742" s="148"/>
      <c r="G2742" s="1"/>
      <c r="H2742" s="163"/>
      <c r="I2742" s="37"/>
      <c r="J2742" s="138"/>
      <c r="K2742" s="114"/>
      <c r="L2742" s="37"/>
      <c r="M2742" s="37"/>
      <c r="N2742" s="37"/>
      <c r="O2742" s="132"/>
      <c r="P2742" s="134"/>
      <c r="Q2742" s="261"/>
      <c r="R2742" s="94"/>
    </row>
    <row r="2743" spans="3:18" x14ac:dyDescent="0.25">
      <c r="C2743" s="279"/>
      <c r="D2743" s="159"/>
      <c r="E2743" s="45"/>
      <c r="F2743" s="148"/>
      <c r="G2743" s="1"/>
      <c r="H2743" s="163"/>
      <c r="I2743" s="37"/>
      <c r="J2743" s="138"/>
      <c r="K2743" s="114"/>
      <c r="L2743" s="37"/>
      <c r="M2743" s="37"/>
      <c r="N2743" s="37"/>
      <c r="O2743" s="132"/>
      <c r="P2743" s="134"/>
      <c r="Q2743" s="261"/>
      <c r="R2743" s="94"/>
    </row>
    <row r="2744" spans="3:18" x14ac:dyDescent="0.25">
      <c r="C2744" s="279"/>
      <c r="D2744" s="159"/>
      <c r="E2744" s="45"/>
      <c r="F2744" s="148"/>
      <c r="G2744" s="1"/>
      <c r="H2744" s="163"/>
      <c r="I2744" s="37"/>
      <c r="J2744" s="138"/>
      <c r="K2744" s="114"/>
      <c r="L2744" s="37"/>
      <c r="M2744" s="37"/>
      <c r="N2744" s="37"/>
      <c r="O2744" s="132"/>
      <c r="P2744" s="134"/>
      <c r="Q2744" s="261"/>
      <c r="R2744" s="94"/>
    </row>
    <row r="2745" spans="3:18" x14ac:dyDescent="0.25">
      <c r="C2745" s="279"/>
      <c r="D2745" s="159"/>
      <c r="E2745" s="45"/>
      <c r="F2745" s="148"/>
      <c r="G2745" s="1"/>
      <c r="H2745" s="163"/>
      <c r="I2745" s="37"/>
      <c r="J2745" s="138"/>
      <c r="K2745" s="114"/>
      <c r="L2745" s="37"/>
      <c r="M2745" s="37"/>
      <c r="N2745" s="37"/>
      <c r="O2745" s="132"/>
      <c r="P2745" s="134"/>
      <c r="Q2745" s="261"/>
      <c r="R2745" s="94"/>
    </row>
    <row r="2746" spans="3:18" x14ac:dyDescent="0.25">
      <c r="C2746" s="279"/>
      <c r="D2746" s="159"/>
      <c r="E2746" s="45"/>
      <c r="F2746" s="148"/>
      <c r="G2746" s="1"/>
      <c r="H2746" s="163"/>
      <c r="I2746" s="37"/>
      <c r="J2746" s="138"/>
      <c r="K2746" s="114"/>
      <c r="L2746" s="37"/>
      <c r="M2746" s="37"/>
      <c r="N2746" s="37"/>
      <c r="O2746" s="132"/>
      <c r="P2746" s="134"/>
      <c r="Q2746" s="261"/>
      <c r="R2746" s="94"/>
    </row>
    <row r="2747" spans="3:18" x14ac:dyDescent="0.25">
      <c r="C2747" s="279"/>
      <c r="D2747" s="159"/>
      <c r="E2747" s="45"/>
      <c r="F2747" s="148"/>
      <c r="G2747" s="1"/>
      <c r="H2747" s="163"/>
      <c r="I2747" s="37"/>
      <c r="J2747" s="138"/>
      <c r="K2747" s="114"/>
      <c r="L2747" s="37"/>
      <c r="M2747" s="37"/>
      <c r="N2747" s="37"/>
      <c r="O2747" s="132"/>
      <c r="P2747" s="134"/>
      <c r="Q2747" s="261"/>
      <c r="R2747" s="94"/>
    </row>
    <row r="2748" spans="3:18" x14ac:dyDescent="0.25">
      <c r="C2748" s="279"/>
      <c r="D2748" s="159"/>
      <c r="E2748" s="45"/>
      <c r="F2748" s="148"/>
      <c r="G2748" s="1"/>
      <c r="H2748" s="163"/>
      <c r="I2748" s="37"/>
      <c r="J2748" s="138"/>
      <c r="K2748" s="114"/>
      <c r="L2748" s="37"/>
      <c r="M2748" s="37"/>
      <c r="N2748" s="37"/>
      <c r="O2748" s="132"/>
      <c r="P2748" s="134"/>
      <c r="Q2748" s="261"/>
      <c r="R2748" s="94"/>
    </row>
    <row r="2749" spans="3:18" x14ac:dyDescent="0.25">
      <c r="C2749" s="279"/>
      <c r="D2749" s="159"/>
      <c r="E2749" s="45"/>
      <c r="F2749" s="148"/>
      <c r="G2749" s="1"/>
      <c r="H2749" s="163"/>
      <c r="I2749" s="37"/>
      <c r="J2749" s="138"/>
      <c r="K2749" s="114"/>
      <c r="L2749" s="37"/>
      <c r="M2749" s="37"/>
      <c r="N2749" s="37"/>
      <c r="O2749" s="132"/>
      <c r="P2749" s="134"/>
      <c r="Q2749" s="261"/>
      <c r="R2749" s="94"/>
    </row>
    <row r="2750" spans="3:18" x14ac:dyDescent="0.25">
      <c r="C2750" s="279"/>
      <c r="D2750" s="159"/>
      <c r="E2750" s="45"/>
      <c r="F2750" s="148"/>
      <c r="G2750" s="1"/>
      <c r="H2750" s="163"/>
      <c r="I2750" s="37"/>
      <c r="J2750" s="138"/>
      <c r="K2750" s="114"/>
      <c r="L2750" s="37"/>
      <c r="M2750" s="37"/>
      <c r="N2750" s="37"/>
      <c r="O2750" s="132"/>
      <c r="P2750" s="134"/>
      <c r="Q2750" s="261"/>
      <c r="R2750" s="94"/>
    </row>
    <row r="2751" spans="3:18" x14ac:dyDescent="0.25">
      <c r="C2751" s="279"/>
      <c r="D2751" s="159"/>
      <c r="E2751" s="45"/>
      <c r="F2751" s="148"/>
      <c r="G2751" s="1"/>
      <c r="H2751" s="163"/>
      <c r="I2751" s="37"/>
      <c r="J2751" s="138"/>
      <c r="K2751" s="114"/>
      <c r="L2751" s="37"/>
      <c r="M2751" s="37"/>
      <c r="N2751" s="37"/>
      <c r="O2751" s="132"/>
      <c r="P2751" s="134"/>
      <c r="Q2751" s="261"/>
      <c r="R2751" s="94"/>
    </row>
    <row r="2752" spans="3:18" x14ac:dyDescent="0.25">
      <c r="C2752" s="279"/>
      <c r="D2752" s="159"/>
      <c r="E2752" s="45"/>
      <c r="F2752" s="148"/>
      <c r="G2752" s="1"/>
      <c r="H2752" s="163"/>
      <c r="I2752" s="37"/>
      <c r="J2752" s="138"/>
      <c r="K2752" s="114"/>
      <c r="L2752" s="37"/>
      <c r="M2752" s="37"/>
      <c r="N2752" s="37"/>
      <c r="O2752" s="132"/>
      <c r="P2752" s="134"/>
      <c r="Q2752" s="261"/>
      <c r="R2752" s="94"/>
    </row>
    <row r="2753" spans="3:18" x14ac:dyDescent="0.25">
      <c r="C2753" s="279"/>
      <c r="D2753" s="159"/>
      <c r="E2753" s="45"/>
      <c r="F2753" s="148"/>
      <c r="G2753" s="1"/>
      <c r="H2753" s="163"/>
      <c r="I2753" s="37"/>
      <c r="J2753" s="138"/>
      <c r="K2753" s="114"/>
      <c r="L2753" s="37"/>
      <c r="M2753" s="37"/>
      <c r="N2753" s="37"/>
      <c r="O2753" s="132"/>
      <c r="P2753" s="134"/>
      <c r="Q2753" s="261"/>
      <c r="R2753" s="94"/>
    </row>
    <row r="2754" spans="3:18" x14ac:dyDescent="0.25">
      <c r="C2754" s="279"/>
      <c r="D2754" s="159"/>
      <c r="E2754" s="45"/>
      <c r="F2754" s="148"/>
      <c r="G2754" s="1"/>
      <c r="H2754" s="163"/>
      <c r="I2754" s="37"/>
      <c r="J2754" s="138"/>
      <c r="K2754" s="114"/>
      <c r="L2754" s="37"/>
      <c r="M2754" s="37"/>
      <c r="N2754" s="37"/>
      <c r="O2754" s="132"/>
      <c r="P2754" s="134"/>
      <c r="Q2754" s="261"/>
      <c r="R2754" s="94"/>
    </row>
    <row r="2755" spans="3:18" x14ac:dyDescent="0.25">
      <c r="C2755" s="279"/>
      <c r="D2755" s="159"/>
      <c r="E2755" s="45"/>
      <c r="F2755" s="148"/>
      <c r="G2755" s="1"/>
      <c r="H2755" s="163"/>
      <c r="I2755" s="37"/>
      <c r="J2755" s="138"/>
      <c r="K2755" s="114"/>
      <c r="L2755" s="37"/>
      <c r="M2755" s="37"/>
      <c r="N2755" s="37"/>
      <c r="O2755" s="132"/>
      <c r="P2755" s="134"/>
      <c r="Q2755" s="261"/>
      <c r="R2755" s="94"/>
    </row>
    <row r="2756" spans="3:18" x14ac:dyDescent="0.25">
      <c r="C2756" s="279"/>
      <c r="D2756" s="159"/>
      <c r="E2756" s="45"/>
      <c r="F2756" s="148"/>
      <c r="G2756" s="1"/>
      <c r="H2756" s="163"/>
      <c r="I2756" s="37"/>
      <c r="J2756" s="138"/>
      <c r="K2756" s="114"/>
      <c r="L2756" s="37"/>
      <c r="M2756" s="37"/>
      <c r="N2756" s="37"/>
      <c r="O2756" s="132"/>
      <c r="P2756" s="134"/>
      <c r="Q2756" s="261"/>
      <c r="R2756" s="94"/>
    </row>
    <row r="2757" spans="3:18" x14ac:dyDescent="0.25">
      <c r="C2757" s="279"/>
      <c r="D2757" s="159"/>
      <c r="E2757" s="45"/>
      <c r="F2757" s="148"/>
      <c r="G2757" s="1"/>
      <c r="H2757" s="163"/>
      <c r="I2757" s="37"/>
      <c r="J2757" s="138"/>
      <c r="K2757" s="114"/>
      <c r="L2757" s="37"/>
      <c r="M2757" s="37"/>
      <c r="N2757" s="37"/>
      <c r="O2757" s="132"/>
      <c r="P2757" s="134"/>
      <c r="Q2757" s="261"/>
      <c r="R2757" s="94"/>
    </row>
    <row r="2758" spans="3:18" x14ac:dyDescent="0.25">
      <c r="C2758" s="279"/>
      <c r="D2758" s="159"/>
      <c r="E2758" s="45"/>
      <c r="F2758" s="148"/>
      <c r="G2758" s="1"/>
      <c r="H2758" s="163"/>
      <c r="I2758" s="37"/>
      <c r="J2758" s="138"/>
      <c r="K2758" s="114"/>
      <c r="L2758" s="37"/>
      <c r="M2758" s="37"/>
      <c r="N2758" s="37"/>
      <c r="O2758" s="132"/>
      <c r="P2758" s="134"/>
      <c r="Q2758" s="261"/>
      <c r="R2758" s="94"/>
    </row>
    <row r="2759" spans="3:18" x14ac:dyDescent="0.25">
      <c r="C2759" s="279"/>
      <c r="D2759" s="159"/>
      <c r="E2759" s="45"/>
      <c r="F2759" s="148"/>
      <c r="G2759" s="1"/>
      <c r="H2759" s="163"/>
      <c r="I2759" s="37"/>
      <c r="J2759" s="138"/>
      <c r="K2759" s="114"/>
      <c r="L2759" s="37"/>
      <c r="M2759" s="37"/>
      <c r="N2759" s="37"/>
      <c r="O2759" s="132"/>
      <c r="P2759" s="134"/>
      <c r="Q2759" s="261"/>
      <c r="R2759" s="94"/>
    </row>
    <row r="2760" spans="3:18" x14ac:dyDescent="0.25">
      <c r="C2760" s="279"/>
      <c r="D2760" s="159"/>
      <c r="E2760" s="45"/>
      <c r="F2760" s="148"/>
      <c r="G2760" s="1"/>
      <c r="H2760" s="163"/>
      <c r="I2760" s="37"/>
      <c r="J2760" s="138"/>
      <c r="K2760" s="114"/>
      <c r="L2760" s="37"/>
      <c r="M2760" s="37"/>
      <c r="N2760" s="37"/>
      <c r="O2760" s="132"/>
      <c r="P2760" s="134"/>
      <c r="Q2760" s="261"/>
      <c r="R2760" s="94"/>
    </row>
    <row r="2761" spans="3:18" x14ac:dyDescent="0.25">
      <c r="C2761" s="279"/>
      <c r="D2761" s="159"/>
      <c r="E2761" s="45"/>
      <c r="F2761" s="148"/>
      <c r="G2761" s="1"/>
      <c r="H2761" s="163"/>
      <c r="I2761" s="37"/>
      <c r="J2761" s="138"/>
      <c r="K2761" s="114"/>
      <c r="L2761" s="37"/>
      <c r="M2761" s="37"/>
      <c r="N2761" s="37"/>
      <c r="O2761" s="132"/>
      <c r="P2761" s="134"/>
      <c r="Q2761" s="261"/>
      <c r="R2761" s="94"/>
    </row>
    <row r="2762" spans="3:18" x14ac:dyDescent="0.25">
      <c r="C2762" s="279"/>
      <c r="D2762" s="159"/>
      <c r="E2762" s="45"/>
      <c r="F2762" s="148"/>
      <c r="G2762" s="1"/>
      <c r="H2762" s="163"/>
      <c r="I2762" s="37"/>
      <c r="J2762" s="138"/>
      <c r="K2762" s="114"/>
      <c r="L2762" s="37"/>
      <c r="M2762" s="37"/>
      <c r="N2762" s="37"/>
      <c r="O2762" s="132"/>
      <c r="P2762" s="134"/>
      <c r="Q2762" s="261"/>
      <c r="R2762" s="94"/>
    </row>
    <row r="2763" spans="3:18" x14ac:dyDescent="0.25">
      <c r="C2763" s="279"/>
      <c r="D2763" s="159"/>
      <c r="E2763" s="45"/>
      <c r="F2763" s="148"/>
      <c r="G2763" s="1"/>
      <c r="H2763" s="163"/>
      <c r="I2763" s="37"/>
      <c r="J2763" s="138"/>
      <c r="K2763" s="114"/>
      <c r="L2763" s="37"/>
      <c r="M2763" s="37"/>
      <c r="N2763" s="37"/>
      <c r="O2763" s="132"/>
      <c r="P2763" s="134"/>
      <c r="Q2763" s="261"/>
      <c r="R2763" s="94"/>
    </row>
    <row r="2764" spans="3:18" x14ac:dyDescent="0.25">
      <c r="C2764" s="279"/>
      <c r="D2764" s="159"/>
      <c r="E2764" s="45"/>
      <c r="F2764" s="148"/>
      <c r="G2764" s="1"/>
      <c r="H2764" s="163"/>
      <c r="I2764" s="37"/>
      <c r="J2764" s="138"/>
      <c r="K2764" s="114"/>
      <c r="L2764" s="37"/>
      <c r="M2764" s="37"/>
      <c r="N2764" s="37"/>
      <c r="O2764" s="132"/>
      <c r="P2764" s="134"/>
      <c r="Q2764" s="261"/>
      <c r="R2764" s="94"/>
    </row>
    <row r="2765" spans="3:18" x14ac:dyDescent="0.25">
      <c r="C2765" s="279"/>
      <c r="D2765" s="159"/>
      <c r="E2765" s="45"/>
      <c r="F2765" s="148"/>
      <c r="G2765" s="1"/>
      <c r="H2765" s="163"/>
      <c r="I2765" s="37"/>
      <c r="J2765" s="138"/>
      <c r="K2765" s="114"/>
      <c r="L2765" s="37"/>
      <c r="M2765" s="37"/>
      <c r="N2765" s="37"/>
      <c r="O2765" s="132"/>
      <c r="P2765" s="134"/>
      <c r="Q2765" s="261"/>
      <c r="R2765" s="94"/>
    </row>
    <row r="2766" spans="3:18" x14ac:dyDescent="0.25">
      <c r="C2766" s="279"/>
      <c r="D2766" s="159"/>
      <c r="E2766" s="45"/>
      <c r="F2766" s="148"/>
      <c r="G2766" s="1"/>
      <c r="H2766" s="163"/>
      <c r="I2766" s="37"/>
      <c r="J2766" s="138"/>
      <c r="K2766" s="114"/>
      <c r="L2766" s="37"/>
      <c r="M2766" s="37"/>
      <c r="N2766" s="37"/>
      <c r="O2766" s="132"/>
      <c r="P2766" s="134"/>
      <c r="Q2766" s="261"/>
      <c r="R2766" s="94"/>
    </row>
    <row r="2767" spans="3:18" x14ac:dyDescent="0.25">
      <c r="C2767" s="279"/>
      <c r="D2767" s="159"/>
      <c r="E2767" s="45"/>
      <c r="F2767" s="148"/>
      <c r="G2767" s="1"/>
      <c r="H2767" s="163"/>
      <c r="I2767" s="37"/>
      <c r="J2767" s="138"/>
      <c r="K2767" s="114"/>
      <c r="L2767" s="37"/>
      <c r="M2767" s="37"/>
      <c r="N2767" s="37"/>
      <c r="O2767" s="132"/>
      <c r="P2767" s="134"/>
      <c r="Q2767" s="261"/>
      <c r="R2767" s="94"/>
    </row>
    <row r="2768" spans="3:18" x14ac:dyDescent="0.25">
      <c r="C2768" s="279"/>
      <c r="D2768" s="159"/>
      <c r="E2768" s="45"/>
      <c r="F2768" s="148"/>
      <c r="G2768" s="1"/>
      <c r="H2768" s="163"/>
      <c r="I2768" s="37"/>
      <c r="J2768" s="138"/>
      <c r="K2768" s="114"/>
      <c r="L2768" s="37"/>
      <c r="M2768" s="37"/>
      <c r="N2768" s="37"/>
      <c r="O2768" s="132"/>
      <c r="P2768" s="134"/>
      <c r="Q2768" s="261"/>
      <c r="R2768" s="94"/>
    </row>
    <row r="2769" spans="3:18" x14ac:dyDescent="0.25">
      <c r="C2769" s="279"/>
      <c r="D2769" s="159"/>
      <c r="E2769" s="45"/>
      <c r="F2769" s="148"/>
      <c r="G2769" s="1"/>
      <c r="H2769" s="163"/>
      <c r="I2769" s="37"/>
      <c r="J2769" s="138"/>
      <c r="K2769" s="114"/>
      <c r="L2769" s="37"/>
      <c r="M2769" s="37"/>
      <c r="N2769" s="37"/>
      <c r="O2769" s="132"/>
      <c r="P2769" s="134"/>
      <c r="Q2769" s="261"/>
      <c r="R2769" s="94"/>
    </row>
    <row r="2770" spans="3:18" x14ac:dyDescent="0.25">
      <c r="C2770" s="279"/>
      <c r="D2770" s="159"/>
      <c r="E2770" s="45"/>
      <c r="F2770" s="148"/>
      <c r="G2770" s="1"/>
      <c r="H2770" s="163"/>
      <c r="I2770" s="37"/>
      <c r="J2770" s="138"/>
      <c r="K2770" s="114"/>
      <c r="L2770" s="37"/>
      <c r="M2770" s="37"/>
      <c r="N2770" s="37"/>
      <c r="O2770" s="132"/>
      <c r="P2770" s="134"/>
      <c r="Q2770" s="261"/>
      <c r="R2770" s="94"/>
    </row>
    <row r="2771" spans="3:18" x14ac:dyDescent="0.25">
      <c r="C2771" s="279"/>
      <c r="D2771" s="159"/>
      <c r="E2771" s="45"/>
      <c r="F2771" s="148"/>
      <c r="G2771" s="1"/>
      <c r="H2771" s="163"/>
      <c r="I2771" s="37"/>
      <c r="J2771" s="138"/>
      <c r="K2771" s="114"/>
      <c r="L2771" s="37"/>
      <c r="M2771" s="37"/>
      <c r="N2771" s="37"/>
      <c r="O2771" s="132"/>
      <c r="P2771" s="134"/>
      <c r="Q2771" s="261"/>
      <c r="R2771" s="94"/>
    </row>
    <row r="2772" spans="3:18" x14ac:dyDescent="0.25">
      <c r="C2772" s="279"/>
      <c r="D2772" s="159"/>
      <c r="E2772" s="45"/>
      <c r="F2772" s="148"/>
      <c r="G2772" s="1"/>
      <c r="H2772" s="163"/>
      <c r="I2772" s="37"/>
      <c r="J2772" s="138"/>
      <c r="K2772" s="114"/>
      <c r="L2772" s="37"/>
      <c r="M2772" s="37"/>
      <c r="N2772" s="37"/>
      <c r="O2772" s="132"/>
      <c r="P2772" s="134"/>
      <c r="Q2772" s="261"/>
      <c r="R2772" s="94"/>
    </row>
    <row r="2773" spans="3:18" x14ac:dyDescent="0.25">
      <c r="C2773" s="279"/>
      <c r="D2773" s="159"/>
      <c r="E2773" s="45"/>
      <c r="F2773" s="148"/>
      <c r="G2773" s="1"/>
      <c r="H2773" s="163"/>
      <c r="I2773" s="37"/>
      <c r="J2773" s="138"/>
      <c r="K2773" s="114"/>
      <c r="L2773" s="37"/>
      <c r="M2773" s="37"/>
      <c r="N2773" s="37"/>
      <c r="O2773" s="132"/>
      <c r="P2773" s="134"/>
      <c r="Q2773" s="261"/>
      <c r="R2773" s="94"/>
    </row>
    <row r="2774" spans="3:18" x14ac:dyDescent="0.25">
      <c r="C2774" s="279"/>
      <c r="D2774" s="159"/>
      <c r="E2774" s="45"/>
      <c r="F2774" s="148"/>
      <c r="G2774" s="1"/>
      <c r="H2774" s="163"/>
      <c r="I2774" s="37"/>
      <c r="J2774" s="138"/>
      <c r="K2774" s="114"/>
      <c r="L2774" s="37"/>
      <c r="M2774" s="37"/>
      <c r="N2774" s="37"/>
      <c r="O2774" s="132"/>
      <c r="P2774" s="134"/>
      <c r="Q2774" s="261"/>
      <c r="R2774" s="94"/>
    </row>
    <row r="2775" spans="3:18" x14ac:dyDescent="0.25">
      <c r="C2775" s="279"/>
      <c r="D2775" s="159"/>
      <c r="E2775" s="45"/>
      <c r="F2775" s="148"/>
      <c r="G2775" s="1"/>
      <c r="H2775" s="163"/>
      <c r="I2775" s="37"/>
      <c r="J2775" s="138"/>
      <c r="K2775" s="114"/>
      <c r="L2775" s="37"/>
      <c r="M2775" s="37"/>
      <c r="N2775" s="37"/>
      <c r="O2775" s="132"/>
      <c r="P2775" s="134"/>
      <c r="Q2775" s="261"/>
      <c r="R2775" s="94"/>
    </row>
    <row r="2776" spans="3:18" x14ac:dyDescent="0.25">
      <c r="C2776" s="279"/>
      <c r="D2776" s="159"/>
      <c r="E2776" s="45"/>
      <c r="F2776" s="148"/>
      <c r="G2776" s="1"/>
      <c r="H2776" s="163"/>
      <c r="I2776" s="37"/>
      <c r="J2776" s="138"/>
      <c r="K2776" s="114"/>
      <c r="L2776" s="37"/>
      <c r="M2776" s="37"/>
      <c r="N2776" s="37"/>
      <c r="O2776" s="132"/>
      <c r="P2776" s="134"/>
      <c r="Q2776" s="261"/>
      <c r="R2776" s="94"/>
    </row>
    <row r="2777" spans="3:18" x14ac:dyDescent="0.25">
      <c r="C2777" s="279"/>
      <c r="D2777" s="159"/>
      <c r="E2777" s="45"/>
      <c r="F2777" s="148"/>
      <c r="G2777" s="1"/>
      <c r="H2777" s="163"/>
      <c r="I2777" s="37"/>
      <c r="J2777" s="138"/>
      <c r="K2777" s="114"/>
      <c r="L2777" s="37"/>
      <c r="M2777" s="37"/>
      <c r="N2777" s="37"/>
      <c r="O2777" s="132"/>
      <c r="P2777" s="134"/>
      <c r="Q2777" s="261"/>
      <c r="R2777" s="94"/>
    </row>
    <row r="2778" spans="3:18" x14ac:dyDescent="0.25">
      <c r="C2778" s="279"/>
      <c r="D2778" s="159"/>
      <c r="E2778" s="45"/>
      <c r="F2778" s="148"/>
      <c r="G2778" s="1"/>
      <c r="H2778" s="163"/>
      <c r="I2778" s="37"/>
      <c r="J2778" s="138"/>
      <c r="K2778" s="114"/>
      <c r="L2778" s="37"/>
      <c r="M2778" s="37"/>
      <c r="N2778" s="37"/>
      <c r="O2778" s="132"/>
      <c r="P2778" s="134"/>
      <c r="Q2778" s="261"/>
      <c r="R2778" s="94"/>
    </row>
    <row r="2779" spans="3:18" x14ac:dyDescent="0.25">
      <c r="C2779" s="279"/>
      <c r="D2779" s="159"/>
      <c r="E2779" s="45"/>
      <c r="F2779" s="148"/>
      <c r="G2779" s="1"/>
      <c r="H2779" s="163"/>
      <c r="I2779" s="37"/>
      <c r="J2779" s="138"/>
      <c r="K2779" s="114"/>
      <c r="L2779" s="37"/>
      <c r="M2779" s="37"/>
      <c r="N2779" s="37"/>
      <c r="O2779" s="132"/>
      <c r="P2779" s="134"/>
      <c r="Q2779" s="261"/>
      <c r="R2779" s="94"/>
    </row>
    <row r="2780" spans="3:18" x14ac:dyDescent="0.25">
      <c r="C2780" s="279"/>
      <c r="D2780" s="159"/>
      <c r="E2780" s="45"/>
      <c r="F2780" s="148"/>
      <c r="G2780" s="1"/>
      <c r="H2780" s="163"/>
      <c r="I2780" s="37"/>
      <c r="J2780" s="138"/>
      <c r="K2780" s="114"/>
      <c r="L2780" s="37"/>
      <c r="M2780" s="37"/>
      <c r="N2780" s="37"/>
      <c r="O2780" s="132"/>
      <c r="P2780" s="134"/>
      <c r="Q2780" s="261"/>
      <c r="R2780" s="94"/>
    </row>
    <row r="2781" spans="3:18" x14ac:dyDescent="0.25">
      <c r="C2781" s="279"/>
      <c r="D2781" s="159"/>
      <c r="E2781" s="45"/>
      <c r="F2781" s="148"/>
      <c r="G2781" s="1"/>
      <c r="H2781" s="163"/>
      <c r="I2781" s="37"/>
      <c r="J2781" s="138"/>
      <c r="K2781" s="114"/>
      <c r="L2781" s="37"/>
      <c r="M2781" s="37"/>
      <c r="N2781" s="37"/>
      <c r="O2781" s="132"/>
      <c r="P2781" s="134"/>
      <c r="Q2781" s="261"/>
      <c r="R2781" s="94"/>
    </row>
    <row r="2782" spans="3:18" x14ac:dyDescent="0.25">
      <c r="C2782" s="279"/>
      <c r="D2782" s="159"/>
      <c r="E2782" s="45"/>
      <c r="F2782" s="148"/>
      <c r="G2782" s="1"/>
      <c r="H2782" s="163"/>
      <c r="I2782" s="37"/>
      <c r="J2782" s="138"/>
      <c r="K2782" s="114"/>
      <c r="L2782" s="37"/>
      <c r="M2782" s="37"/>
      <c r="N2782" s="37"/>
      <c r="O2782" s="132"/>
      <c r="P2782" s="134"/>
      <c r="Q2782" s="261"/>
      <c r="R2782" s="94"/>
    </row>
    <row r="2783" spans="3:18" x14ac:dyDescent="0.25">
      <c r="C2783" s="279"/>
      <c r="D2783" s="159"/>
      <c r="E2783" s="45"/>
      <c r="F2783" s="148"/>
      <c r="G2783" s="1"/>
      <c r="H2783" s="163"/>
      <c r="I2783" s="37"/>
      <c r="J2783" s="138"/>
      <c r="K2783" s="114"/>
      <c r="L2783" s="37"/>
      <c r="M2783" s="37"/>
      <c r="N2783" s="37"/>
      <c r="O2783" s="132"/>
      <c r="P2783" s="134"/>
      <c r="Q2783" s="261"/>
      <c r="R2783" s="94"/>
    </row>
    <row r="2784" spans="3:18" x14ac:dyDescent="0.25">
      <c r="C2784" s="279"/>
      <c r="D2784" s="159"/>
      <c r="E2784" s="45"/>
      <c r="F2784" s="148"/>
      <c r="G2784" s="1"/>
      <c r="H2784" s="163"/>
      <c r="I2784" s="37"/>
      <c r="J2784" s="138"/>
      <c r="K2784" s="114"/>
      <c r="L2784" s="37"/>
      <c r="M2784" s="37"/>
      <c r="N2784" s="37"/>
      <c r="O2784" s="132"/>
      <c r="P2784" s="134"/>
      <c r="Q2784" s="261"/>
      <c r="R2784" s="94"/>
    </row>
    <row r="2785" spans="3:18" x14ac:dyDescent="0.25">
      <c r="C2785" s="279"/>
      <c r="D2785" s="159"/>
      <c r="E2785" s="45"/>
      <c r="F2785" s="148"/>
      <c r="G2785" s="1"/>
      <c r="H2785" s="163"/>
      <c r="I2785" s="37"/>
      <c r="J2785" s="138"/>
      <c r="K2785" s="114"/>
      <c r="L2785" s="37"/>
      <c r="M2785" s="37"/>
      <c r="N2785" s="37"/>
      <c r="O2785" s="132"/>
      <c r="P2785" s="134"/>
      <c r="Q2785" s="261"/>
      <c r="R2785" s="94"/>
    </row>
    <row r="2786" spans="3:18" x14ac:dyDescent="0.25">
      <c r="C2786" s="279"/>
      <c r="D2786" s="159"/>
      <c r="E2786" s="45"/>
      <c r="F2786" s="148"/>
      <c r="G2786" s="1"/>
      <c r="H2786" s="163"/>
      <c r="I2786" s="37"/>
      <c r="J2786" s="138"/>
      <c r="K2786" s="114"/>
      <c r="L2786" s="37"/>
      <c r="M2786" s="37"/>
      <c r="N2786" s="37"/>
      <c r="O2786" s="132"/>
      <c r="P2786" s="134"/>
      <c r="Q2786" s="261"/>
      <c r="R2786" s="94"/>
    </row>
    <row r="2787" spans="3:18" x14ac:dyDescent="0.25">
      <c r="C2787" s="279"/>
      <c r="D2787" s="159"/>
      <c r="E2787" s="45"/>
      <c r="F2787" s="148"/>
      <c r="G2787" s="1"/>
      <c r="H2787" s="163"/>
      <c r="I2787" s="37"/>
      <c r="J2787" s="138"/>
      <c r="K2787" s="114"/>
      <c r="L2787" s="37"/>
      <c r="M2787" s="37"/>
      <c r="N2787" s="37"/>
      <c r="O2787" s="132"/>
      <c r="P2787" s="134"/>
      <c r="Q2787" s="261"/>
      <c r="R2787" s="94"/>
    </row>
    <row r="2788" spans="3:18" x14ac:dyDescent="0.25">
      <c r="C2788" s="279"/>
      <c r="D2788" s="159"/>
      <c r="E2788" s="45"/>
      <c r="F2788" s="148"/>
      <c r="G2788" s="1"/>
      <c r="H2788" s="163"/>
      <c r="I2788" s="37"/>
      <c r="J2788" s="138"/>
      <c r="K2788" s="114"/>
      <c r="L2788" s="37"/>
      <c r="M2788" s="37"/>
      <c r="N2788" s="37"/>
      <c r="O2788" s="132"/>
      <c r="P2788" s="134"/>
      <c r="Q2788" s="261"/>
      <c r="R2788" s="94"/>
    </row>
    <row r="2789" spans="3:18" x14ac:dyDescent="0.25">
      <c r="C2789" s="279"/>
      <c r="D2789" s="159"/>
      <c r="E2789" s="45"/>
      <c r="F2789" s="148"/>
      <c r="G2789" s="1"/>
      <c r="H2789" s="163"/>
      <c r="I2789" s="37"/>
      <c r="J2789" s="138"/>
      <c r="K2789" s="114"/>
      <c r="L2789" s="37"/>
      <c r="M2789" s="37"/>
      <c r="N2789" s="37"/>
      <c r="O2789" s="132"/>
      <c r="P2789" s="134"/>
      <c r="Q2789" s="261"/>
      <c r="R2789" s="94"/>
    </row>
    <row r="2790" spans="3:18" x14ac:dyDescent="0.25">
      <c r="C2790" s="279"/>
      <c r="D2790" s="159"/>
      <c r="E2790" s="45"/>
      <c r="F2790" s="148"/>
      <c r="G2790" s="1"/>
      <c r="H2790" s="163"/>
      <c r="I2790" s="37"/>
      <c r="J2790" s="138"/>
      <c r="K2790" s="114"/>
      <c r="L2790" s="37"/>
      <c r="M2790" s="37"/>
      <c r="N2790" s="37"/>
      <c r="O2790" s="132"/>
      <c r="P2790" s="134"/>
      <c r="Q2790" s="261"/>
      <c r="R2790" s="94"/>
    </row>
    <row r="2791" spans="3:18" x14ac:dyDescent="0.25">
      <c r="C2791" s="279"/>
      <c r="D2791" s="159"/>
      <c r="E2791" s="45"/>
      <c r="F2791" s="148"/>
      <c r="G2791" s="1"/>
      <c r="H2791" s="163"/>
      <c r="I2791" s="37"/>
      <c r="J2791" s="138"/>
      <c r="K2791" s="114"/>
      <c r="L2791" s="37"/>
      <c r="M2791" s="37"/>
      <c r="N2791" s="37"/>
      <c r="O2791" s="132"/>
      <c r="P2791" s="134"/>
      <c r="Q2791" s="261"/>
      <c r="R2791" s="94"/>
    </row>
    <row r="2792" spans="3:18" x14ac:dyDescent="0.25">
      <c r="C2792" s="279"/>
      <c r="D2792" s="159"/>
      <c r="E2792" s="45"/>
      <c r="F2792" s="148"/>
      <c r="G2792" s="1"/>
      <c r="H2792" s="163"/>
      <c r="I2792" s="37"/>
      <c r="J2792" s="138"/>
      <c r="K2792" s="114"/>
      <c r="L2792" s="37"/>
      <c r="M2792" s="37"/>
      <c r="N2792" s="37"/>
      <c r="O2792" s="132"/>
      <c r="P2792" s="134"/>
      <c r="Q2792" s="261"/>
      <c r="R2792" s="94"/>
    </row>
    <row r="2793" spans="3:18" x14ac:dyDescent="0.25">
      <c r="C2793" s="279"/>
      <c r="D2793" s="159"/>
      <c r="E2793" s="45"/>
      <c r="F2793" s="148"/>
      <c r="G2793" s="1"/>
      <c r="H2793" s="163"/>
      <c r="I2793" s="37"/>
      <c r="J2793" s="138"/>
      <c r="K2793" s="114"/>
      <c r="L2793" s="37"/>
      <c r="M2793" s="37"/>
      <c r="N2793" s="37"/>
      <c r="O2793" s="132"/>
      <c r="P2793" s="134"/>
      <c r="Q2793" s="261"/>
      <c r="R2793" s="94"/>
    </row>
    <row r="2794" spans="3:18" x14ac:dyDescent="0.25">
      <c r="C2794" s="279"/>
      <c r="D2794" s="159"/>
      <c r="E2794" s="45"/>
      <c r="F2794" s="148"/>
      <c r="G2794" s="1"/>
      <c r="H2794" s="163"/>
      <c r="I2794" s="37"/>
      <c r="J2794" s="138"/>
      <c r="K2794" s="114"/>
      <c r="L2794" s="37"/>
      <c r="M2794" s="37"/>
      <c r="N2794" s="37"/>
      <c r="O2794" s="132"/>
      <c r="P2794" s="134"/>
      <c r="Q2794" s="261"/>
      <c r="R2794" s="94"/>
    </row>
    <row r="2795" spans="3:18" x14ac:dyDescent="0.25">
      <c r="C2795" s="279"/>
      <c r="D2795" s="159"/>
      <c r="E2795" s="45"/>
      <c r="F2795" s="148"/>
      <c r="G2795" s="1"/>
      <c r="H2795" s="163"/>
      <c r="I2795" s="37"/>
      <c r="J2795" s="138"/>
      <c r="K2795" s="114"/>
      <c r="L2795" s="37"/>
      <c r="M2795" s="37"/>
      <c r="N2795" s="37"/>
      <c r="O2795" s="132"/>
      <c r="P2795" s="134"/>
      <c r="Q2795" s="261"/>
      <c r="R2795" s="94"/>
    </row>
    <row r="2796" spans="3:18" x14ac:dyDescent="0.25">
      <c r="C2796" s="279"/>
      <c r="D2796" s="159"/>
      <c r="E2796" s="45"/>
      <c r="F2796" s="148"/>
      <c r="G2796" s="1"/>
      <c r="H2796" s="163"/>
      <c r="I2796" s="37"/>
      <c r="J2796" s="138"/>
      <c r="K2796" s="114"/>
      <c r="L2796" s="37"/>
      <c r="M2796" s="37"/>
      <c r="N2796" s="37"/>
      <c r="O2796" s="132"/>
      <c r="P2796" s="134"/>
      <c r="Q2796" s="261"/>
      <c r="R2796" s="94"/>
    </row>
    <row r="2797" spans="3:18" x14ac:dyDescent="0.25">
      <c r="C2797" s="279"/>
      <c r="D2797" s="159"/>
      <c r="E2797" s="45"/>
      <c r="F2797" s="148"/>
      <c r="G2797" s="1"/>
      <c r="H2797" s="163"/>
      <c r="I2797" s="37"/>
      <c r="J2797" s="138"/>
      <c r="K2797" s="114"/>
      <c r="L2797" s="37"/>
      <c r="M2797" s="37"/>
      <c r="N2797" s="37"/>
      <c r="O2797" s="132"/>
      <c r="P2797" s="134"/>
      <c r="Q2797" s="261"/>
      <c r="R2797" s="94"/>
    </row>
    <row r="2798" spans="3:18" x14ac:dyDescent="0.25">
      <c r="C2798" s="279"/>
      <c r="D2798" s="159"/>
      <c r="E2798" s="45"/>
      <c r="F2798" s="148"/>
      <c r="G2798" s="1"/>
      <c r="H2798" s="163"/>
      <c r="I2798" s="37"/>
      <c r="J2798" s="138"/>
      <c r="K2798" s="114"/>
      <c r="L2798" s="37"/>
      <c r="M2798" s="37"/>
      <c r="N2798" s="37"/>
      <c r="O2798" s="132"/>
      <c r="P2798" s="134"/>
      <c r="Q2798" s="261"/>
      <c r="R2798" s="94"/>
    </row>
    <row r="2799" spans="3:18" x14ac:dyDescent="0.25">
      <c r="C2799" s="279"/>
      <c r="D2799" s="159"/>
      <c r="E2799" s="45"/>
      <c r="F2799" s="148"/>
      <c r="G2799" s="1"/>
      <c r="H2799" s="163"/>
      <c r="I2799" s="37"/>
      <c r="J2799" s="138"/>
      <c r="K2799" s="114"/>
      <c r="L2799" s="37"/>
      <c r="M2799" s="37"/>
      <c r="N2799" s="37"/>
      <c r="O2799" s="132"/>
      <c r="P2799" s="134"/>
      <c r="Q2799" s="261"/>
      <c r="R2799" s="94"/>
    </row>
    <row r="2800" spans="3:18" x14ac:dyDescent="0.25">
      <c r="C2800" s="279"/>
      <c r="D2800" s="159"/>
      <c r="E2800" s="45"/>
      <c r="F2800" s="148"/>
      <c r="G2800" s="1"/>
      <c r="H2800" s="163"/>
      <c r="I2800" s="37"/>
      <c r="J2800" s="138"/>
      <c r="K2800" s="114"/>
      <c r="L2800" s="37"/>
      <c r="M2800" s="37"/>
      <c r="N2800" s="37"/>
      <c r="O2800" s="132"/>
      <c r="P2800" s="134"/>
      <c r="Q2800" s="261"/>
      <c r="R2800" s="94"/>
    </row>
    <row r="2801" spans="3:18" x14ac:dyDescent="0.25">
      <c r="C2801" s="279"/>
      <c r="D2801" s="159"/>
      <c r="E2801" s="45"/>
      <c r="F2801" s="148"/>
      <c r="G2801" s="1"/>
      <c r="H2801" s="163"/>
      <c r="I2801" s="37"/>
      <c r="J2801" s="138"/>
      <c r="K2801" s="114"/>
      <c r="L2801" s="37"/>
      <c r="M2801" s="37"/>
      <c r="N2801" s="37"/>
      <c r="O2801" s="132"/>
      <c r="P2801" s="134"/>
      <c r="Q2801" s="261"/>
      <c r="R2801" s="94"/>
    </row>
    <row r="2802" spans="3:18" x14ac:dyDescent="0.25">
      <c r="C2802" s="279"/>
      <c r="D2802" s="159"/>
      <c r="E2802" s="45"/>
      <c r="F2802" s="148"/>
      <c r="G2802" s="1"/>
      <c r="H2802" s="163"/>
      <c r="I2802" s="37"/>
      <c r="J2802" s="138"/>
      <c r="K2802" s="114"/>
      <c r="L2802" s="37"/>
      <c r="M2802" s="37"/>
      <c r="N2802" s="37"/>
      <c r="O2802" s="132"/>
      <c r="P2802" s="134"/>
      <c r="Q2802" s="261"/>
      <c r="R2802" s="94"/>
    </row>
    <row r="2803" spans="3:18" x14ac:dyDescent="0.25">
      <c r="C2803" s="279"/>
      <c r="D2803" s="159"/>
      <c r="E2803" s="45"/>
      <c r="F2803" s="148"/>
      <c r="G2803" s="1"/>
      <c r="H2803" s="163"/>
      <c r="I2803" s="37"/>
      <c r="J2803" s="138"/>
      <c r="K2803" s="114"/>
      <c r="L2803" s="37"/>
      <c r="M2803" s="37"/>
      <c r="N2803" s="37"/>
      <c r="O2803" s="132"/>
      <c r="P2803" s="134"/>
      <c r="Q2803" s="261"/>
      <c r="R2803" s="94"/>
    </row>
    <row r="2804" spans="3:18" x14ac:dyDescent="0.25">
      <c r="C2804" s="279"/>
      <c r="D2804" s="159"/>
      <c r="E2804" s="45"/>
      <c r="F2804" s="148"/>
      <c r="G2804" s="1"/>
      <c r="H2804" s="163"/>
      <c r="I2804" s="37"/>
      <c r="J2804" s="138"/>
      <c r="K2804" s="114"/>
      <c r="L2804" s="37"/>
      <c r="M2804" s="37"/>
      <c r="N2804" s="37"/>
      <c r="O2804" s="132"/>
      <c r="P2804" s="134"/>
      <c r="Q2804" s="261"/>
      <c r="R2804" s="94"/>
    </row>
    <row r="2805" spans="3:18" x14ac:dyDescent="0.25">
      <c r="C2805" s="279"/>
      <c r="D2805" s="159"/>
      <c r="E2805" s="45"/>
      <c r="F2805" s="148"/>
      <c r="G2805" s="1"/>
      <c r="H2805" s="163"/>
      <c r="I2805" s="37"/>
      <c r="J2805" s="138"/>
      <c r="K2805" s="114"/>
      <c r="L2805" s="37"/>
      <c r="M2805" s="37"/>
      <c r="N2805" s="37"/>
      <c r="O2805" s="132"/>
      <c r="P2805" s="134"/>
      <c r="Q2805" s="261"/>
      <c r="R2805" s="94"/>
    </row>
    <row r="2806" spans="3:18" x14ac:dyDescent="0.25">
      <c r="C2806" s="279"/>
      <c r="D2806" s="159"/>
      <c r="E2806" s="45"/>
      <c r="F2806" s="148"/>
      <c r="G2806" s="1"/>
      <c r="H2806" s="163"/>
      <c r="I2806" s="37"/>
      <c r="J2806" s="138"/>
      <c r="K2806" s="114"/>
      <c r="L2806" s="37"/>
      <c r="M2806" s="37"/>
      <c r="N2806" s="37"/>
      <c r="O2806" s="132"/>
      <c r="P2806" s="134"/>
      <c r="Q2806" s="261"/>
      <c r="R2806" s="94"/>
    </row>
    <row r="2807" spans="3:18" x14ac:dyDescent="0.25">
      <c r="C2807" s="279"/>
      <c r="D2807" s="159"/>
      <c r="E2807" s="45"/>
      <c r="F2807" s="148"/>
      <c r="G2807" s="1"/>
      <c r="H2807" s="163"/>
      <c r="I2807" s="37"/>
      <c r="J2807" s="138"/>
      <c r="K2807" s="114"/>
      <c r="L2807" s="37"/>
      <c r="M2807" s="37"/>
      <c r="N2807" s="37"/>
      <c r="O2807" s="132"/>
      <c r="P2807" s="134"/>
      <c r="Q2807" s="261"/>
      <c r="R2807" s="94"/>
    </row>
    <row r="2808" spans="3:18" x14ac:dyDescent="0.25">
      <c r="C2808" s="279"/>
      <c r="D2808" s="159"/>
      <c r="E2808" s="45"/>
      <c r="F2808" s="148"/>
      <c r="G2808" s="1"/>
      <c r="H2808" s="163"/>
      <c r="I2808" s="37"/>
      <c r="J2808" s="138"/>
      <c r="K2808" s="114"/>
      <c r="L2808" s="37"/>
      <c r="M2808" s="37"/>
      <c r="N2808" s="37"/>
      <c r="O2808" s="132"/>
      <c r="P2808" s="134"/>
      <c r="Q2808" s="261"/>
      <c r="R2808" s="94"/>
    </row>
    <row r="2809" spans="3:18" x14ac:dyDescent="0.25">
      <c r="C2809" s="279"/>
      <c r="D2809" s="159"/>
      <c r="E2809" s="45"/>
      <c r="F2809" s="148"/>
      <c r="G2809" s="1"/>
      <c r="H2809" s="163"/>
      <c r="I2809" s="37"/>
      <c r="J2809" s="138"/>
      <c r="K2809" s="114"/>
      <c r="L2809" s="37"/>
      <c r="M2809" s="37"/>
      <c r="N2809" s="37"/>
      <c r="O2809" s="132"/>
      <c r="P2809" s="134"/>
      <c r="Q2809" s="261"/>
      <c r="R2809" s="94"/>
    </row>
    <row r="2810" spans="3:18" x14ac:dyDescent="0.25">
      <c r="C2810" s="279"/>
      <c r="D2810" s="159"/>
      <c r="E2810" s="45"/>
      <c r="F2810" s="148"/>
      <c r="G2810" s="1"/>
      <c r="H2810" s="163"/>
      <c r="I2810" s="37"/>
      <c r="J2810" s="138"/>
      <c r="K2810" s="114"/>
      <c r="L2810" s="37"/>
      <c r="M2810" s="37"/>
      <c r="N2810" s="37"/>
      <c r="O2810" s="132"/>
      <c r="P2810" s="134"/>
      <c r="Q2810" s="261"/>
      <c r="R2810" s="94"/>
    </row>
    <row r="2811" spans="3:18" x14ac:dyDescent="0.25">
      <c r="C2811" s="279"/>
      <c r="D2811" s="159"/>
      <c r="E2811" s="45"/>
      <c r="F2811" s="148"/>
      <c r="G2811" s="1"/>
      <c r="H2811" s="163"/>
      <c r="I2811" s="37"/>
      <c r="J2811" s="138"/>
      <c r="K2811" s="114"/>
      <c r="L2811" s="37"/>
      <c r="M2811" s="37"/>
      <c r="N2811" s="37"/>
      <c r="O2811" s="132"/>
      <c r="P2811" s="134"/>
      <c r="Q2811" s="261"/>
      <c r="R2811" s="94"/>
    </row>
    <row r="2812" spans="3:18" x14ac:dyDescent="0.25">
      <c r="C2812" s="279"/>
      <c r="D2812" s="159"/>
      <c r="E2812" s="45"/>
      <c r="F2812" s="148"/>
      <c r="G2812" s="1"/>
      <c r="H2812" s="163"/>
      <c r="I2812" s="37"/>
      <c r="J2812" s="138"/>
      <c r="K2812" s="114"/>
      <c r="L2812" s="37"/>
      <c r="M2812" s="37"/>
      <c r="N2812" s="37"/>
      <c r="O2812" s="132"/>
      <c r="P2812" s="134"/>
      <c r="Q2812" s="261"/>
      <c r="R2812" s="94"/>
    </row>
    <row r="2813" spans="3:18" x14ac:dyDescent="0.25">
      <c r="C2813" s="279"/>
      <c r="D2813" s="159"/>
      <c r="E2813" s="45"/>
      <c r="F2813" s="148"/>
      <c r="G2813" s="1"/>
      <c r="H2813" s="163"/>
      <c r="I2813" s="37"/>
      <c r="J2813" s="138"/>
      <c r="K2813" s="114"/>
      <c r="L2813" s="37"/>
      <c r="M2813" s="37"/>
      <c r="N2813" s="37"/>
      <c r="O2813" s="132"/>
      <c r="P2813" s="134"/>
      <c r="Q2813" s="261"/>
      <c r="R2813" s="94"/>
    </row>
    <row r="2814" spans="3:18" x14ac:dyDescent="0.25">
      <c r="C2814" s="279"/>
      <c r="D2814" s="159"/>
      <c r="E2814" s="45"/>
      <c r="F2814" s="148"/>
      <c r="G2814" s="1"/>
      <c r="H2814" s="163"/>
      <c r="I2814" s="37"/>
      <c r="J2814" s="138"/>
      <c r="K2814" s="114"/>
      <c r="L2814" s="37"/>
      <c r="M2814" s="37"/>
      <c r="N2814" s="37"/>
      <c r="O2814" s="132"/>
      <c r="P2814" s="134"/>
      <c r="Q2814" s="261"/>
      <c r="R2814" s="94"/>
    </row>
    <row r="2815" spans="3:18" x14ac:dyDescent="0.25">
      <c r="C2815" s="279"/>
      <c r="D2815" s="159"/>
      <c r="E2815" s="45"/>
      <c r="F2815" s="148"/>
      <c r="G2815" s="1"/>
      <c r="H2815" s="163"/>
      <c r="I2815" s="37"/>
      <c r="J2815" s="138"/>
      <c r="K2815" s="114"/>
      <c r="L2815" s="37"/>
      <c r="M2815" s="37"/>
      <c r="N2815" s="37"/>
      <c r="O2815" s="132"/>
      <c r="P2815" s="134"/>
      <c r="Q2815" s="261"/>
      <c r="R2815" s="94"/>
    </row>
    <row r="2816" spans="3:18" x14ac:dyDescent="0.25">
      <c r="C2816" s="279"/>
      <c r="D2816" s="159"/>
      <c r="E2816" s="45"/>
      <c r="F2816" s="148"/>
      <c r="G2816" s="1"/>
      <c r="H2816" s="163"/>
      <c r="I2816" s="37"/>
      <c r="J2816" s="138"/>
      <c r="K2816" s="114"/>
      <c r="L2816" s="37"/>
      <c r="M2816" s="37"/>
      <c r="N2816" s="37"/>
      <c r="O2816" s="132"/>
      <c r="P2816" s="134"/>
      <c r="Q2816" s="261"/>
      <c r="R2816" s="94"/>
    </row>
    <row r="2817" spans="3:18" x14ac:dyDescent="0.25">
      <c r="C2817" s="279"/>
      <c r="D2817" s="159"/>
      <c r="E2817" s="45"/>
      <c r="F2817" s="148"/>
      <c r="G2817" s="1"/>
      <c r="H2817" s="163"/>
      <c r="I2817" s="37"/>
      <c r="J2817" s="138"/>
      <c r="K2817" s="114"/>
      <c r="L2817" s="37"/>
      <c r="M2817" s="37"/>
      <c r="N2817" s="37"/>
      <c r="O2817" s="132"/>
      <c r="P2817" s="134"/>
      <c r="Q2817" s="261"/>
      <c r="R2817" s="94"/>
    </row>
    <row r="2818" spans="3:18" x14ac:dyDescent="0.25">
      <c r="C2818" s="279"/>
      <c r="D2818" s="159"/>
      <c r="E2818" s="45"/>
      <c r="F2818" s="148"/>
      <c r="G2818" s="1"/>
      <c r="H2818" s="163"/>
      <c r="I2818" s="37"/>
      <c r="J2818" s="138"/>
      <c r="K2818" s="114"/>
      <c r="L2818" s="37"/>
      <c r="M2818" s="37"/>
      <c r="N2818" s="37"/>
      <c r="O2818" s="132"/>
      <c r="P2818" s="134"/>
      <c r="Q2818" s="261"/>
      <c r="R2818" s="94"/>
    </row>
    <row r="2819" spans="3:18" x14ac:dyDescent="0.25">
      <c r="C2819" s="279"/>
      <c r="D2819" s="159"/>
      <c r="E2819" s="45"/>
      <c r="F2819" s="148"/>
      <c r="G2819" s="1"/>
      <c r="H2819" s="163"/>
      <c r="I2819" s="37"/>
      <c r="J2819" s="138"/>
      <c r="K2819" s="114"/>
      <c r="L2819" s="37"/>
      <c r="M2819" s="37"/>
      <c r="N2819" s="37"/>
      <c r="O2819" s="132"/>
      <c r="P2819" s="134"/>
      <c r="Q2819" s="261"/>
      <c r="R2819" s="94"/>
    </row>
    <row r="2820" spans="3:18" x14ac:dyDescent="0.25">
      <c r="C2820" s="279"/>
      <c r="D2820" s="159"/>
      <c r="E2820" s="45"/>
      <c r="F2820" s="148"/>
      <c r="G2820" s="1"/>
      <c r="H2820" s="163"/>
      <c r="I2820" s="37"/>
      <c r="J2820" s="138"/>
      <c r="K2820" s="114"/>
      <c r="L2820" s="37"/>
      <c r="M2820" s="37"/>
      <c r="N2820" s="37"/>
      <c r="O2820" s="132"/>
      <c r="P2820" s="134"/>
      <c r="Q2820" s="261"/>
      <c r="R2820" s="94"/>
    </row>
    <row r="2821" spans="3:18" x14ac:dyDescent="0.25">
      <c r="C2821" s="279"/>
      <c r="D2821" s="159"/>
      <c r="E2821" s="45"/>
      <c r="F2821" s="148"/>
      <c r="G2821" s="1"/>
      <c r="H2821" s="163"/>
      <c r="I2821" s="37"/>
      <c r="J2821" s="138"/>
      <c r="K2821" s="114"/>
      <c r="L2821" s="37"/>
      <c r="M2821" s="37"/>
      <c r="N2821" s="37"/>
      <c r="O2821" s="132"/>
      <c r="P2821" s="134"/>
      <c r="Q2821" s="261"/>
      <c r="R2821" s="94"/>
    </row>
    <row r="2822" spans="3:18" x14ac:dyDescent="0.25">
      <c r="C2822" s="279"/>
      <c r="D2822" s="159"/>
      <c r="E2822" s="45"/>
      <c r="F2822" s="148"/>
      <c r="G2822" s="1"/>
      <c r="H2822" s="163"/>
      <c r="I2822" s="37"/>
      <c r="J2822" s="138"/>
      <c r="K2822" s="114"/>
      <c r="L2822" s="37"/>
      <c r="M2822" s="37"/>
      <c r="N2822" s="37"/>
      <c r="O2822" s="132"/>
      <c r="P2822" s="134"/>
      <c r="Q2822" s="261"/>
      <c r="R2822" s="94"/>
    </row>
    <row r="2823" spans="3:18" x14ac:dyDescent="0.25">
      <c r="C2823" s="279"/>
      <c r="D2823" s="159"/>
      <c r="E2823" s="45"/>
      <c r="F2823" s="148"/>
      <c r="G2823" s="1"/>
      <c r="H2823" s="163"/>
      <c r="I2823" s="37"/>
      <c r="J2823" s="138"/>
      <c r="K2823" s="114"/>
      <c r="L2823" s="37"/>
      <c r="M2823" s="37"/>
      <c r="N2823" s="37"/>
      <c r="O2823" s="132"/>
      <c r="P2823" s="134"/>
      <c r="Q2823" s="261"/>
      <c r="R2823" s="94"/>
    </row>
    <row r="2824" spans="3:18" x14ac:dyDescent="0.25">
      <c r="C2824" s="279"/>
      <c r="D2824" s="159"/>
      <c r="E2824" s="45"/>
      <c r="F2824" s="148"/>
      <c r="G2824" s="1"/>
      <c r="H2824" s="163"/>
      <c r="I2824" s="37"/>
      <c r="J2824" s="138"/>
      <c r="K2824" s="114"/>
      <c r="L2824" s="37"/>
      <c r="M2824" s="37"/>
      <c r="N2824" s="37"/>
      <c r="O2824" s="132"/>
      <c r="P2824" s="134"/>
      <c r="Q2824" s="261"/>
      <c r="R2824" s="94"/>
    </row>
    <row r="2825" spans="3:18" x14ac:dyDescent="0.25">
      <c r="C2825" s="279"/>
      <c r="D2825" s="159"/>
      <c r="E2825" s="45"/>
      <c r="F2825" s="148"/>
      <c r="G2825" s="1"/>
      <c r="H2825" s="163"/>
      <c r="I2825" s="37"/>
      <c r="J2825" s="138"/>
      <c r="K2825" s="114"/>
      <c r="L2825" s="37"/>
      <c r="M2825" s="37"/>
      <c r="N2825" s="37"/>
      <c r="O2825" s="132"/>
      <c r="P2825" s="134"/>
      <c r="Q2825" s="261"/>
      <c r="R2825" s="94"/>
    </row>
    <row r="2826" spans="3:18" x14ac:dyDescent="0.25">
      <c r="C2826" s="279"/>
      <c r="D2826" s="159"/>
      <c r="E2826" s="45"/>
      <c r="F2826" s="148"/>
      <c r="G2826" s="1"/>
      <c r="H2826" s="163"/>
      <c r="I2826" s="37"/>
      <c r="J2826" s="138"/>
      <c r="K2826" s="114"/>
      <c r="L2826" s="37"/>
      <c r="M2826" s="37"/>
      <c r="N2826" s="37"/>
      <c r="O2826" s="132"/>
      <c r="P2826" s="134"/>
      <c r="Q2826" s="261"/>
      <c r="R2826" s="94"/>
    </row>
    <row r="2827" spans="3:18" x14ac:dyDescent="0.25">
      <c r="C2827" s="279"/>
      <c r="D2827" s="159"/>
      <c r="E2827" s="45"/>
      <c r="F2827" s="148"/>
      <c r="G2827" s="1"/>
      <c r="H2827" s="163"/>
      <c r="I2827" s="37"/>
      <c r="J2827" s="138"/>
      <c r="K2827" s="114"/>
      <c r="L2827" s="37"/>
      <c r="M2827" s="37"/>
      <c r="N2827" s="37"/>
      <c r="O2827" s="132"/>
      <c r="P2827" s="134"/>
      <c r="Q2827" s="261"/>
      <c r="R2827" s="94"/>
    </row>
    <row r="2828" spans="3:18" x14ac:dyDescent="0.25">
      <c r="C2828" s="279"/>
      <c r="D2828" s="159"/>
      <c r="E2828" s="45"/>
      <c r="F2828" s="148"/>
      <c r="G2828" s="1"/>
      <c r="H2828" s="163"/>
      <c r="I2828" s="37"/>
      <c r="J2828" s="138"/>
      <c r="K2828" s="114"/>
      <c r="L2828" s="37"/>
      <c r="M2828" s="37"/>
      <c r="N2828" s="37"/>
      <c r="O2828" s="132"/>
      <c r="P2828" s="134"/>
      <c r="Q2828" s="261"/>
      <c r="R2828" s="94"/>
    </row>
    <row r="2829" spans="3:18" x14ac:dyDescent="0.25">
      <c r="C2829" s="279"/>
      <c r="D2829" s="159"/>
      <c r="E2829" s="45"/>
      <c r="F2829" s="148"/>
      <c r="G2829" s="1"/>
      <c r="H2829" s="163"/>
      <c r="I2829" s="37"/>
      <c r="J2829" s="138"/>
      <c r="K2829" s="114"/>
      <c r="L2829" s="37"/>
      <c r="M2829" s="37"/>
      <c r="N2829" s="37"/>
      <c r="O2829" s="132"/>
      <c r="P2829" s="134"/>
      <c r="Q2829" s="261"/>
      <c r="R2829" s="94"/>
    </row>
    <row r="2830" spans="3:18" x14ac:dyDescent="0.25">
      <c r="C2830" s="279"/>
      <c r="D2830" s="159"/>
      <c r="E2830" s="45"/>
      <c r="F2830" s="148"/>
      <c r="G2830" s="1"/>
      <c r="H2830" s="163"/>
      <c r="I2830" s="37"/>
      <c r="J2830" s="138"/>
      <c r="K2830" s="114"/>
      <c r="L2830" s="37"/>
      <c r="M2830" s="37"/>
      <c r="N2830" s="37"/>
      <c r="O2830" s="132"/>
      <c r="P2830" s="134"/>
      <c r="Q2830" s="261"/>
      <c r="R2830" s="94"/>
    </row>
    <row r="2831" spans="3:18" x14ac:dyDescent="0.25">
      <c r="C2831" s="279"/>
      <c r="D2831" s="159"/>
      <c r="E2831" s="45"/>
      <c r="F2831" s="148"/>
      <c r="G2831" s="1"/>
      <c r="H2831" s="163"/>
      <c r="I2831" s="37"/>
      <c r="J2831" s="138"/>
      <c r="K2831" s="114"/>
      <c r="L2831" s="37"/>
      <c r="M2831" s="37"/>
      <c r="N2831" s="37"/>
      <c r="O2831" s="132"/>
      <c r="P2831" s="134"/>
      <c r="Q2831" s="261"/>
      <c r="R2831" s="94"/>
    </row>
    <row r="2832" spans="3:18" x14ac:dyDescent="0.25">
      <c r="C2832" s="279"/>
      <c r="D2832" s="159"/>
      <c r="E2832" s="45"/>
      <c r="F2832" s="148"/>
      <c r="G2832" s="1"/>
      <c r="H2832" s="163"/>
      <c r="I2832" s="37"/>
      <c r="J2832" s="138"/>
      <c r="K2832" s="114"/>
      <c r="L2832" s="37"/>
      <c r="M2832" s="37"/>
      <c r="N2832" s="37"/>
      <c r="O2832" s="132"/>
      <c r="P2832" s="134"/>
      <c r="Q2832" s="261"/>
      <c r="R2832" s="94"/>
    </row>
    <row r="2833" spans="3:18" x14ac:dyDescent="0.25">
      <c r="C2833" s="279"/>
      <c r="D2833" s="159"/>
      <c r="E2833" s="45"/>
      <c r="F2833" s="148"/>
      <c r="G2833" s="1"/>
      <c r="H2833" s="163"/>
      <c r="I2833" s="37"/>
      <c r="J2833" s="138"/>
      <c r="K2833" s="114"/>
      <c r="L2833" s="37"/>
      <c r="M2833" s="37"/>
      <c r="N2833" s="37"/>
      <c r="O2833" s="132"/>
      <c r="P2833" s="134"/>
      <c r="Q2833" s="261"/>
      <c r="R2833" s="94"/>
    </row>
    <row r="2834" spans="3:18" x14ac:dyDescent="0.25">
      <c r="C2834" s="279"/>
      <c r="D2834" s="159"/>
      <c r="E2834" s="45"/>
      <c r="F2834" s="148"/>
      <c r="G2834" s="1"/>
      <c r="H2834" s="163"/>
      <c r="I2834" s="37"/>
      <c r="J2834" s="138"/>
      <c r="K2834" s="114"/>
      <c r="L2834" s="37"/>
      <c r="M2834" s="37"/>
      <c r="N2834" s="37"/>
      <c r="O2834" s="132"/>
      <c r="P2834" s="134"/>
      <c r="Q2834" s="261"/>
      <c r="R2834" s="94"/>
    </row>
    <row r="2835" spans="3:18" x14ac:dyDescent="0.25">
      <c r="C2835" s="279"/>
      <c r="D2835" s="159"/>
      <c r="E2835" s="45"/>
      <c r="F2835" s="148"/>
      <c r="G2835" s="1"/>
      <c r="H2835" s="163"/>
      <c r="I2835" s="37"/>
      <c r="J2835" s="138"/>
      <c r="K2835" s="114"/>
      <c r="L2835" s="37"/>
      <c r="M2835" s="37"/>
      <c r="N2835" s="37"/>
      <c r="O2835" s="132"/>
      <c r="P2835" s="134"/>
      <c r="Q2835" s="261"/>
      <c r="R2835" s="94"/>
    </row>
    <row r="2836" spans="3:18" x14ac:dyDescent="0.25">
      <c r="C2836" s="279"/>
      <c r="D2836" s="159"/>
      <c r="E2836" s="45"/>
      <c r="F2836" s="148"/>
      <c r="G2836" s="1"/>
      <c r="H2836" s="163"/>
      <c r="I2836" s="37"/>
      <c r="J2836" s="138"/>
      <c r="K2836" s="114"/>
      <c r="L2836" s="37"/>
      <c r="M2836" s="37"/>
      <c r="N2836" s="37"/>
      <c r="O2836" s="132"/>
      <c r="P2836" s="134"/>
      <c r="Q2836" s="261"/>
      <c r="R2836" s="94"/>
    </row>
    <row r="2837" spans="3:18" x14ac:dyDescent="0.25">
      <c r="C2837" s="279"/>
      <c r="D2837" s="159"/>
      <c r="E2837" s="45"/>
      <c r="F2837" s="148"/>
      <c r="G2837" s="1"/>
      <c r="H2837" s="163"/>
      <c r="I2837" s="37"/>
      <c r="J2837" s="138"/>
      <c r="K2837" s="114"/>
      <c r="L2837" s="37"/>
      <c r="M2837" s="37"/>
      <c r="N2837" s="37"/>
      <c r="O2837" s="132"/>
      <c r="P2837" s="134"/>
      <c r="Q2837" s="261"/>
      <c r="R2837" s="94"/>
    </row>
    <row r="2838" spans="3:18" x14ac:dyDescent="0.25">
      <c r="C2838" s="279"/>
      <c r="D2838" s="159"/>
      <c r="E2838" s="45"/>
      <c r="F2838" s="148"/>
      <c r="G2838" s="1"/>
      <c r="H2838" s="163"/>
      <c r="I2838" s="37"/>
      <c r="J2838" s="138"/>
      <c r="K2838" s="114"/>
      <c r="L2838" s="37"/>
      <c r="M2838" s="37"/>
      <c r="N2838" s="37"/>
      <c r="O2838" s="132"/>
      <c r="P2838" s="134"/>
      <c r="Q2838" s="261"/>
      <c r="R2838" s="94"/>
    </row>
    <row r="2839" spans="3:18" x14ac:dyDescent="0.25">
      <c r="C2839" s="279"/>
      <c r="D2839" s="159"/>
      <c r="E2839" s="45"/>
      <c r="F2839" s="148"/>
      <c r="G2839" s="1"/>
      <c r="H2839" s="163"/>
      <c r="I2839" s="37"/>
      <c r="J2839" s="138"/>
      <c r="K2839" s="114"/>
      <c r="L2839" s="37"/>
      <c r="M2839" s="37"/>
      <c r="N2839" s="37"/>
      <c r="O2839" s="132"/>
      <c r="P2839" s="134"/>
      <c r="Q2839" s="261"/>
      <c r="R2839" s="94"/>
    </row>
    <row r="2840" spans="3:18" x14ac:dyDescent="0.25">
      <c r="C2840" s="279"/>
      <c r="D2840" s="159"/>
      <c r="E2840" s="45"/>
      <c r="F2840" s="148"/>
      <c r="G2840" s="1"/>
      <c r="H2840" s="163"/>
      <c r="I2840" s="37"/>
      <c r="J2840" s="138"/>
      <c r="K2840" s="114"/>
      <c r="L2840" s="37"/>
      <c r="M2840" s="37"/>
      <c r="N2840" s="37"/>
      <c r="O2840" s="132"/>
      <c r="P2840" s="134"/>
      <c r="Q2840" s="261"/>
      <c r="R2840" s="94"/>
    </row>
    <row r="2841" spans="3:18" x14ac:dyDescent="0.25">
      <c r="C2841" s="279"/>
      <c r="D2841" s="159"/>
      <c r="E2841" s="45"/>
      <c r="F2841" s="148"/>
      <c r="G2841" s="1"/>
      <c r="H2841" s="163"/>
      <c r="I2841" s="37"/>
      <c r="J2841" s="138"/>
      <c r="K2841" s="114"/>
      <c r="L2841" s="37"/>
      <c r="M2841" s="37"/>
      <c r="N2841" s="37"/>
      <c r="O2841" s="132"/>
      <c r="P2841" s="134"/>
      <c r="Q2841" s="261"/>
      <c r="R2841" s="94"/>
    </row>
    <row r="2842" spans="3:18" x14ac:dyDescent="0.25">
      <c r="C2842" s="279"/>
      <c r="D2842" s="159"/>
      <c r="E2842" s="45"/>
      <c r="F2842" s="148"/>
      <c r="G2842" s="1"/>
      <c r="H2842" s="163"/>
      <c r="I2842" s="37"/>
      <c r="J2842" s="138"/>
      <c r="K2842" s="114"/>
      <c r="L2842" s="37"/>
      <c r="M2842" s="37"/>
      <c r="N2842" s="37"/>
      <c r="O2842" s="132"/>
      <c r="P2842" s="134"/>
      <c r="Q2842" s="261"/>
      <c r="R2842" s="94"/>
    </row>
    <row r="2843" spans="3:18" x14ac:dyDescent="0.25">
      <c r="C2843" s="279"/>
      <c r="D2843" s="159"/>
      <c r="E2843" s="45"/>
      <c r="F2843" s="148"/>
      <c r="G2843" s="1"/>
      <c r="H2843" s="163"/>
      <c r="I2843" s="37"/>
      <c r="J2843" s="138"/>
      <c r="K2843" s="114"/>
      <c r="L2843" s="37"/>
      <c r="M2843" s="37"/>
      <c r="N2843" s="37"/>
      <c r="O2843" s="132"/>
      <c r="P2843" s="134"/>
      <c r="Q2843" s="261"/>
      <c r="R2843" s="94"/>
    </row>
    <row r="2844" spans="3:18" x14ac:dyDescent="0.25">
      <c r="C2844" s="279"/>
      <c r="D2844" s="159"/>
      <c r="E2844" s="45"/>
      <c r="F2844" s="148"/>
      <c r="G2844" s="1"/>
      <c r="H2844" s="163"/>
      <c r="I2844" s="37"/>
      <c r="J2844" s="138"/>
      <c r="K2844" s="114"/>
      <c r="L2844" s="37"/>
      <c r="M2844" s="37"/>
      <c r="N2844" s="37"/>
      <c r="O2844" s="132"/>
      <c r="P2844" s="134"/>
      <c r="Q2844" s="261"/>
      <c r="R2844" s="94"/>
    </row>
    <row r="2845" spans="3:18" x14ac:dyDescent="0.25">
      <c r="C2845" s="279"/>
      <c r="D2845" s="159"/>
      <c r="E2845" s="45"/>
      <c r="F2845" s="148"/>
      <c r="G2845" s="1"/>
      <c r="H2845" s="163"/>
      <c r="I2845" s="37"/>
      <c r="J2845" s="138"/>
      <c r="K2845" s="114"/>
      <c r="L2845" s="37"/>
      <c r="M2845" s="37"/>
      <c r="N2845" s="37"/>
      <c r="O2845" s="132"/>
      <c r="P2845" s="134"/>
      <c r="Q2845" s="261"/>
      <c r="R2845" s="94"/>
    </row>
    <row r="2846" spans="3:18" x14ac:dyDescent="0.25">
      <c r="C2846" s="279"/>
      <c r="D2846" s="159"/>
      <c r="E2846" s="45"/>
      <c r="F2846" s="148"/>
      <c r="G2846" s="1"/>
      <c r="H2846" s="163"/>
      <c r="I2846" s="37"/>
      <c r="J2846" s="138"/>
      <c r="K2846" s="114"/>
      <c r="L2846" s="37"/>
      <c r="M2846" s="37"/>
      <c r="N2846" s="37"/>
      <c r="O2846" s="132"/>
      <c r="P2846" s="134"/>
      <c r="Q2846" s="261"/>
      <c r="R2846" s="94"/>
    </row>
    <row r="2847" spans="3:18" x14ac:dyDescent="0.25">
      <c r="C2847" s="279"/>
      <c r="D2847" s="159"/>
      <c r="E2847" s="45"/>
      <c r="F2847" s="148"/>
      <c r="G2847" s="1"/>
      <c r="H2847" s="163"/>
      <c r="I2847" s="37"/>
      <c r="J2847" s="138"/>
      <c r="K2847" s="114"/>
      <c r="L2847" s="37"/>
      <c r="M2847" s="37"/>
      <c r="N2847" s="37"/>
      <c r="O2847" s="132"/>
      <c r="P2847" s="134"/>
      <c r="Q2847" s="261"/>
      <c r="R2847" s="94"/>
    </row>
    <row r="2848" spans="3:18" x14ac:dyDescent="0.25">
      <c r="C2848" s="279"/>
      <c r="D2848" s="159"/>
      <c r="E2848" s="45"/>
      <c r="F2848" s="148"/>
      <c r="G2848" s="1"/>
      <c r="H2848" s="163"/>
      <c r="I2848" s="37"/>
      <c r="J2848" s="138"/>
      <c r="K2848" s="114"/>
      <c r="L2848" s="37"/>
      <c r="M2848" s="37"/>
      <c r="N2848" s="37"/>
      <c r="O2848" s="132"/>
      <c r="P2848" s="134"/>
      <c r="Q2848" s="261"/>
      <c r="R2848" s="94"/>
    </row>
    <row r="2849" spans="3:18" x14ac:dyDescent="0.25">
      <c r="C2849" s="279"/>
      <c r="D2849" s="159"/>
      <c r="E2849" s="45"/>
      <c r="F2849" s="148"/>
      <c r="G2849" s="1"/>
      <c r="H2849" s="163"/>
      <c r="I2849" s="37"/>
      <c r="J2849" s="138"/>
      <c r="K2849" s="114"/>
      <c r="L2849" s="37"/>
      <c r="M2849" s="37"/>
      <c r="N2849" s="37"/>
      <c r="O2849" s="132"/>
      <c r="P2849" s="134"/>
      <c r="Q2849" s="261"/>
      <c r="R2849" s="94"/>
    </row>
    <row r="2850" spans="3:18" x14ac:dyDescent="0.25">
      <c r="C2850" s="279"/>
      <c r="D2850" s="159"/>
      <c r="E2850" s="45"/>
      <c r="F2850" s="148"/>
      <c r="G2850" s="1"/>
      <c r="H2850" s="163"/>
      <c r="I2850" s="37"/>
      <c r="J2850" s="138"/>
      <c r="K2850" s="114"/>
      <c r="L2850" s="37"/>
      <c r="M2850" s="37"/>
      <c r="N2850" s="37"/>
      <c r="O2850" s="132"/>
      <c r="P2850" s="134"/>
      <c r="Q2850" s="261"/>
      <c r="R2850" s="94"/>
    </row>
    <row r="2851" spans="3:18" x14ac:dyDescent="0.25">
      <c r="C2851" s="279"/>
      <c r="D2851" s="159"/>
      <c r="E2851" s="45"/>
      <c r="F2851" s="148"/>
      <c r="G2851" s="1"/>
      <c r="H2851" s="163"/>
      <c r="I2851" s="37"/>
      <c r="J2851" s="138"/>
      <c r="K2851" s="114"/>
      <c r="L2851" s="37"/>
      <c r="M2851" s="37"/>
      <c r="N2851" s="37"/>
      <c r="O2851" s="132"/>
      <c r="P2851" s="134"/>
      <c r="Q2851" s="261"/>
      <c r="R2851" s="94"/>
    </row>
    <row r="2852" spans="3:18" x14ac:dyDescent="0.25">
      <c r="C2852" s="279"/>
      <c r="D2852" s="159"/>
      <c r="E2852" s="45"/>
      <c r="F2852" s="148"/>
      <c r="G2852" s="1"/>
      <c r="H2852" s="163"/>
      <c r="I2852" s="37"/>
      <c r="J2852" s="138"/>
      <c r="K2852" s="114"/>
      <c r="L2852" s="37"/>
      <c r="M2852" s="37"/>
      <c r="N2852" s="37"/>
      <c r="O2852" s="132"/>
      <c r="P2852" s="134"/>
      <c r="Q2852" s="261"/>
      <c r="R2852" s="94"/>
    </row>
    <row r="2853" spans="3:18" x14ac:dyDescent="0.25">
      <c r="C2853" s="279"/>
      <c r="D2853" s="159"/>
      <c r="E2853" s="45"/>
      <c r="F2853" s="148"/>
      <c r="G2853" s="1"/>
      <c r="H2853" s="163"/>
      <c r="I2853" s="37"/>
      <c r="J2853" s="138"/>
      <c r="K2853" s="114"/>
      <c r="L2853" s="37"/>
      <c r="M2853" s="37"/>
      <c r="N2853" s="37"/>
      <c r="O2853" s="132"/>
      <c r="P2853" s="134"/>
      <c r="Q2853" s="261"/>
      <c r="R2853" s="94"/>
    </row>
    <row r="2854" spans="3:18" x14ac:dyDescent="0.25">
      <c r="C2854" s="279"/>
      <c r="D2854" s="159"/>
      <c r="E2854" s="45"/>
      <c r="F2854" s="148"/>
      <c r="G2854" s="1"/>
      <c r="H2854" s="163"/>
      <c r="I2854" s="37"/>
      <c r="J2854" s="138"/>
      <c r="K2854" s="114"/>
      <c r="L2854" s="37"/>
      <c r="M2854" s="37"/>
      <c r="N2854" s="37"/>
      <c r="O2854" s="132"/>
      <c r="P2854" s="134"/>
      <c r="Q2854" s="261"/>
      <c r="R2854" s="94"/>
    </row>
    <row r="2855" spans="3:18" x14ac:dyDescent="0.25">
      <c r="C2855" s="279"/>
      <c r="D2855" s="159"/>
      <c r="E2855" s="45"/>
      <c r="F2855" s="148"/>
      <c r="G2855" s="1"/>
      <c r="H2855" s="163"/>
      <c r="I2855" s="37"/>
      <c r="J2855" s="138"/>
      <c r="K2855" s="114"/>
      <c r="L2855" s="37"/>
      <c r="M2855" s="37"/>
      <c r="N2855" s="37"/>
      <c r="O2855" s="132"/>
      <c r="P2855" s="134"/>
      <c r="Q2855" s="261"/>
      <c r="R2855" s="94"/>
    </row>
    <row r="2856" spans="3:18" x14ac:dyDescent="0.25">
      <c r="C2856" s="279"/>
      <c r="D2856" s="159"/>
      <c r="E2856" s="45"/>
      <c r="F2856" s="148"/>
      <c r="G2856" s="1"/>
      <c r="H2856" s="163"/>
      <c r="I2856" s="37"/>
      <c r="J2856" s="138"/>
      <c r="K2856" s="114"/>
      <c r="L2856" s="37"/>
      <c r="M2856" s="37"/>
      <c r="N2856" s="37"/>
      <c r="O2856" s="132"/>
      <c r="P2856" s="134"/>
      <c r="Q2856" s="261"/>
      <c r="R2856" s="94"/>
    </row>
    <row r="2857" spans="3:18" x14ac:dyDescent="0.25">
      <c r="C2857" s="279"/>
      <c r="D2857" s="159"/>
      <c r="E2857" s="45"/>
      <c r="F2857" s="148"/>
      <c r="G2857" s="1"/>
      <c r="H2857" s="163"/>
      <c r="I2857" s="37"/>
      <c r="J2857" s="138"/>
      <c r="K2857" s="114"/>
      <c r="L2857" s="37"/>
      <c r="M2857" s="37"/>
      <c r="N2857" s="37"/>
      <c r="O2857" s="132"/>
      <c r="P2857" s="134"/>
      <c r="Q2857" s="261"/>
      <c r="R2857" s="94"/>
    </row>
    <row r="2858" spans="3:18" x14ac:dyDescent="0.25">
      <c r="C2858" s="279"/>
      <c r="D2858" s="159"/>
      <c r="E2858" s="45"/>
      <c r="F2858" s="148"/>
      <c r="G2858" s="1"/>
      <c r="H2858" s="163"/>
      <c r="I2858" s="37"/>
      <c r="J2858" s="138"/>
      <c r="K2858" s="114"/>
      <c r="L2858" s="37"/>
      <c r="M2858" s="37"/>
      <c r="N2858" s="37"/>
      <c r="O2858" s="132"/>
      <c r="P2858" s="134"/>
      <c r="Q2858" s="261"/>
      <c r="R2858" s="94"/>
    </row>
    <row r="2859" spans="3:18" x14ac:dyDescent="0.25">
      <c r="C2859" s="279"/>
      <c r="D2859" s="159"/>
      <c r="E2859" s="45"/>
      <c r="F2859" s="148"/>
      <c r="G2859" s="1"/>
      <c r="H2859" s="163"/>
      <c r="I2859" s="37"/>
      <c r="J2859" s="138"/>
      <c r="K2859" s="114"/>
      <c r="L2859" s="37"/>
      <c r="M2859" s="37"/>
      <c r="N2859" s="37"/>
      <c r="O2859" s="132"/>
      <c r="P2859" s="134"/>
      <c r="Q2859" s="261"/>
      <c r="R2859" s="94"/>
    </row>
    <row r="2860" spans="3:18" x14ac:dyDescent="0.25">
      <c r="C2860" s="279"/>
      <c r="D2860" s="159"/>
      <c r="E2860" s="45"/>
      <c r="F2860" s="148"/>
      <c r="G2860" s="1"/>
      <c r="H2860" s="163"/>
      <c r="I2860" s="37"/>
      <c r="J2860" s="138"/>
      <c r="K2860" s="114"/>
      <c r="L2860" s="37"/>
      <c r="M2860" s="37"/>
      <c r="N2860" s="37"/>
      <c r="O2860" s="132"/>
      <c r="P2860" s="134"/>
      <c r="Q2860" s="261"/>
      <c r="R2860" s="94"/>
    </row>
    <row r="2861" spans="3:18" x14ac:dyDescent="0.25">
      <c r="C2861" s="279"/>
      <c r="D2861" s="159"/>
      <c r="E2861" s="45"/>
      <c r="F2861" s="148"/>
      <c r="G2861" s="1"/>
      <c r="H2861" s="163"/>
      <c r="I2861" s="37"/>
      <c r="J2861" s="138"/>
      <c r="K2861" s="114"/>
      <c r="L2861" s="37"/>
      <c r="M2861" s="37"/>
      <c r="N2861" s="37"/>
      <c r="O2861" s="132"/>
      <c r="P2861" s="134"/>
      <c r="Q2861" s="261"/>
      <c r="R2861" s="94"/>
    </row>
    <row r="2862" spans="3:18" x14ac:dyDescent="0.25">
      <c r="C2862" s="279"/>
      <c r="D2862" s="159"/>
      <c r="E2862" s="45"/>
      <c r="F2862" s="148"/>
      <c r="G2862" s="1"/>
      <c r="H2862" s="163"/>
      <c r="I2862" s="37"/>
      <c r="J2862" s="138"/>
      <c r="K2862" s="114"/>
      <c r="L2862" s="37"/>
      <c r="M2862" s="37"/>
      <c r="N2862" s="37"/>
      <c r="O2862" s="132"/>
      <c r="P2862" s="134"/>
      <c r="Q2862" s="261"/>
      <c r="R2862" s="94"/>
    </row>
    <row r="2863" spans="3:18" x14ac:dyDescent="0.25">
      <c r="C2863" s="279"/>
      <c r="D2863" s="159"/>
      <c r="E2863" s="45"/>
      <c r="F2863" s="148"/>
      <c r="G2863" s="1"/>
      <c r="H2863" s="163"/>
      <c r="I2863" s="37"/>
      <c r="J2863" s="138"/>
      <c r="K2863" s="114"/>
      <c r="L2863" s="37"/>
      <c r="M2863" s="37"/>
      <c r="N2863" s="37"/>
      <c r="O2863" s="132"/>
      <c r="P2863" s="134"/>
      <c r="Q2863" s="261"/>
      <c r="R2863" s="94"/>
    </row>
    <row r="2864" spans="3:18" x14ac:dyDescent="0.25">
      <c r="C2864" s="279"/>
      <c r="D2864" s="159"/>
      <c r="E2864" s="45"/>
      <c r="F2864" s="148"/>
      <c r="G2864" s="1"/>
      <c r="H2864" s="163"/>
      <c r="I2864" s="37"/>
      <c r="J2864" s="138"/>
      <c r="K2864" s="114"/>
      <c r="L2864" s="37"/>
      <c r="M2864" s="37"/>
      <c r="N2864" s="37"/>
      <c r="O2864" s="132"/>
      <c r="P2864" s="134"/>
      <c r="Q2864" s="261"/>
      <c r="R2864" s="94"/>
    </row>
    <row r="2865" spans="3:18" x14ac:dyDescent="0.25">
      <c r="C2865" s="279"/>
      <c r="D2865" s="159"/>
      <c r="E2865" s="45"/>
      <c r="F2865" s="148"/>
      <c r="G2865" s="1"/>
      <c r="H2865" s="163"/>
      <c r="I2865" s="37"/>
      <c r="J2865" s="138"/>
      <c r="K2865" s="114"/>
      <c r="L2865" s="37"/>
      <c r="M2865" s="37"/>
      <c r="N2865" s="37"/>
      <c r="O2865" s="132"/>
      <c r="P2865" s="134"/>
      <c r="Q2865" s="261"/>
      <c r="R2865" s="94"/>
    </row>
    <row r="2866" spans="3:18" x14ac:dyDescent="0.25">
      <c r="C2866" s="279"/>
      <c r="D2866" s="159"/>
      <c r="E2866" s="45"/>
      <c r="F2866" s="148"/>
      <c r="G2866" s="1"/>
      <c r="H2866" s="163"/>
      <c r="I2866" s="37"/>
      <c r="J2866" s="138"/>
      <c r="K2866" s="114"/>
      <c r="L2866" s="37"/>
      <c r="M2866" s="37"/>
      <c r="N2866" s="37"/>
      <c r="O2866" s="132"/>
      <c r="P2866" s="134"/>
      <c r="Q2866" s="261"/>
      <c r="R2866" s="94"/>
    </row>
    <row r="2867" spans="3:18" x14ac:dyDescent="0.25">
      <c r="C2867" s="279"/>
      <c r="D2867" s="159"/>
      <c r="E2867" s="45"/>
      <c r="F2867" s="148"/>
      <c r="G2867" s="1"/>
      <c r="H2867" s="163"/>
      <c r="I2867" s="37"/>
      <c r="J2867" s="138"/>
      <c r="K2867" s="114"/>
      <c r="L2867" s="37"/>
      <c r="M2867" s="37"/>
      <c r="N2867" s="37"/>
      <c r="O2867" s="132"/>
      <c r="P2867" s="134"/>
      <c r="Q2867" s="261"/>
      <c r="R2867" s="94"/>
    </row>
    <row r="2868" spans="3:18" x14ac:dyDescent="0.25">
      <c r="C2868" s="279"/>
      <c r="D2868" s="159"/>
      <c r="E2868" s="45"/>
      <c r="F2868" s="148"/>
      <c r="G2868" s="1"/>
      <c r="H2868" s="163"/>
      <c r="I2868" s="37"/>
      <c r="J2868" s="138"/>
      <c r="K2868" s="114"/>
      <c r="L2868" s="37"/>
      <c r="M2868" s="37"/>
      <c r="N2868" s="37"/>
      <c r="O2868" s="132"/>
      <c r="P2868" s="134"/>
      <c r="Q2868" s="261"/>
      <c r="R2868" s="94"/>
    </row>
    <row r="2869" spans="3:18" x14ac:dyDescent="0.25">
      <c r="C2869" s="279"/>
      <c r="D2869" s="159"/>
      <c r="E2869" s="45"/>
      <c r="F2869" s="148"/>
      <c r="G2869" s="1"/>
      <c r="H2869" s="163"/>
      <c r="I2869" s="37"/>
      <c r="J2869" s="138"/>
      <c r="K2869" s="114"/>
      <c r="L2869" s="37"/>
      <c r="M2869" s="37"/>
      <c r="N2869" s="37"/>
      <c r="O2869" s="132"/>
      <c r="P2869" s="134"/>
      <c r="Q2869" s="261"/>
      <c r="R2869" s="94"/>
    </row>
    <row r="2870" spans="3:18" x14ac:dyDescent="0.25">
      <c r="C2870" s="279"/>
      <c r="D2870" s="159"/>
      <c r="E2870" s="45"/>
      <c r="F2870" s="148"/>
      <c r="G2870" s="1"/>
      <c r="H2870" s="163"/>
      <c r="I2870" s="37"/>
      <c r="J2870" s="138"/>
      <c r="K2870" s="114"/>
      <c r="L2870" s="37"/>
      <c r="M2870" s="37"/>
      <c r="N2870" s="37"/>
      <c r="O2870" s="132"/>
      <c r="P2870" s="134"/>
      <c r="Q2870" s="261"/>
      <c r="R2870" s="94"/>
    </row>
    <row r="2871" spans="3:18" x14ac:dyDescent="0.25">
      <c r="C2871" s="279"/>
      <c r="D2871" s="159"/>
      <c r="E2871" s="45"/>
      <c r="F2871" s="148"/>
      <c r="G2871" s="1"/>
      <c r="H2871" s="163"/>
      <c r="I2871" s="37"/>
      <c r="J2871" s="138"/>
      <c r="K2871" s="114"/>
      <c r="L2871" s="37"/>
      <c r="M2871" s="37"/>
      <c r="N2871" s="37"/>
      <c r="O2871" s="132"/>
      <c r="P2871" s="134"/>
      <c r="Q2871" s="261"/>
      <c r="R2871" s="94"/>
    </row>
    <row r="2872" spans="3:18" x14ac:dyDescent="0.25">
      <c r="C2872" s="279"/>
      <c r="D2872" s="159"/>
      <c r="E2872" s="45"/>
      <c r="F2872" s="148"/>
      <c r="G2872" s="1"/>
      <c r="H2872" s="163"/>
      <c r="I2872" s="37"/>
      <c r="J2872" s="138"/>
      <c r="K2872" s="114"/>
      <c r="L2872" s="37"/>
      <c r="M2872" s="37"/>
      <c r="N2872" s="37"/>
      <c r="O2872" s="132"/>
      <c r="P2872" s="134"/>
      <c r="Q2872" s="261"/>
      <c r="R2872" s="94"/>
    </row>
    <row r="2873" spans="3:18" x14ac:dyDescent="0.25">
      <c r="C2873" s="279"/>
      <c r="D2873" s="159"/>
      <c r="E2873" s="45"/>
      <c r="F2873" s="148"/>
      <c r="G2873" s="1"/>
      <c r="H2873" s="163"/>
      <c r="I2873" s="37"/>
      <c r="J2873" s="138"/>
      <c r="K2873" s="114"/>
      <c r="L2873" s="37"/>
      <c r="M2873" s="37"/>
      <c r="N2873" s="37"/>
      <c r="O2873" s="132"/>
      <c r="P2873" s="134"/>
      <c r="Q2873" s="261"/>
      <c r="R2873" s="94"/>
    </row>
    <row r="2874" spans="3:18" x14ac:dyDescent="0.25">
      <c r="C2874" s="279"/>
      <c r="D2874" s="159"/>
      <c r="E2874" s="45"/>
      <c r="F2874" s="148"/>
      <c r="G2874" s="1"/>
      <c r="H2874" s="163"/>
      <c r="I2874" s="37"/>
      <c r="J2874" s="138"/>
      <c r="K2874" s="114"/>
      <c r="L2874" s="37"/>
      <c r="M2874" s="37"/>
      <c r="N2874" s="37"/>
      <c r="O2874" s="132"/>
      <c r="P2874" s="134"/>
      <c r="Q2874" s="261"/>
      <c r="R2874" s="94"/>
    </row>
    <row r="2875" spans="3:18" x14ac:dyDescent="0.25">
      <c r="C2875" s="279"/>
      <c r="D2875" s="159"/>
      <c r="E2875" s="45"/>
      <c r="F2875" s="148"/>
      <c r="G2875" s="1"/>
      <c r="H2875" s="163"/>
      <c r="I2875" s="37"/>
      <c r="J2875" s="138"/>
      <c r="K2875" s="114"/>
      <c r="L2875" s="37"/>
      <c r="M2875" s="37"/>
      <c r="N2875" s="37"/>
      <c r="O2875" s="132"/>
      <c r="P2875" s="134"/>
      <c r="Q2875" s="261"/>
      <c r="R2875" s="94"/>
    </row>
    <row r="2876" spans="3:18" x14ac:dyDescent="0.25">
      <c r="C2876" s="279"/>
      <c r="D2876" s="159"/>
      <c r="E2876" s="45"/>
      <c r="F2876" s="148"/>
      <c r="G2876" s="1"/>
      <c r="H2876" s="163"/>
      <c r="I2876" s="37"/>
      <c r="J2876" s="138"/>
      <c r="K2876" s="114"/>
      <c r="L2876" s="37"/>
      <c r="M2876" s="37"/>
      <c r="N2876" s="37"/>
      <c r="O2876" s="132"/>
      <c r="P2876" s="134"/>
      <c r="Q2876" s="261"/>
      <c r="R2876" s="94"/>
    </row>
    <row r="2877" spans="3:18" x14ac:dyDescent="0.25">
      <c r="C2877" s="279"/>
      <c r="D2877" s="159"/>
      <c r="E2877" s="45"/>
      <c r="F2877" s="148"/>
      <c r="G2877" s="1"/>
      <c r="H2877" s="163"/>
      <c r="I2877" s="37"/>
      <c r="J2877" s="138"/>
      <c r="K2877" s="114"/>
      <c r="L2877" s="37"/>
      <c r="M2877" s="37"/>
      <c r="N2877" s="37"/>
      <c r="O2877" s="132"/>
      <c r="P2877" s="134"/>
      <c r="Q2877" s="261"/>
      <c r="R2877" s="94"/>
    </row>
    <row r="2878" spans="3:18" x14ac:dyDescent="0.25">
      <c r="C2878" s="279"/>
      <c r="D2878" s="159"/>
      <c r="E2878" s="45"/>
      <c r="F2878" s="148"/>
      <c r="G2878" s="1"/>
      <c r="H2878" s="163"/>
      <c r="I2878" s="37"/>
      <c r="J2878" s="138"/>
      <c r="K2878" s="114"/>
      <c r="L2878" s="37"/>
      <c r="M2878" s="37"/>
      <c r="N2878" s="37"/>
      <c r="O2878" s="132"/>
      <c r="P2878" s="134"/>
      <c r="Q2878" s="261"/>
      <c r="R2878" s="94"/>
    </row>
    <row r="2879" spans="3:18" x14ac:dyDescent="0.25">
      <c r="C2879" s="279"/>
      <c r="D2879" s="159"/>
      <c r="E2879" s="45"/>
      <c r="F2879" s="148"/>
      <c r="G2879" s="1"/>
      <c r="H2879" s="163"/>
      <c r="I2879" s="37"/>
      <c r="J2879" s="138"/>
      <c r="K2879" s="114"/>
      <c r="L2879" s="37"/>
      <c r="M2879" s="37"/>
      <c r="N2879" s="37"/>
      <c r="O2879" s="132"/>
      <c r="P2879" s="134"/>
      <c r="Q2879" s="261"/>
      <c r="R2879" s="94"/>
    </row>
    <row r="2880" spans="3:18" x14ac:dyDescent="0.25">
      <c r="C2880" s="279"/>
      <c r="D2880" s="159"/>
      <c r="E2880" s="45"/>
      <c r="F2880" s="148"/>
      <c r="G2880" s="1"/>
      <c r="H2880" s="163"/>
      <c r="I2880" s="37"/>
      <c r="J2880" s="138"/>
      <c r="K2880" s="114"/>
      <c r="L2880" s="37"/>
      <c r="M2880" s="37"/>
      <c r="N2880" s="37"/>
      <c r="O2880" s="132"/>
      <c r="P2880" s="134"/>
      <c r="Q2880" s="261"/>
      <c r="R2880" s="94"/>
    </row>
    <row r="2881" spans="3:18" x14ac:dyDescent="0.25">
      <c r="C2881" s="279"/>
      <c r="D2881" s="159"/>
      <c r="E2881" s="45"/>
      <c r="F2881" s="148"/>
      <c r="G2881" s="1"/>
      <c r="H2881" s="163"/>
      <c r="I2881" s="37"/>
      <c r="J2881" s="138"/>
      <c r="K2881" s="114"/>
      <c r="L2881" s="37"/>
      <c r="M2881" s="37"/>
      <c r="N2881" s="37"/>
      <c r="O2881" s="132"/>
      <c r="P2881" s="134"/>
      <c r="Q2881" s="261"/>
      <c r="R2881" s="94"/>
    </row>
    <row r="2882" spans="3:18" x14ac:dyDescent="0.25">
      <c r="C2882" s="279"/>
      <c r="D2882" s="159"/>
      <c r="E2882" s="45"/>
      <c r="F2882" s="148"/>
      <c r="G2882" s="1"/>
      <c r="H2882" s="163"/>
      <c r="I2882" s="37"/>
      <c r="J2882" s="138"/>
      <c r="K2882" s="114"/>
      <c r="L2882" s="37"/>
      <c r="M2882" s="37"/>
      <c r="N2882" s="37"/>
      <c r="O2882" s="132"/>
      <c r="P2882" s="134"/>
      <c r="Q2882" s="261"/>
      <c r="R2882" s="94"/>
    </row>
    <row r="2883" spans="3:18" x14ac:dyDescent="0.25">
      <c r="C2883" s="279"/>
      <c r="D2883" s="159"/>
      <c r="E2883" s="45"/>
      <c r="F2883" s="148"/>
      <c r="G2883" s="1"/>
      <c r="H2883" s="163"/>
      <c r="I2883" s="37"/>
      <c r="J2883" s="138"/>
      <c r="K2883" s="114"/>
      <c r="L2883" s="37"/>
      <c r="M2883" s="37"/>
      <c r="N2883" s="37"/>
      <c r="O2883" s="132"/>
      <c r="P2883" s="134"/>
      <c r="Q2883" s="261"/>
      <c r="R2883" s="94"/>
    </row>
    <row r="2884" spans="3:18" x14ac:dyDescent="0.25">
      <c r="C2884" s="279"/>
      <c r="D2884" s="159"/>
      <c r="E2884" s="45"/>
      <c r="F2884" s="148"/>
      <c r="G2884" s="1"/>
      <c r="H2884" s="163"/>
      <c r="I2884" s="37"/>
      <c r="J2884" s="138"/>
      <c r="K2884" s="114"/>
      <c r="L2884" s="37"/>
      <c r="M2884" s="37"/>
      <c r="N2884" s="37"/>
      <c r="O2884" s="132"/>
      <c r="P2884" s="134"/>
      <c r="Q2884" s="261"/>
      <c r="R2884" s="94"/>
    </row>
    <row r="2885" spans="3:18" x14ac:dyDescent="0.25">
      <c r="C2885" s="279"/>
      <c r="D2885" s="159"/>
      <c r="E2885" s="45"/>
      <c r="F2885" s="148"/>
      <c r="G2885" s="1"/>
      <c r="H2885" s="163"/>
      <c r="I2885" s="37"/>
      <c r="J2885" s="138"/>
      <c r="K2885" s="114"/>
      <c r="L2885" s="37"/>
      <c r="M2885" s="37"/>
      <c r="N2885" s="37"/>
      <c r="O2885" s="132"/>
      <c r="P2885" s="134"/>
      <c r="Q2885" s="261"/>
      <c r="R2885" s="94"/>
    </row>
    <row r="2886" spans="3:18" x14ac:dyDescent="0.25">
      <c r="C2886" s="279"/>
      <c r="D2886" s="159"/>
      <c r="E2886" s="45"/>
      <c r="F2886" s="148"/>
      <c r="G2886" s="1"/>
      <c r="H2886" s="163"/>
      <c r="I2886" s="37"/>
      <c r="J2886" s="138"/>
      <c r="K2886" s="114"/>
      <c r="L2886" s="37"/>
      <c r="M2886" s="37"/>
      <c r="N2886" s="37"/>
      <c r="O2886" s="132"/>
      <c r="P2886" s="134"/>
      <c r="Q2886" s="261"/>
      <c r="R2886" s="94"/>
    </row>
    <row r="2887" spans="3:18" x14ac:dyDescent="0.25">
      <c r="C2887" s="279"/>
      <c r="D2887" s="159"/>
      <c r="E2887" s="45"/>
      <c r="F2887" s="148"/>
      <c r="G2887" s="1"/>
      <c r="H2887" s="163"/>
      <c r="I2887" s="37"/>
      <c r="J2887" s="138"/>
      <c r="K2887" s="114"/>
      <c r="L2887" s="37"/>
      <c r="M2887" s="37"/>
      <c r="N2887" s="37"/>
      <c r="O2887" s="132"/>
      <c r="P2887" s="134"/>
      <c r="Q2887" s="261"/>
      <c r="R2887" s="94"/>
    </row>
    <row r="2888" spans="3:18" x14ac:dyDescent="0.25">
      <c r="C2888" s="279"/>
      <c r="D2888" s="159"/>
      <c r="E2888" s="45"/>
      <c r="F2888" s="148"/>
      <c r="G2888" s="1"/>
      <c r="H2888" s="163"/>
      <c r="I2888" s="37"/>
      <c r="J2888" s="138"/>
      <c r="K2888" s="114"/>
      <c r="L2888" s="37"/>
      <c r="M2888" s="37"/>
      <c r="N2888" s="37"/>
      <c r="O2888" s="132"/>
      <c r="P2888" s="134"/>
      <c r="Q2888" s="261"/>
      <c r="R2888" s="94"/>
    </row>
    <row r="2889" spans="3:18" x14ac:dyDescent="0.25">
      <c r="C2889" s="279"/>
      <c r="D2889" s="159"/>
      <c r="E2889" s="45"/>
      <c r="F2889" s="148"/>
      <c r="G2889" s="1"/>
      <c r="H2889" s="163"/>
      <c r="I2889" s="37"/>
      <c r="J2889" s="138"/>
      <c r="K2889" s="114"/>
      <c r="L2889" s="37"/>
      <c r="M2889" s="37"/>
      <c r="N2889" s="37"/>
      <c r="O2889" s="132"/>
      <c r="P2889" s="134"/>
      <c r="Q2889" s="261"/>
      <c r="R2889" s="94"/>
    </row>
    <row r="2890" spans="3:18" x14ac:dyDescent="0.25">
      <c r="C2890" s="279"/>
      <c r="D2890" s="159"/>
      <c r="E2890" s="45"/>
      <c r="F2890" s="148"/>
      <c r="G2890" s="1"/>
      <c r="H2890" s="163"/>
      <c r="I2890" s="37"/>
      <c r="J2890" s="138"/>
      <c r="K2890" s="114"/>
      <c r="L2890" s="37"/>
      <c r="M2890" s="37"/>
      <c r="N2890" s="37"/>
      <c r="O2890" s="132"/>
      <c r="P2890" s="134"/>
      <c r="Q2890" s="261"/>
      <c r="R2890" s="94"/>
    </row>
    <row r="2891" spans="3:18" x14ac:dyDescent="0.25">
      <c r="C2891" s="279"/>
      <c r="D2891" s="159"/>
      <c r="E2891" s="45"/>
      <c r="F2891" s="148"/>
      <c r="G2891" s="1"/>
      <c r="H2891" s="163"/>
      <c r="I2891" s="37"/>
      <c r="J2891" s="138"/>
      <c r="K2891" s="114"/>
      <c r="L2891" s="37"/>
      <c r="M2891" s="37"/>
      <c r="N2891" s="37"/>
      <c r="O2891" s="132"/>
      <c r="P2891" s="134"/>
      <c r="Q2891" s="261"/>
      <c r="R2891" s="94"/>
    </row>
    <row r="2892" spans="3:18" x14ac:dyDescent="0.25">
      <c r="C2892" s="279"/>
      <c r="D2892" s="159"/>
      <c r="E2892" s="45"/>
      <c r="F2892" s="148"/>
      <c r="G2892" s="1"/>
      <c r="H2892" s="163"/>
      <c r="I2892" s="37"/>
      <c r="J2892" s="138"/>
      <c r="K2892" s="114"/>
      <c r="L2892" s="37"/>
      <c r="M2892" s="37"/>
      <c r="N2892" s="37"/>
      <c r="O2892" s="132"/>
      <c r="P2892" s="134"/>
      <c r="Q2892" s="261"/>
      <c r="R2892" s="94"/>
    </row>
    <row r="2893" spans="3:18" x14ac:dyDescent="0.25">
      <c r="C2893" s="279"/>
      <c r="D2893" s="159"/>
      <c r="E2893" s="45"/>
      <c r="F2893" s="148"/>
      <c r="G2893" s="1"/>
      <c r="H2893" s="163"/>
      <c r="I2893" s="37"/>
      <c r="J2893" s="138"/>
      <c r="K2893" s="114"/>
      <c r="L2893" s="37"/>
      <c r="M2893" s="37"/>
      <c r="N2893" s="37"/>
      <c r="O2893" s="132"/>
      <c r="P2893" s="134"/>
      <c r="Q2893" s="261"/>
      <c r="R2893" s="94"/>
    </row>
    <row r="2894" spans="3:18" x14ac:dyDescent="0.25">
      <c r="C2894" s="279"/>
      <c r="D2894" s="159"/>
      <c r="E2894" s="45"/>
      <c r="F2894" s="148"/>
      <c r="G2894" s="1"/>
      <c r="H2894" s="163"/>
      <c r="I2894" s="37"/>
      <c r="J2894" s="138"/>
      <c r="K2894" s="114"/>
      <c r="L2894" s="37"/>
      <c r="M2894" s="37"/>
      <c r="N2894" s="37"/>
      <c r="O2894" s="132"/>
      <c r="P2894" s="134"/>
      <c r="Q2894" s="261"/>
      <c r="R2894" s="94"/>
    </row>
    <row r="2895" spans="3:18" x14ac:dyDescent="0.25">
      <c r="C2895" s="279"/>
      <c r="D2895" s="159"/>
      <c r="E2895" s="45"/>
      <c r="F2895" s="148"/>
      <c r="G2895" s="1"/>
      <c r="H2895" s="163"/>
      <c r="I2895" s="37"/>
      <c r="J2895" s="138"/>
      <c r="K2895" s="114"/>
      <c r="L2895" s="37"/>
      <c r="M2895" s="37"/>
      <c r="N2895" s="37"/>
      <c r="O2895" s="132"/>
      <c r="P2895" s="134"/>
      <c r="Q2895" s="261"/>
      <c r="R2895" s="94"/>
    </row>
    <row r="2896" spans="3:18" x14ac:dyDescent="0.25">
      <c r="C2896" s="279"/>
      <c r="D2896" s="159"/>
      <c r="E2896" s="45"/>
      <c r="F2896" s="148"/>
      <c r="G2896" s="1"/>
      <c r="H2896" s="163"/>
      <c r="I2896" s="37"/>
      <c r="J2896" s="138"/>
      <c r="K2896" s="114"/>
      <c r="L2896" s="37"/>
      <c r="M2896" s="37"/>
      <c r="N2896" s="37"/>
      <c r="O2896" s="132"/>
      <c r="P2896" s="134"/>
      <c r="Q2896" s="261"/>
      <c r="R2896" s="94"/>
    </row>
    <row r="2897" spans="3:18" x14ac:dyDescent="0.25">
      <c r="C2897" s="279"/>
      <c r="D2897" s="159"/>
      <c r="E2897" s="45"/>
      <c r="F2897" s="148"/>
      <c r="G2897" s="1"/>
      <c r="H2897" s="163"/>
      <c r="I2897" s="37"/>
      <c r="J2897" s="138"/>
      <c r="K2897" s="114"/>
      <c r="L2897" s="37"/>
      <c r="M2897" s="37"/>
      <c r="N2897" s="37"/>
      <c r="O2897" s="132"/>
      <c r="P2897" s="134"/>
      <c r="Q2897" s="261"/>
      <c r="R2897" s="94"/>
    </row>
    <row r="2898" spans="3:18" x14ac:dyDescent="0.25">
      <c r="C2898" s="279"/>
      <c r="D2898" s="159"/>
      <c r="E2898" s="45"/>
      <c r="F2898" s="148"/>
      <c r="G2898" s="1"/>
      <c r="H2898" s="163"/>
      <c r="I2898" s="37"/>
      <c r="J2898" s="138"/>
      <c r="K2898" s="114"/>
      <c r="L2898" s="37"/>
      <c r="M2898" s="37"/>
      <c r="N2898" s="37"/>
      <c r="O2898" s="132"/>
      <c r="P2898" s="134"/>
      <c r="Q2898" s="261"/>
      <c r="R2898" s="94"/>
    </row>
    <row r="2899" spans="3:18" x14ac:dyDescent="0.25">
      <c r="C2899" s="279"/>
      <c r="D2899" s="159"/>
      <c r="E2899" s="45"/>
      <c r="F2899" s="148"/>
      <c r="G2899" s="1"/>
      <c r="H2899" s="163"/>
      <c r="I2899" s="37"/>
      <c r="J2899" s="138"/>
      <c r="K2899" s="114"/>
      <c r="L2899" s="37"/>
      <c r="M2899" s="37"/>
      <c r="N2899" s="37"/>
      <c r="O2899" s="132"/>
      <c r="P2899" s="134"/>
      <c r="Q2899" s="261"/>
      <c r="R2899" s="94"/>
    </row>
    <row r="2900" spans="3:18" x14ac:dyDescent="0.25">
      <c r="C2900" s="279"/>
      <c r="D2900" s="159"/>
      <c r="E2900" s="45"/>
      <c r="F2900" s="148"/>
      <c r="G2900" s="1"/>
      <c r="H2900" s="163"/>
      <c r="I2900" s="37"/>
      <c r="J2900" s="138"/>
      <c r="K2900" s="114"/>
      <c r="L2900" s="37"/>
      <c r="M2900" s="37"/>
      <c r="N2900" s="37"/>
      <c r="O2900" s="132"/>
      <c r="P2900" s="134"/>
      <c r="Q2900" s="261"/>
      <c r="R2900" s="94"/>
    </row>
    <row r="2901" spans="3:18" x14ac:dyDescent="0.25">
      <c r="C2901" s="279"/>
      <c r="D2901" s="159"/>
      <c r="E2901" s="45"/>
      <c r="F2901" s="148"/>
      <c r="G2901" s="1"/>
      <c r="H2901" s="163"/>
      <c r="I2901" s="37"/>
      <c r="J2901" s="138"/>
      <c r="K2901" s="114"/>
      <c r="L2901" s="37"/>
      <c r="M2901" s="37"/>
      <c r="N2901" s="37"/>
      <c r="O2901" s="132"/>
      <c r="P2901" s="134"/>
      <c r="Q2901" s="261"/>
      <c r="R2901" s="94"/>
    </row>
    <row r="2902" spans="3:18" x14ac:dyDescent="0.25">
      <c r="C2902" s="279"/>
      <c r="D2902" s="159"/>
      <c r="E2902" s="45"/>
      <c r="F2902" s="148"/>
      <c r="G2902" s="1"/>
      <c r="H2902" s="163"/>
      <c r="I2902" s="37"/>
      <c r="J2902" s="138"/>
      <c r="K2902" s="114"/>
      <c r="L2902" s="37"/>
      <c r="M2902" s="37"/>
      <c r="N2902" s="37"/>
      <c r="O2902" s="132"/>
      <c r="P2902" s="134"/>
      <c r="Q2902" s="261"/>
      <c r="R2902" s="94"/>
    </row>
    <row r="2903" spans="3:18" x14ac:dyDescent="0.25">
      <c r="C2903" s="279"/>
      <c r="D2903" s="159"/>
      <c r="E2903" s="45"/>
      <c r="F2903" s="148"/>
      <c r="G2903" s="1"/>
      <c r="H2903" s="163"/>
      <c r="I2903" s="37"/>
      <c r="J2903" s="138"/>
      <c r="K2903" s="114"/>
      <c r="L2903" s="37"/>
      <c r="M2903" s="37"/>
      <c r="N2903" s="37"/>
      <c r="O2903" s="132"/>
      <c r="P2903" s="134"/>
      <c r="Q2903" s="261"/>
      <c r="R2903" s="94"/>
    </row>
    <row r="2904" spans="3:18" x14ac:dyDescent="0.25">
      <c r="C2904" s="279"/>
      <c r="D2904" s="159"/>
      <c r="E2904" s="45"/>
      <c r="F2904" s="148"/>
      <c r="G2904" s="1"/>
      <c r="H2904" s="163"/>
      <c r="I2904" s="37"/>
      <c r="J2904" s="138"/>
      <c r="K2904" s="114"/>
      <c r="L2904" s="37"/>
      <c r="M2904" s="37"/>
      <c r="N2904" s="37"/>
      <c r="O2904" s="132"/>
      <c r="P2904" s="134"/>
      <c r="Q2904" s="261"/>
      <c r="R2904" s="94"/>
    </row>
    <row r="2905" spans="3:18" x14ac:dyDescent="0.25">
      <c r="C2905" s="279"/>
      <c r="D2905" s="159"/>
      <c r="E2905" s="45"/>
      <c r="F2905" s="148"/>
      <c r="G2905" s="1"/>
      <c r="H2905" s="163"/>
      <c r="I2905" s="37"/>
      <c r="J2905" s="138"/>
      <c r="K2905" s="114"/>
      <c r="L2905" s="37"/>
      <c r="M2905" s="37"/>
      <c r="N2905" s="37"/>
      <c r="O2905" s="132"/>
      <c r="P2905" s="134"/>
      <c r="Q2905" s="261"/>
      <c r="R2905" s="94"/>
    </row>
    <row r="2906" spans="3:18" x14ac:dyDescent="0.25">
      <c r="C2906" s="279"/>
      <c r="D2906" s="159"/>
      <c r="E2906" s="45"/>
      <c r="F2906" s="148"/>
      <c r="G2906" s="1"/>
      <c r="H2906" s="163"/>
      <c r="I2906" s="37"/>
      <c r="J2906" s="138"/>
      <c r="K2906" s="114"/>
      <c r="L2906" s="37"/>
      <c r="M2906" s="37"/>
      <c r="N2906" s="37"/>
      <c r="O2906" s="132"/>
      <c r="P2906" s="134"/>
      <c r="Q2906" s="261"/>
      <c r="R2906" s="94"/>
    </row>
    <row r="2907" spans="3:18" x14ac:dyDescent="0.25">
      <c r="C2907" s="279"/>
      <c r="D2907" s="159"/>
      <c r="E2907" s="45"/>
      <c r="F2907" s="148"/>
      <c r="G2907" s="1"/>
      <c r="H2907" s="163"/>
      <c r="I2907" s="37"/>
      <c r="J2907" s="138"/>
      <c r="K2907" s="114"/>
      <c r="L2907" s="37"/>
      <c r="M2907" s="37"/>
      <c r="N2907" s="37"/>
      <c r="O2907" s="132"/>
      <c r="P2907" s="134"/>
      <c r="Q2907" s="261"/>
      <c r="R2907" s="94"/>
    </row>
    <row r="2908" spans="3:18" x14ac:dyDescent="0.25">
      <c r="C2908" s="279"/>
      <c r="D2908" s="159"/>
      <c r="E2908" s="45"/>
      <c r="F2908" s="148"/>
      <c r="G2908" s="1"/>
      <c r="H2908" s="163"/>
      <c r="I2908" s="37"/>
      <c r="J2908" s="138"/>
      <c r="K2908" s="114"/>
      <c r="L2908" s="37"/>
      <c r="M2908" s="37"/>
      <c r="N2908" s="37"/>
      <c r="O2908" s="132"/>
      <c r="P2908" s="134"/>
      <c r="Q2908" s="261"/>
      <c r="R2908" s="94"/>
    </row>
    <row r="2909" spans="3:18" x14ac:dyDescent="0.25">
      <c r="C2909" s="279"/>
      <c r="D2909" s="159"/>
      <c r="E2909" s="45"/>
      <c r="F2909" s="148"/>
      <c r="G2909" s="1"/>
      <c r="H2909" s="163"/>
      <c r="I2909" s="37"/>
      <c r="J2909" s="138"/>
      <c r="K2909" s="114"/>
      <c r="L2909" s="37"/>
      <c r="M2909" s="37"/>
      <c r="N2909" s="37"/>
      <c r="O2909" s="132"/>
      <c r="P2909" s="134"/>
      <c r="Q2909" s="261"/>
      <c r="R2909" s="94"/>
    </row>
    <row r="2910" spans="3:18" x14ac:dyDescent="0.25">
      <c r="C2910" s="279"/>
      <c r="D2910" s="159"/>
      <c r="E2910" s="45"/>
      <c r="F2910" s="148"/>
      <c r="G2910" s="1"/>
      <c r="H2910" s="163"/>
      <c r="I2910" s="37"/>
      <c r="J2910" s="138"/>
      <c r="K2910" s="114"/>
      <c r="L2910" s="37"/>
      <c r="M2910" s="37"/>
      <c r="N2910" s="37"/>
      <c r="O2910" s="132"/>
      <c r="P2910" s="134"/>
      <c r="Q2910" s="261"/>
      <c r="R2910" s="94"/>
    </row>
    <row r="2911" spans="3:18" x14ac:dyDescent="0.25">
      <c r="C2911" s="279"/>
      <c r="D2911" s="159"/>
      <c r="E2911" s="45"/>
      <c r="F2911" s="148"/>
      <c r="G2911" s="1"/>
      <c r="H2911" s="163"/>
      <c r="I2911" s="37"/>
      <c r="J2911" s="138"/>
      <c r="K2911" s="114"/>
      <c r="L2911" s="37"/>
      <c r="M2911" s="37"/>
      <c r="N2911" s="37"/>
      <c r="O2911" s="132"/>
      <c r="P2911" s="134"/>
      <c r="Q2911" s="261"/>
      <c r="R2911" s="94"/>
    </row>
    <row r="2912" spans="3:18" x14ac:dyDescent="0.25">
      <c r="C2912" s="279"/>
      <c r="D2912" s="159"/>
      <c r="E2912" s="45"/>
      <c r="F2912" s="148"/>
      <c r="G2912" s="1"/>
      <c r="H2912" s="163"/>
      <c r="I2912" s="37"/>
      <c r="J2912" s="138"/>
      <c r="K2912" s="114"/>
      <c r="L2912" s="37"/>
      <c r="M2912" s="37"/>
      <c r="N2912" s="37"/>
      <c r="O2912" s="132"/>
      <c r="P2912" s="134"/>
      <c r="Q2912" s="261"/>
      <c r="R2912" s="94"/>
    </row>
    <row r="2913" spans="3:18" x14ac:dyDescent="0.25">
      <c r="C2913" s="279"/>
      <c r="D2913" s="159"/>
      <c r="E2913" s="45"/>
      <c r="F2913" s="148"/>
      <c r="G2913" s="1"/>
      <c r="H2913" s="163"/>
      <c r="I2913" s="37"/>
      <c r="J2913" s="138"/>
      <c r="K2913" s="114"/>
      <c r="L2913" s="37"/>
      <c r="M2913" s="37"/>
      <c r="N2913" s="37"/>
      <c r="O2913" s="132"/>
      <c r="P2913" s="134"/>
      <c r="Q2913" s="261"/>
      <c r="R2913" s="94"/>
    </row>
    <row r="2914" spans="3:18" x14ac:dyDescent="0.25">
      <c r="C2914" s="279"/>
      <c r="D2914" s="159"/>
      <c r="E2914" s="45"/>
      <c r="F2914" s="148"/>
      <c r="G2914" s="1"/>
      <c r="H2914" s="163"/>
      <c r="I2914" s="37"/>
      <c r="J2914" s="138"/>
      <c r="K2914" s="114"/>
      <c r="L2914" s="37"/>
      <c r="M2914" s="37"/>
      <c r="N2914" s="37"/>
      <c r="O2914" s="132"/>
      <c r="P2914" s="134"/>
      <c r="Q2914" s="261"/>
      <c r="R2914" s="94"/>
    </row>
    <row r="2915" spans="3:18" x14ac:dyDescent="0.25">
      <c r="C2915" s="279"/>
      <c r="D2915" s="159"/>
      <c r="E2915" s="45"/>
      <c r="F2915" s="148"/>
      <c r="G2915" s="1"/>
      <c r="H2915" s="163"/>
      <c r="I2915" s="37"/>
      <c r="J2915" s="138"/>
      <c r="K2915" s="114"/>
      <c r="L2915" s="37"/>
      <c r="M2915" s="37"/>
      <c r="N2915" s="37"/>
      <c r="O2915" s="132"/>
      <c r="P2915" s="134"/>
      <c r="Q2915" s="261"/>
      <c r="R2915" s="94"/>
    </row>
    <row r="2916" spans="3:18" x14ac:dyDescent="0.25">
      <c r="C2916" s="279"/>
      <c r="D2916" s="159"/>
      <c r="E2916" s="45"/>
      <c r="F2916" s="148"/>
      <c r="G2916" s="1"/>
      <c r="H2916" s="163"/>
      <c r="I2916" s="37"/>
      <c r="J2916" s="138"/>
      <c r="K2916" s="114"/>
      <c r="L2916" s="37"/>
      <c r="M2916" s="37"/>
      <c r="N2916" s="37"/>
      <c r="O2916" s="132"/>
      <c r="P2916" s="134"/>
      <c r="Q2916" s="261"/>
      <c r="R2916" s="94"/>
    </row>
    <row r="2917" spans="3:18" x14ac:dyDescent="0.25">
      <c r="C2917" s="279"/>
      <c r="D2917" s="159"/>
      <c r="E2917" s="45"/>
      <c r="F2917" s="148"/>
      <c r="G2917" s="1"/>
      <c r="H2917" s="163"/>
      <c r="I2917" s="37"/>
      <c r="J2917" s="138"/>
      <c r="K2917" s="114"/>
      <c r="L2917" s="37"/>
      <c r="M2917" s="37"/>
      <c r="N2917" s="37"/>
      <c r="O2917" s="132"/>
      <c r="P2917" s="134"/>
      <c r="Q2917" s="261"/>
      <c r="R2917" s="94"/>
    </row>
    <row r="2918" spans="3:18" x14ac:dyDescent="0.25">
      <c r="C2918" s="279"/>
      <c r="D2918" s="159"/>
      <c r="E2918" s="45"/>
      <c r="F2918" s="148"/>
      <c r="G2918" s="1"/>
      <c r="H2918" s="163"/>
      <c r="I2918" s="37"/>
      <c r="J2918" s="138"/>
      <c r="K2918" s="114"/>
      <c r="L2918" s="37"/>
      <c r="M2918" s="37"/>
      <c r="N2918" s="37"/>
      <c r="O2918" s="132"/>
      <c r="P2918" s="134"/>
      <c r="Q2918" s="261"/>
      <c r="R2918" s="94"/>
    </row>
    <row r="2919" spans="3:18" x14ac:dyDescent="0.25">
      <c r="C2919" s="279"/>
      <c r="D2919" s="159"/>
      <c r="E2919" s="45"/>
      <c r="F2919" s="148"/>
      <c r="G2919" s="1"/>
      <c r="H2919" s="163"/>
      <c r="I2919" s="37"/>
      <c r="J2919" s="138"/>
      <c r="K2919" s="114"/>
      <c r="L2919" s="37"/>
      <c r="M2919" s="37"/>
      <c r="N2919" s="37"/>
      <c r="O2919" s="132"/>
      <c r="P2919" s="134"/>
      <c r="Q2919" s="261"/>
      <c r="R2919" s="94"/>
    </row>
    <row r="2920" spans="3:18" x14ac:dyDescent="0.25">
      <c r="C2920" s="279"/>
      <c r="D2920" s="159"/>
      <c r="E2920" s="45"/>
      <c r="F2920" s="148"/>
      <c r="G2920" s="1"/>
      <c r="H2920" s="163"/>
      <c r="I2920" s="37"/>
      <c r="J2920" s="138"/>
      <c r="K2920" s="114"/>
      <c r="L2920" s="37"/>
      <c r="M2920" s="37"/>
      <c r="N2920" s="37"/>
      <c r="O2920" s="132"/>
      <c r="P2920" s="134"/>
      <c r="Q2920" s="261"/>
      <c r="R2920" s="94"/>
    </row>
    <row r="2921" spans="3:18" x14ac:dyDescent="0.25">
      <c r="C2921" s="279"/>
      <c r="D2921" s="159"/>
      <c r="E2921" s="45"/>
      <c r="F2921" s="148"/>
      <c r="G2921" s="1"/>
      <c r="H2921" s="163"/>
      <c r="I2921" s="37"/>
      <c r="J2921" s="138"/>
      <c r="K2921" s="114"/>
      <c r="L2921" s="37"/>
      <c r="M2921" s="37"/>
      <c r="N2921" s="37"/>
      <c r="O2921" s="132"/>
      <c r="P2921" s="134"/>
      <c r="Q2921" s="261"/>
      <c r="R2921" s="94"/>
    </row>
    <row r="2922" spans="3:18" x14ac:dyDescent="0.25">
      <c r="C2922" s="279"/>
      <c r="D2922" s="159"/>
      <c r="E2922" s="45"/>
      <c r="F2922" s="148"/>
      <c r="G2922" s="1"/>
      <c r="H2922" s="163"/>
      <c r="I2922" s="37"/>
      <c r="J2922" s="138"/>
      <c r="K2922" s="114"/>
      <c r="L2922" s="37"/>
      <c r="M2922" s="37"/>
      <c r="N2922" s="37"/>
      <c r="O2922" s="132"/>
      <c r="P2922" s="134"/>
      <c r="Q2922" s="261"/>
      <c r="R2922" s="94"/>
    </row>
    <row r="2923" spans="3:18" x14ac:dyDescent="0.25">
      <c r="C2923" s="279"/>
      <c r="D2923" s="159"/>
      <c r="E2923" s="45"/>
      <c r="F2923" s="148"/>
      <c r="G2923" s="1"/>
      <c r="H2923" s="163"/>
      <c r="I2923" s="37"/>
      <c r="J2923" s="138"/>
      <c r="K2923" s="114"/>
      <c r="L2923" s="37"/>
      <c r="M2923" s="37"/>
      <c r="N2923" s="37"/>
      <c r="O2923" s="132"/>
      <c r="P2923" s="134"/>
      <c r="Q2923" s="261"/>
      <c r="R2923" s="94"/>
    </row>
    <row r="2924" spans="3:18" x14ac:dyDescent="0.25">
      <c r="C2924" s="279"/>
      <c r="D2924" s="159"/>
      <c r="E2924" s="45"/>
      <c r="F2924" s="148"/>
      <c r="G2924" s="1"/>
      <c r="H2924" s="163"/>
      <c r="I2924" s="37"/>
      <c r="J2924" s="138"/>
      <c r="K2924" s="114"/>
      <c r="L2924" s="37"/>
      <c r="M2924" s="37"/>
      <c r="N2924" s="37"/>
      <c r="O2924" s="132"/>
      <c r="P2924" s="134"/>
      <c r="Q2924" s="261"/>
      <c r="R2924" s="94"/>
    </row>
    <row r="2925" spans="3:18" x14ac:dyDescent="0.25">
      <c r="C2925" s="279"/>
      <c r="D2925" s="159"/>
      <c r="E2925" s="45"/>
      <c r="F2925" s="148"/>
      <c r="G2925" s="1"/>
      <c r="H2925" s="163"/>
      <c r="I2925" s="37"/>
      <c r="J2925" s="138"/>
      <c r="K2925" s="114"/>
      <c r="L2925" s="37"/>
      <c r="M2925" s="37"/>
      <c r="N2925" s="37"/>
      <c r="O2925" s="132"/>
      <c r="P2925" s="134"/>
      <c r="Q2925" s="261"/>
      <c r="R2925" s="94"/>
    </row>
    <row r="2926" spans="3:18" x14ac:dyDescent="0.25">
      <c r="C2926" s="279"/>
      <c r="D2926" s="159"/>
      <c r="E2926" s="45"/>
      <c r="F2926" s="148"/>
      <c r="G2926" s="1"/>
      <c r="H2926" s="163"/>
      <c r="I2926" s="37"/>
      <c r="J2926" s="138"/>
      <c r="K2926" s="114"/>
      <c r="L2926" s="37"/>
      <c r="M2926" s="37"/>
      <c r="N2926" s="37"/>
      <c r="O2926" s="132"/>
      <c r="P2926" s="134"/>
      <c r="Q2926" s="261"/>
      <c r="R2926" s="94"/>
    </row>
    <row r="2927" spans="3:18" x14ac:dyDescent="0.25">
      <c r="C2927" s="279"/>
      <c r="D2927" s="159"/>
      <c r="E2927" s="45"/>
      <c r="F2927" s="148"/>
      <c r="G2927" s="1"/>
      <c r="H2927" s="163"/>
      <c r="I2927" s="37"/>
      <c r="J2927" s="138"/>
      <c r="K2927" s="114"/>
      <c r="L2927" s="37"/>
      <c r="M2927" s="37"/>
      <c r="N2927" s="37"/>
      <c r="O2927" s="132"/>
      <c r="P2927" s="134"/>
      <c r="Q2927" s="261"/>
      <c r="R2927" s="94"/>
    </row>
    <row r="2928" spans="3:18" x14ac:dyDescent="0.25">
      <c r="C2928" s="279"/>
      <c r="D2928" s="159"/>
      <c r="E2928" s="45"/>
      <c r="F2928" s="148"/>
      <c r="G2928" s="1"/>
      <c r="H2928" s="163"/>
      <c r="I2928" s="37"/>
      <c r="J2928" s="138"/>
      <c r="K2928" s="114"/>
      <c r="L2928" s="37"/>
      <c r="M2928" s="37"/>
      <c r="N2928" s="37"/>
      <c r="O2928" s="132"/>
      <c r="P2928" s="134"/>
      <c r="Q2928" s="261"/>
      <c r="R2928" s="94"/>
    </row>
    <row r="2929" spans="3:18" x14ac:dyDescent="0.25">
      <c r="C2929" s="279"/>
      <c r="D2929" s="159"/>
      <c r="E2929" s="45"/>
      <c r="F2929" s="148"/>
      <c r="G2929" s="1"/>
      <c r="H2929" s="163"/>
      <c r="I2929" s="37"/>
      <c r="J2929" s="138"/>
      <c r="K2929" s="114"/>
      <c r="L2929" s="37"/>
      <c r="M2929" s="37"/>
      <c r="N2929" s="37"/>
      <c r="O2929" s="132"/>
      <c r="P2929" s="134"/>
      <c r="Q2929" s="261"/>
      <c r="R2929" s="94"/>
    </row>
    <row r="2930" spans="3:18" x14ac:dyDescent="0.25">
      <c r="C2930" s="279"/>
      <c r="D2930" s="159"/>
      <c r="E2930" s="45"/>
      <c r="F2930" s="148"/>
      <c r="G2930" s="1"/>
      <c r="H2930" s="163"/>
      <c r="I2930" s="37"/>
      <c r="J2930" s="138"/>
      <c r="K2930" s="114"/>
      <c r="L2930" s="37"/>
      <c r="M2930" s="37"/>
      <c r="N2930" s="37"/>
      <c r="O2930" s="132"/>
      <c r="P2930" s="134"/>
      <c r="Q2930" s="261"/>
      <c r="R2930" s="94"/>
    </row>
    <row r="2931" spans="3:18" x14ac:dyDescent="0.25">
      <c r="C2931" s="279"/>
      <c r="D2931" s="159"/>
      <c r="E2931" s="45"/>
      <c r="F2931" s="148"/>
      <c r="G2931" s="1"/>
      <c r="H2931" s="163"/>
      <c r="I2931" s="37"/>
      <c r="J2931" s="138"/>
      <c r="K2931" s="114"/>
      <c r="L2931" s="37"/>
      <c r="M2931" s="37"/>
      <c r="N2931" s="37"/>
      <c r="O2931" s="132"/>
      <c r="P2931" s="134"/>
      <c r="Q2931" s="261"/>
      <c r="R2931" s="94"/>
    </row>
    <row r="2932" spans="3:18" x14ac:dyDescent="0.25">
      <c r="C2932" s="279"/>
      <c r="D2932" s="159"/>
      <c r="E2932" s="45"/>
      <c r="F2932" s="148"/>
      <c r="G2932" s="1"/>
      <c r="H2932" s="163"/>
      <c r="I2932" s="37"/>
      <c r="J2932" s="138"/>
      <c r="K2932" s="114"/>
      <c r="L2932" s="37"/>
      <c r="M2932" s="37"/>
      <c r="N2932" s="37"/>
      <c r="O2932" s="132"/>
      <c r="P2932" s="134"/>
      <c r="Q2932" s="261"/>
      <c r="R2932" s="94"/>
    </row>
    <row r="2933" spans="3:18" x14ac:dyDescent="0.25">
      <c r="C2933" s="279"/>
      <c r="D2933" s="159"/>
      <c r="E2933" s="45"/>
      <c r="F2933" s="148"/>
      <c r="G2933" s="1"/>
      <c r="H2933" s="163"/>
      <c r="I2933" s="37"/>
      <c r="J2933" s="138"/>
      <c r="K2933" s="114"/>
      <c r="L2933" s="37"/>
      <c r="M2933" s="37"/>
      <c r="N2933" s="37"/>
      <c r="O2933" s="132"/>
      <c r="P2933" s="134"/>
      <c r="Q2933" s="261"/>
      <c r="R2933" s="94"/>
    </row>
    <row r="2934" spans="3:18" x14ac:dyDescent="0.25">
      <c r="C2934" s="279"/>
      <c r="D2934" s="159"/>
      <c r="E2934" s="45"/>
      <c r="F2934" s="148"/>
      <c r="G2934" s="1"/>
      <c r="H2934" s="163"/>
      <c r="I2934" s="37"/>
      <c r="J2934" s="138"/>
      <c r="K2934" s="114"/>
      <c r="L2934" s="37"/>
      <c r="M2934" s="37"/>
      <c r="N2934" s="37"/>
      <c r="O2934" s="132"/>
      <c r="P2934" s="134"/>
      <c r="Q2934" s="261"/>
      <c r="R2934" s="94"/>
    </row>
    <row r="2935" spans="3:18" x14ac:dyDescent="0.25">
      <c r="C2935" s="279"/>
      <c r="D2935" s="159"/>
      <c r="E2935" s="45"/>
      <c r="F2935" s="148"/>
      <c r="G2935" s="1"/>
      <c r="H2935" s="163"/>
      <c r="I2935" s="37"/>
      <c r="J2935" s="138"/>
      <c r="K2935" s="114"/>
      <c r="L2935" s="37"/>
      <c r="M2935" s="37"/>
      <c r="N2935" s="37"/>
      <c r="O2935" s="132"/>
      <c r="P2935" s="134"/>
      <c r="Q2935" s="261"/>
      <c r="R2935" s="94"/>
    </row>
    <row r="2936" spans="3:18" x14ac:dyDescent="0.25">
      <c r="C2936" s="279"/>
      <c r="D2936" s="159"/>
      <c r="E2936" s="45"/>
      <c r="F2936" s="148"/>
      <c r="G2936" s="1"/>
      <c r="H2936" s="163"/>
      <c r="I2936" s="37"/>
      <c r="J2936" s="138"/>
      <c r="K2936" s="114"/>
      <c r="L2936" s="37"/>
      <c r="M2936" s="37"/>
      <c r="N2936" s="37"/>
      <c r="O2936" s="132"/>
      <c r="P2936" s="134"/>
      <c r="Q2936" s="261"/>
      <c r="R2936" s="94"/>
    </row>
    <row r="2937" spans="3:18" x14ac:dyDescent="0.25">
      <c r="C2937" s="279"/>
      <c r="D2937" s="159"/>
      <c r="E2937" s="45"/>
      <c r="F2937" s="148"/>
      <c r="G2937" s="1"/>
      <c r="H2937" s="163"/>
      <c r="I2937" s="37"/>
      <c r="J2937" s="138"/>
      <c r="K2937" s="114"/>
      <c r="L2937" s="37"/>
      <c r="M2937" s="37"/>
      <c r="N2937" s="37"/>
      <c r="O2937" s="132"/>
      <c r="P2937" s="134"/>
      <c r="Q2937" s="261"/>
      <c r="R2937" s="94"/>
    </row>
    <row r="2938" spans="3:18" x14ac:dyDescent="0.25">
      <c r="C2938" s="279"/>
      <c r="D2938" s="159"/>
      <c r="E2938" s="45"/>
      <c r="F2938" s="148"/>
      <c r="G2938" s="1"/>
      <c r="H2938" s="163"/>
      <c r="I2938" s="37"/>
      <c r="J2938" s="138"/>
      <c r="K2938" s="114"/>
      <c r="L2938" s="37"/>
      <c r="M2938" s="37"/>
      <c r="N2938" s="37"/>
      <c r="O2938" s="132"/>
      <c r="P2938" s="134"/>
      <c r="Q2938" s="261"/>
      <c r="R2938" s="94"/>
    </row>
    <row r="2939" spans="3:18" x14ac:dyDescent="0.25">
      <c r="C2939" s="279"/>
      <c r="D2939" s="159"/>
      <c r="E2939" s="45"/>
      <c r="F2939" s="148"/>
      <c r="G2939" s="1"/>
      <c r="H2939" s="163"/>
      <c r="I2939" s="37"/>
      <c r="J2939" s="138"/>
      <c r="K2939" s="114"/>
      <c r="L2939" s="37"/>
      <c r="M2939" s="37"/>
      <c r="N2939" s="37"/>
      <c r="O2939" s="132"/>
      <c r="P2939" s="134"/>
      <c r="Q2939" s="261"/>
      <c r="R2939" s="94"/>
    </row>
    <row r="2940" spans="3:18" x14ac:dyDescent="0.25">
      <c r="C2940" s="279"/>
      <c r="D2940" s="159"/>
      <c r="E2940" s="45"/>
      <c r="F2940" s="148"/>
      <c r="G2940" s="1"/>
      <c r="H2940" s="163"/>
      <c r="I2940" s="37"/>
      <c r="J2940" s="138"/>
      <c r="K2940" s="114"/>
      <c r="L2940" s="37"/>
      <c r="M2940" s="37"/>
      <c r="N2940" s="37"/>
      <c r="O2940" s="132"/>
      <c r="P2940" s="134"/>
      <c r="Q2940" s="261"/>
      <c r="R2940" s="94"/>
    </row>
    <row r="2941" spans="3:18" x14ac:dyDescent="0.25">
      <c r="C2941" s="279"/>
      <c r="D2941" s="159"/>
      <c r="E2941" s="45"/>
      <c r="F2941" s="148"/>
      <c r="G2941" s="1"/>
      <c r="H2941" s="163"/>
      <c r="I2941" s="37"/>
      <c r="J2941" s="138"/>
      <c r="K2941" s="114"/>
      <c r="L2941" s="37"/>
      <c r="M2941" s="37"/>
      <c r="N2941" s="37"/>
      <c r="O2941" s="132"/>
      <c r="P2941" s="134"/>
      <c r="Q2941" s="261"/>
      <c r="R2941" s="94"/>
    </row>
    <row r="2942" spans="3:18" x14ac:dyDescent="0.25">
      <c r="C2942" s="279"/>
      <c r="D2942" s="159"/>
      <c r="E2942" s="45"/>
      <c r="F2942" s="148"/>
      <c r="G2942" s="1"/>
      <c r="H2942" s="163"/>
      <c r="I2942" s="37"/>
      <c r="J2942" s="138"/>
      <c r="K2942" s="114"/>
      <c r="L2942" s="37"/>
      <c r="M2942" s="37"/>
      <c r="N2942" s="37"/>
      <c r="O2942" s="132"/>
      <c r="P2942" s="134"/>
      <c r="Q2942" s="261"/>
      <c r="R2942" s="94"/>
    </row>
    <row r="2943" spans="3:18" x14ac:dyDescent="0.25">
      <c r="C2943" s="279"/>
      <c r="D2943" s="159"/>
      <c r="E2943" s="45"/>
      <c r="F2943" s="148"/>
      <c r="G2943" s="1"/>
      <c r="H2943" s="163"/>
      <c r="I2943" s="37"/>
      <c r="J2943" s="138"/>
      <c r="K2943" s="114"/>
      <c r="L2943" s="37"/>
      <c r="M2943" s="37"/>
      <c r="N2943" s="37"/>
      <c r="O2943" s="132"/>
      <c r="P2943" s="134"/>
      <c r="Q2943" s="261"/>
      <c r="R2943" s="94"/>
    </row>
    <row r="2944" spans="3:18" x14ac:dyDescent="0.25">
      <c r="C2944" s="279"/>
      <c r="D2944" s="159"/>
      <c r="E2944" s="45"/>
      <c r="F2944" s="148"/>
      <c r="G2944" s="1"/>
      <c r="H2944" s="163"/>
      <c r="I2944" s="37"/>
      <c r="J2944" s="138"/>
      <c r="K2944" s="114"/>
      <c r="L2944" s="37"/>
      <c r="M2944" s="37"/>
      <c r="N2944" s="37"/>
      <c r="O2944" s="132"/>
      <c r="P2944" s="134"/>
      <c r="Q2944" s="261"/>
      <c r="R2944" s="94"/>
    </row>
    <row r="2945" spans="3:18" x14ac:dyDescent="0.25">
      <c r="C2945" s="279"/>
      <c r="D2945" s="159"/>
      <c r="E2945" s="45"/>
      <c r="F2945" s="148"/>
      <c r="G2945" s="1"/>
      <c r="H2945" s="163"/>
      <c r="I2945" s="37"/>
      <c r="J2945" s="138"/>
      <c r="K2945" s="114"/>
      <c r="L2945" s="37"/>
      <c r="M2945" s="37"/>
      <c r="N2945" s="37"/>
      <c r="O2945" s="132"/>
      <c r="P2945" s="134"/>
      <c r="Q2945" s="261"/>
      <c r="R2945" s="94"/>
    </row>
    <row r="2946" spans="3:18" x14ac:dyDescent="0.25">
      <c r="C2946" s="279"/>
      <c r="D2946" s="159"/>
      <c r="E2946" s="45"/>
      <c r="F2946" s="148"/>
      <c r="G2946" s="1"/>
      <c r="H2946" s="163"/>
      <c r="I2946" s="37"/>
      <c r="J2946" s="138"/>
      <c r="K2946" s="114"/>
      <c r="L2946" s="37"/>
      <c r="M2946" s="37"/>
      <c r="N2946" s="37"/>
      <c r="O2946" s="132"/>
      <c r="P2946" s="134"/>
      <c r="Q2946" s="261"/>
      <c r="R2946" s="94"/>
    </row>
    <row r="2947" spans="3:18" x14ac:dyDescent="0.25">
      <c r="C2947" s="279"/>
      <c r="D2947" s="159"/>
      <c r="E2947" s="45"/>
      <c r="F2947" s="148"/>
      <c r="G2947" s="1"/>
      <c r="H2947" s="163"/>
      <c r="I2947" s="37"/>
      <c r="J2947" s="138"/>
      <c r="K2947" s="114"/>
      <c r="L2947" s="37"/>
      <c r="M2947" s="37"/>
      <c r="N2947" s="37"/>
      <c r="O2947" s="132"/>
      <c r="P2947" s="134"/>
      <c r="Q2947" s="261"/>
      <c r="R2947" s="94"/>
    </row>
    <row r="2948" spans="3:18" x14ac:dyDescent="0.25">
      <c r="C2948" s="279"/>
      <c r="D2948" s="159"/>
      <c r="E2948" s="45"/>
      <c r="F2948" s="148"/>
      <c r="G2948" s="1"/>
      <c r="H2948" s="163"/>
      <c r="I2948" s="37"/>
      <c r="J2948" s="138"/>
      <c r="K2948" s="114"/>
      <c r="L2948" s="37"/>
      <c r="M2948" s="37"/>
      <c r="N2948" s="37"/>
      <c r="O2948" s="132"/>
      <c r="P2948" s="134"/>
      <c r="Q2948" s="261"/>
      <c r="R2948" s="94"/>
    </row>
    <row r="2949" spans="3:18" x14ac:dyDescent="0.25">
      <c r="C2949" s="279"/>
      <c r="D2949" s="159"/>
      <c r="E2949" s="45"/>
      <c r="F2949" s="148"/>
      <c r="G2949" s="1"/>
      <c r="H2949" s="163"/>
      <c r="I2949" s="37"/>
      <c r="J2949" s="138"/>
      <c r="K2949" s="114"/>
      <c r="L2949" s="37"/>
      <c r="M2949" s="37"/>
      <c r="N2949" s="37"/>
      <c r="O2949" s="132"/>
      <c r="P2949" s="134"/>
      <c r="Q2949" s="261"/>
      <c r="R2949" s="94"/>
    </row>
    <row r="2950" spans="3:18" x14ac:dyDescent="0.25">
      <c r="C2950" s="279"/>
      <c r="D2950" s="159"/>
      <c r="E2950" s="45"/>
      <c r="F2950" s="148"/>
      <c r="G2950" s="1"/>
      <c r="H2950" s="163"/>
      <c r="I2950" s="37"/>
      <c r="J2950" s="138"/>
      <c r="K2950" s="114"/>
      <c r="L2950" s="37"/>
      <c r="M2950" s="37"/>
      <c r="N2950" s="37"/>
      <c r="O2950" s="132"/>
      <c r="P2950" s="134"/>
      <c r="Q2950" s="261"/>
      <c r="R2950" s="94"/>
    </row>
    <row r="2951" spans="3:18" x14ac:dyDescent="0.25">
      <c r="C2951" s="279"/>
      <c r="D2951" s="159"/>
      <c r="E2951" s="45"/>
      <c r="F2951" s="148"/>
      <c r="G2951" s="1"/>
      <c r="H2951" s="163"/>
      <c r="I2951" s="37"/>
      <c r="J2951" s="138"/>
      <c r="K2951" s="114"/>
      <c r="L2951" s="37"/>
      <c r="M2951" s="37"/>
      <c r="N2951" s="37"/>
      <c r="O2951" s="132"/>
      <c r="P2951" s="134"/>
      <c r="Q2951" s="261"/>
      <c r="R2951" s="94"/>
    </row>
    <row r="2952" spans="3:18" x14ac:dyDescent="0.25">
      <c r="C2952" s="279"/>
      <c r="D2952" s="159"/>
      <c r="E2952" s="45"/>
      <c r="F2952" s="148"/>
      <c r="G2952" s="1"/>
      <c r="H2952" s="163"/>
      <c r="I2952" s="37"/>
      <c r="J2952" s="138"/>
      <c r="K2952" s="114"/>
      <c r="L2952" s="37"/>
      <c r="M2952" s="37"/>
      <c r="N2952" s="37"/>
      <c r="O2952" s="132"/>
      <c r="P2952" s="134"/>
      <c r="Q2952" s="261"/>
      <c r="R2952" s="94"/>
    </row>
    <row r="2953" spans="3:18" x14ac:dyDescent="0.25">
      <c r="C2953" s="279"/>
      <c r="D2953" s="159"/>
      <c r="E2953" s="45"/>
      <c r="F2953" s="148"/>
      <c r="G2953" s="1"/>
      <c r="H2953" s="163"/>
      <c r="I2953" s="37"/>
      <c r="J2953" s="138"/>
      <c r="K2953" s="114"/>
      <c r="L2953" s="37"/>
      <c r="M2953" s="37"/>
      <c r="N2953" s="37"/>
      <c r="O2953" s="132"/>
      <c r="P2953" s="134"/>
      <c r="Q2953" s="261"/>
      <c r="R2953" s="94"/>
    </row>
    <row r="2954" spans="3:18" x14ac:dyDescent="0.25">
      <c r="C2954" s="279"/>
      <c r="D2954" s="159"/>
      <c r="E2954" s="45"/>
      <c r="F2954" s="148"/>
      <c r="G2954" s="1"/>
      <c r="H2954" s="163"/>
      <c r="I2954" s="37"/>
      <c r="J2954" s="138"/>
      <c r="K2954" s="114"/>
      <c r="L2954" s="37"/>
      <c r="M2954" s="37"/>
      <c r="N2954" s="37"/>
      <c r="O2954" s="132"/>
      <c r="P2954" s="134"/>
      <c r="Q2954" s="261"/>
      <c r="R2954" s="94"/>
    </row>
    <row r="2955" spans="3:18" x14ac:dyDescent="0.25">
      <c r="C2955" s="279"/>
      <c r="D2955" s="159"/>
      <c r="E2955" s="45"/>
      <c r="F2955" s="148"/>
      <c r="G2955" s="1"/>
      <c r="H2955" s="163"/>
      <c r="I2955" s="37"/>
      <c r="J2955" s="138"/>
      <c r="K2955" s="114"/>
      <c r="L2955" s="37"/>
      <c r="M2955" s="37"/>
      <c r="N2955" s="37"/>
      <c r="O2955" s="132"/>
      <c r="P2955" s="134"/>
      <c r="Q2955" s="261"/>
      <c r="R2955" s="94"/>
    </row>
    <row r="2956" spans="3:18" x14ac:dyDescent="0.25">
      <c r="C2956" s="279"/>
      <c r="D2956" s="159"/>
      <c r="E2956" s="45"/>
      <c r="F2956" s="148"/>
      <c r="G2956" s="1"/>
      <c r="H2956" s="163"/>
      <c r="I2956" s="37"/>
      <c r="J2956" s="138"/>
      <c r="K2956" s="114"/>
      <c r="L2956" s="37"/>
      <c r="M2956" s="37"/>
      <c r="N2956" s="37"/>
      <c r="O2956" s="132"/>
      <c r="P2956" s="134"/>
      <c r="Q2956" s="261"/>
      <c r="R2956" s="94"/>
    </row>
    <row r="2957" spans="3:18" x14ac:dyDescent="0.25">
      <c r="C2957" s="279"/>
      <c r="D2957" s="159"/>
      <c r="E2957" s="45"/>
      <c r="F2957" s="148"/>
      <c r="G2957" s="1"/>
      <c r="H2957" s="163"/>
      <c r="I2957" s="37"/>
      <c r="J2957" s="138"/>
      <c r="K2957" s="114"/>
      <c r="L2957" s="37"/>
      <c r="M2957" s="37"/>
      <c r="N2957" s="37"/>
      <c r="O2957" s="132"/>
      <c r="P2957" s="134"/>
      <c r="Q2957" s="261"/>
      <c r="R2957" s="94"/>
    </row>
    <row r="2958" spans="3:18" x14ac:dyDescent="0.25">
      <c r="C2958" s="279"/>
      <c r="D2958" s="159"/>
      <c r="E2958" s="45"/>
      <c r="F2958" s="148"/>
      <c r="G2958" s="1"/>
      <c r="H2958" s="163"/>
      <c r="I2958" s="37"/>
      <c r="J2958" s="138"/>
      <c r="K2958" s="114"/>
      <c r="L2958" s="37"/>
      <c r="M2958" s="37"/>
      <c r="N2958" s="37"/>
      <c r="O2958" s="132"/>
      <c r="P2958" s="134"/>
      <c r="Q2958" s="261"/>
      <c r="R2958" s="94"/>
    </row>
    <row r="2959" spans="3:18" x14ac:dyDescent="0.25">
      <c r="C2959" s="279"/>
      <c r="D2959" s="159"/>
      <c r="E2959" s="45"/>
      <c r="F2959" s="148"/>
      <c r="G2959" s="1"/>
      <c r="H2959" s="163"/>
      <c r="I2959" s="37"/>
      <c r="J2959" s="138"/>
      <c r="K2959" s="114"/>
      <c r="L2959" s="37"/>
      <c r="M2959" s="37"/>
      <c r="N2959" s="37"/>
      <c r="O2959" s="132"/>
      <c r="P2959" s="134"/>
      <c r="Q2959" s="261"/>
      <c r="R2959" s="94"/>
    </row>
    <row r="2960" spans="3:18" x14ac:dyDescent="0.25">
      <c r="C2960" s="279"/>
      <c r="D2960" s="159"/>
      <c r="E2960" s="45"/>
      <c r="F2960" s="148"/>
      <c r="G2960" s="1"/>
      <c r="H2960" s="163"/>
      <c r="I2960" s="37"/>
      <c r="J2960" s="138"/>
      <c r="K2960" s="114"/>
      <c r="L2960" s="37"/>
      <c r="M2960" s="37"/>
      <c r="N2960" s="37"/>
      <c r="O2960" s="132"/>
      <c r="P2960" s="134"/>
      <c r="Q2960" s="261"/>
      <c r="R2960" s="94"/>
    </row>
    <row r="2961" spans="3:18" x14ac:dyDescent="0.25">
      <c r="C2961" s="279"/>
      <c r="D2961" s="159"/>
      <c r="E2961" s="45"/>
      <c r="F2961" s="148"/>
      <c r="G2961" s="1"/>
      <c r="H2961" s="163"/>
      <c r="I2961" s="37"/>
      <c r="J2961" s="138"/>
      <c r="K2961" s="114"/>
      <c r="L2961" s="37"/>
      <c r="M2961" s="37"/>
      <c r="N2961" s="37"/>
      <c r="O2961" s="132"/>
      <c r="P2961" s="134"/>
      <c r="Q2961" s="261"/>
      <c r="R2961" s="94"/>
    </row>
    <row r="2962" spans="3:18" x14ac:dyDescent="0.25">
      <c r="C2962" s="279"/>
      <c r="D2962" s="159"/>
      <c r="E2962" s="45"/>
      <c r="F2962" s="148"/>
      <c r="G2962" s="1"/>
      <c r="H2962" s="163"/>
      <c r="I2962" s="37"/>
      <c r="J2962" s="138"/>
      <c r="K2962" s="114"/>
      <c r="L2962" s="37"/>
      <c r="M2962" s="37"/>
      <c r="N2962" s="37"/>
      <c r="O2962" s="132"/>
      <c r="P2962" s="134"/>
      <c r="Q2962" s="261"/>
      <c r="R2962" s="94"/>
    </row>
    <row r="2963" spans="3:18" x14ac:dyDescent="0.25">
      <c r="C2963" s="279"/>
      <c r="D2963" s="159"/>
      <c r="E2963" s="45"/>
      <c r="F2963" s="148"/>
      <c r="G2963" s="1"/>
      <c r="H2963" s="163"/>
      <c r="I2963" s="37"/>
      <c r="J2963" s="138"/>
      <c r="K2963" s="114"/>
      <c r="L2963" s="37"/>
      <c r="M2963" s="37"/>
      <c r="N2963" s="37"/>
      <c r="O2963" s="132"/>
      <c r="P2963" s="134"/>
      <c r="Q2963" s="261"/>
      <c r="R2963" s="94"/>
    </row>
    <row r="2964" spans="3:18" x14ac:dyDescent="0.25">
      <c r="C2964" s="279"/>
      <c r="D2964" s="159"/>
      <c r="E2964" s="45"/>
      <c r="F2964" s="148"/>
      <c r="G2964" s="1"/>
      <c r="H2964" s="163"/>
      <c r="I2964" s="37"/>
      <c r="J2964" s="138"/>
      <c r="K2964" s="114"/>
      <c r="L2964" s="37"/>
      <c r="M2964" s="37"/>
      <c r="N2964" s="37"/>
      <c r="O2964" s="132"/>
      <c r="P2964" s="134"/>
      <c r="Q2964" s="261"/>
      <c r="R2964" s="94"/>
    </row>
    <row r="2965" spans="3:18" x14ac:dyDescent="0.25">
      <c r="C2965" s="279"/>
      <c r="D2965" s="159"/>
      <c r="E2965" s="45"/>
      <c r="F2965" s="148"/>
      <c r="G2965" s="1"/>
      <c r="H2965" s="163"/>
      <c r="I2965" s="37"/>
      <c r="J2965" s="138"/>
      <c r="K2965" s="114"/>
      <c r="L2965" s="37"/>
      <c r="M2965" s="37"/>
      <c r="N2965" s="37"/>
      <c r="O2965" s="132"/>
      <c r="P2965" s="134"/>
      <c r="Q2965" s="261"/>
      <c r="R2965" s="94"/>
    </row>
    <row r="2966" spans="3:18" x14ac:dyDescent="0.25">
      <c r="C2966" s="279"/>
      <c r="D2966" s="159"/>
      <c r="E2966" s="45"/>
      <c r="F2966" s="148"/>
      <c r="G2966" s="1"/>
      <c r="H2966" s="163"/>
      <c r="I2966" s="37"/>
      <c r="J2966" s="138"/>
      <c r="K2966" s="114"/>
      <c r="L2966" s="37"/>
      <c r="M2966" s="37"/>
      <c r="N2966" s="37"/>
      <c r="O2966" s="132"/>
      <c r="P2966" s="134"/>
      <c r="Q2966" s="261"/>
      <c r="R2966" s="94"/>
    </row>
    <row r="2967" spans="3:18" x14ac:dyDescent="0.25">
      <c r="C2967" s="279"/>
      <c r="D2967" s="159"/>
      <c r="E2967" s="45"/>
      <c r="F2967" s="148"/>
      <c r="G2967" s="1"/>
      <c r="H2967" s="163"/>
      <c r="I2967" s="37"/>
      <c r="J2967" s="138"/>
      <c r="K2967" s="114"/>
      <c r="L2967" s="37"/>
      <c r="M2967" s="37"/>
      <c r="N2967" s="37"/>
      <c r="O2967" s="132"/>
      <c r="P2967" s="134"/>
      <c r="Q2967" s="261"/>
      <c r="R2967" s="94"/>
    </row>
    <row r="2968" spans="3:18" x14ac:dyDescent="0.25">
      <c r="C2968" s="279"/>
      <c r="D2968" s="159"/>
      <c r="E2968" s="45"/>
      <c r="F2968" s="148"/>
      <c r="G2968" s="1"/>
      <c r="H2968" s="163"/>
      <c r="I2968" s="37"/>
      <c r="J2968" s="138"/>
      <c r="K2968" s="114"/>
      <c r="L2968" s="37"/>
      <c r="M2968" s="37"/>
      <c r="N2968" s="37"/>
      <c r="O2968" s="132"/>
      <c r="P2968" s="134"/>
      <c r="Q2968" s="261"/>
      <c r="R2968" s="94"/>
    </row>
    <row r="2969" spans="3:18" x14ac:dyDescent="0.25">
      <c r="C2969" s="279"/>
      <c r="D2969" s="159"/>
      <c r="E2969" s="45"/>
      <c r="F2969" s="148"/>
      <c r="G2969" s="1"/>
      <c r="H2969" s="163"/>
      <c r="I2969" s="37"/>
      <c r="J2969" s="138"/>
      <c r="K2969" s="114"/>
      <c r="L2969" s="37"/>
      <c r="M2969" s="37"/>
      <c r="N2969" s="37"/>
      <c r="O2969" s="132"/>
      <c r="P2969" s="134"/>
      <c r="Q2969" s="261"/>
      <c r="R2969" s="94"/>
    </row>
    <row r="2970" spans="3:18" x14ac:dyDescent="0.25">
      <c r="C2970" s="279"/>
      <c r="D2970" s="159"/>
      <c r="E2970" s="45"/>
      <c r="F2970" s="148"/>
      <c r="G2970" s="1"/>
      <c r="H2970" s="163"/>
      <c r="I2970" s="37"/>
      <c r="J2970" s="138"/>
      <c r="K2970" s="114"/>
      <c r="L2970" s="37"/>
      <c r="M2970" s="37"/>
      <c r="N2970" s="37"/>
      <c r="O2970" s="132"/>
      <c r="P2970" s="134"/>
      <c r="Q2970" s="261"/>
      <c r="R2970" s="94"/>
    </row>
    <row r="2971" spans="3:18" x14ac:dyDescent="0.25">
      <c r="C2971" s="279"/>
      <c r="D2971" s="159"/>
      <c r="E2971" s="45"/>
      <c r="F2971" s="148"/>
      <c r="G2971" s="1"/>
      <c r="H2971" s="163"/>
      <c r="I2971" s="37"/>
      <c r="J2971" s="138"/>
      <c r="K2971" s="114"/>
      <c r="L2971" s="37"/>
      <c r="M2971" s="37"/>
      <c r="N2971" s="37"/>
      <c r="O2971" s="132"/>
      <c r="P2971" s="134"/>
      <c r="Q2971" s="261"/>
      <c r="R2971" s="94"/>
    </row>
    <row r="2972" spans="3:18" x14ac:dyDescent="0.25">
      <c r="C2972" s="279"/>
      <c r="D2972" s="159"/>
      <c r="E2972" s="45"/>
      <c r="F2972" s="148"/>
      <c r="G2972" s="1"/>
      <c r="H2972" s="163"/>
      <c r="I2972" s="37"/>
      <c r="J2972" s="138"/>
      <c r="K2972" s="114"/>
      <c r="L2972" s="37"/>
      <c r="M2972" s="37"/>
      <c r="N2972" s="37"/>
      <c r="O2972" s="132"/>
      <c r="P2972" s="134"/>
      <c r="Q2972" s="261"/>
      <c r="R2972" s="94"/>
    </row>
    <row r="2973" spans="3:18" x14ac:dyDescent="0.25">
      <c r="C2973" s="279"/>
      <c r="D2973" s="159"/>
      <c r="E2973" s="45"/>
      <c r="F2973" s="148"/>
      <c r="G2973" s="1"/>
      <c r="H2973" s="163"/>
      <c r="I2973" s="37"/>
      <c r="J2973" s="138"/>
      <c r="K2973" s="114"/>
      <c r="L2973" s="37"/>
      <c r="M2973" s="37"/>
      <c r="N2973" s="37"/>
      <c r="O2973" s="132"/>
      <c r="P2973" s="134"/>
      <c r="Q2973" s="261"/>
      <c r="R2973" s="94"/>
    </row>
    <row r="2974" spans="3:18" x14ac:dyDescent="0.25">
      <c r="C2974" s="279"/>
      <c r="D2974" s="159"/>
      <c r="E2974" s="45"/>
      <c r="F2974" s="148"/>
      <c r="G2974" s="1"/>
      <c r="H2974" s="163"/>
      <c r="I2974" s="37"/>
      <c r="J2974" s="138"/>
      <c r="K2974" s="114"/>
      <c r="L2974" s="37"/>
      <c r="M2974" s="37"/>
      <c r="N2974" s="37"/>
      <c r="O2974" s="132"/>
      <c r="P2974" s="134"/>
      <c r="Q2974" s="261"/>
      <c r="R2974" s="94"/>
    </row>
    <row r="2975" spans="3:18" x14ac:dyDescent="0.25">
      <c r="C2975" s="279"/>
      <c r="D2975" s="159"/>
      <c r="E2975" s="45"/>
      <c r="F2975" s="148"/>
      <c r="G2975" s="1"/>
      <c r="H2975" s="163"/>
      <c r="I2975" s="37"/>
      <c r="J2975" s="138"/>
      <c r="K2975" s="114"/>
      <c r="L2975" s="37"/>
      <c r="M2975" s="37"/>
      <c r="N2975" s="37"/>
      <c r="O2975" s="132"/>
      <c r="P2975" s="134"/>
      <c r="Q2975" s="261"/>
      <c r="R2975" s="94"/>
    </row>
    <row r="2976" spans="3:18" x14ac:dyDescent="0.25">
      <c r="C2976" s="279"/>
      <c r="D2976" s="159"/>
      <c r="E2976" s="45"/>
      <c r="F2976" s="148"/>
      <c r="G2976" s="1"/>
      <c r="H2976" s="163"/>
      <c r="I2976" s="37"/>
      <c r="J2976" s="138"/>
      <c r="K2976" s="114"/>
      <c r="L2976" s="37"/>
      <c r="M2976" s="37"/>
      <c r="N2976" s="37"/>
      <c r="O2976" s="132"/>
      <c r="P2976" s="134"/>
      <c r="Q2976" s="261"/>
      <c r="R2976" s="94"/>
    </row>
    <row r="2977" spans="3:18" x14ac:dyDescent="0.25">
      <c r="C2977" s="279"/>
      <c r="D2977" s="159"/>
      <c r="E2977" s="45"/>
      <c r="F2977" s="148"/>
      <c r="G2977" s="1"/>
      <c r="H2977" s="163"/>
      <c r="I2977" s="37"/>
      <c r="J2977" s="138"/>
      <c r="K2977" s="114"/>
      <c r="L2977" s="37"/>
      <c r="M2977" s="37"/>
      <c r="N2977" s="37"/>
      <c r="O2977" s="132"/>
      <c r="P2977" s="134"/>
      <c r="Q2977" s="261"/>
      <c r="R2977" s="94"/>
    </row>
    <row r="2978" spans="3:18" x14ac:dyDescent="0.25">
      <c r="C2978" s="279"/>
      <c r="D2978" s="159"/>
      <c r="E2978" s="45"/>
      <c r="F2978" s="148"/>
      <c r="G2978" s="1"/>
      <c r="H2978" s="163"/>
      <c r="I2978" s="37"/>
      <c r="J2978" s="138"/>
      <c r="K2978" s="114"/>
      <c r="L2978" s="37"/>
      <c r="M2978" s="37"/>
      <c r="N2978" s="37"/>
      <c r="O2978" s="132"/>
      <c r="P2978" s="134"/>
      <c r="Q2978" s="261"/>
      <c r="R2978" s="94"/>
    </row>
    <row r="2979" spans="3:18" x14ac:dyDescent="0.25">
      <c r="C2979" s="279"/>
      <c r="D2979" s="159"/>
      <c r="E2979" s="45"/>
      <c r="F2979" s="148"/>
      <c r="G2979" s="1"/>
      <c r="H2979" s="163"/>
      <c r="I2979" s="37"/>
      <c r="J2979" s="138"/>
      <c r="K2979" s="114"/>
      <c r="L2979" s="37"/>
      <c r="M2979" s="37"/>
      <c r="N2979" s="37"/>
      <c r="O2979" s="132"/>
      <c r="P2979" s="134"/>
      <c r="Q2979" s="261"/>
      <c r="R2979" s="94"/>
    </row>
    <row r="2980" spans="3:18" x14ac:dyDescent="0.25">
      <c r="C2980" s="279"/>
      <c r="D2980" s="159"/>
      <c r="E2980" s="45"/>
      <c r="F2980" s="148"/>
      <c r="G2980" s="1"/>
      <c r="H2980" s="163"/>
      <c r="I2980" s="37"/>
      <c r="J2980" s="138"/>
      <c r="K2980" s="114"/>
      <c r="L2980" s="37"/>
      <c r="M2980" s="37"/>
      <c r="N2980" s="37"/>
      <c r="O2980" s="132"/>
      <c r="P2980" s="134"/>
      <c r="Q2980" s="261"/>
      <c r="R2980" s="94"/>
    </row>
    <row r="2981" spans="3:18" x14ac:dyDescent="0.25">
      <c r="C2981" s="279"/>
      <c r="D2981" s="159"/>
      <c r="E2981" s="45"/>
      <c r="F2981" s="148"/>
      <c r="G2981" s="1"/>
      <c r="H2981" s="163"/>
      <c r="I2981" s="37"/>
      <c r="J2981" s="138"/>
      <c r="K2981" s="114"/>
      <c r="L2981" s="37"/>
      <c r="M2981" s="37"/>
      <c r="N2981" s="37"/>
      <c r="O2981" s="132"/>
      <c r="P2981" s="134"/>
      <c r="Q2981" s="261"/>
      <c r="R2981" s="94"/>
    </row>
    <row r="2982" spans="3:18" x14ac:dyDescent="0.25">
      <c r="C2982" s="279"/>
      <c r="D2982" s="159"/>
      <c r="E2982" s="45"/>
      <c r="F2982" s="148"/>
      <c r="G2982" s="1"/>
      <c r="H2982" s="163"/>
      <c r="I2982" s="37"/>
      <c r="J2982" s="138"/>
      <c r="K2982" s="114"/>
      <c r="L2982" s="37"/>
      <c r="M2982" s="37"/>
      <c r="N2982" s="37"/>
      <c r="O2982" s="132"/>
      <c r="P2982" s="134"/>
      <c r="Q2982" s="261"/>
      <c r="R2982" s="94"/>
    </row>
    <row r="2983" spans="3:18" x14ac:dyDescent="0.25">
      <c r="C2983" s="279"/>
      <c r="D2983" s="159"/>
      <c r="E2983" s="45"/>
      <c r="F2983" s="148"/>
      <c r="G2983" s="1"/>
      <c r="H2983" s="163"/>
      <c r="I2983" s="37"/>
      <c r="J2983" s="138"/>
      <c r="K2983" s="114"/>
      <c r="L2983" s="37"/>
      <c r="M2983" s="37"/>
      <c r="N2983" s="37"/>
      <c r="O2983" s="132"/>
      <c r="P2983" s="134"/>
      <c r="Q2983" s="261"/>
      <c r="R2983" s="94"/>
    </row>
    <row r="2984" spans="3:18" x14ac:dyDescent="0.25">
      <c r="C2984" s="279"/>
      <c r="D2984" s="159"/>
      <c r="E2984" s="45"/>
      <c r="F2984" s="148"/>
      <c r="G2984" s="1"/>
      <c r="H2984" s="163"/>
      <c r="I2984" s="37"/>
      <c r="J2984" s="138"/>
      <c r="K2984" s="114"/>
      <c r="L2984" s="37"/>
      <c r="M2984" s="37"/>
      <c r="N2984" s="37"/>
      <c r="O2984" s="132"/>
      <c r="P2984" s="134"/>
      <c r="Q2984" s="261"/>
      <c r="R2984" s="94"/>
    </row>
    <row r="2985" spans="3:18" x14ac:dyDescent="0.25">
      <c r="C2985" s="279"/>
      <c r="D2985" s="159"/>
      <c r="E2985" s="45"/>
      <c r="F2985" s="148"/>
      <c r="G2985" s="1"/>
      <c r="H2985" s="163"/>
      <c r="I2985" s="37"/>
      <c r="J2985" s="138"/>
      <c r="K2985" s="114"/>
      <c r="L2985" s="37"/>
      <c r="M2985" s="37"/>
      <c r="N2985" s="37"/>
      <c r="O2985" s="132"/>
      <c r="P2985" s="134"/>
      <c r="Q2985" s="261"/>
      <c r="R2985" s="94"/>
    </row>
    <row r="2986" spans="3:18" x14ac:dyDescent="0.25">
      <c r="C2986" s="279"/>
      <c r="D2986" s="159"/>
      <c r="E2986" s="45"/>
      <c r="F2986" s="148"/>
      <c r="G2986" s="1"/>
      <c r="H2986" s="163"/>
      <c r="I2986" s="37"/>
      <c r="J2986" s="138"/>
      <c r="K2986" s="114"/>
      <c r="L2986" s="37"/>
      <c r="M2986" s="37"/>
      <c r="N2986" s="37"/>
      <c r="O2986" s="132"/>
      <c r="P2986" s="134"/>
      <c r="Q2986" s="261"/>
      <c r="R2986" s="94"/>
    </row>
    <row r="2987" spans="3:18" x14ac:dyDescent="0.25">
      <c r="C2987" s="279"/>
      <c r="D2987" s="159"/>
      <c r="E2987" s="45"/>
      <c r="F2987" s="148"/>
      <c r="G2987" s="1"/>
      <c r="H2987" s="163"/>
      <c r="I2987" s="37"/>
      <c r="J2987" s="138"/>
      <c r="K2987" s="114"/>
      <c r="L2987" s="37"/>
      <c r="M2987" s="37"/>
      <c r="N2987" s="37"/>
      <c r="O2987" s="132"/>
      <c r="P2987" s="134"/>
      <c r="Q2987" s="261"/>
      <c r="R2987" s="94"/>
    </row>
    <row r="2988" spans="3:18" x14ac:dyDescent="0.25">
      <c r="C2988" s="279"/>
      <c r="D2988" s="159"/>
      <c r="E2988" s="45"/>
      <c r="F2988" s="148"/>
      <c r="G2988" s="1"/>
      <c r="H2988" s="163"/>
      <c r="I2988" s="37"/>
      <c r="J2988" s="138"/>
      <c r="K2988" s="114"/>
      <c r="L2988" s="37"/>
      <c r="M2988" s="37"/>
      <c r="N2988" s="37"/>
      <c r="O2988" s="132"/>
      <c r="P2988" s="134"/>
      <c r="Q2988" s="261"/>
      <c r="R2988" s="94"/>
    </row>
    <row r="2989" spans="3:18" x14ac:dyDescent="0.25">
      <c r="C2989" s="279"/>
      <c r="D2989" s="159"/>
      <c r="E2989" s="45"/>
      <c r="F2989" s="148"/>
      <c r="G2989" s="1"/>
      <c r="H2989" s="163"/>
      <c r="I2989" s="37"/>
      <c r="J2989" s="138"/>
      <c r="K2989" s="114"/>
      <c r="L2989" s="37"/>
      <c r="M2989" s="37"/>
      <c r="N2989" s="37"/>
      <c r="O2989" s="132"/>
      <c r="P2989" s="134"/>
      <c r="Q2989" s="261"/>
      <c r="R2989" s="94"/>
    </row>
    <row r="2990" spans="3:18" x14ac:dyDescent="0.25">
      <c r="C2990" s="279"/>
      <c r="D2990" s="159"/>
      <c r="E2990" s="45"/>
      <c r="F2990" s="148"/>
      <c r="G2990" s="1"/>
      <c r="H2990" s="163"/>
      <c r="I2990" s="37"/>
      <c r="J2990" s="138"/>
      <c r="K2990" s="114"/>
      <c r="L2990" s="37"/>
      <c r="M2990" s="37"/>
      <c r="N2990" s="37"/>
      <c r="O2990" s="132"/>
      <c r="P2990" s="134"/>
      <c r="Q2990" s="261"/>
      <c r="R2990" s="94"/>
    </row>
    <row r="2991" spans="3:18" x14ac:dyDescent="0.25">
      <c r="C2991" s="279"/>
      <c r="D2991" s="159"/>
      <c r="E2991" s="45"/>
      <c r="F2991" s="148"/>
      <c r="G2991" s="1"/>
      <c r="H2991" s="163"/>
      <c r="I2991" s="37"/>
      <c r="J2991" s="138"/>
      <c r="K2991" s="114"/>
      <c r="L2991" s="37"/>
      <c r="M2991" s="37"/>
      <c r="N2991" s="37"/>
      <c r="O2991" s="132"/>
      <c r="P2991" s="134"/>
      <c r="Q2991" s="261"/>
      <c r="R2991" s="94"/>
    </row>
    <row r="2992" spans="3:18" x14ac:dyDescent="0.25">
      <c r="C2992" s="279"/>
      <c r="D2992" s="159"/>
      <c r="E2992" s="45"/>
      <c r="F2992" s="148"/>
      <c r="G2992" s="1"/>
      <c r="H2992" s="163"/>
      <c r="I2992" s="37"/>
      <c r="J2992" s="138"/>
      <c r="K2992" s="114"/>
      <c r="L2992" s="37"/>
      <c r="M2992" s="37"/>
      <c r="N2992" s="37"/>
      <c r="O2992" s="132"/>
      <c r="P2992" s="134"/>
      <c r="Q2992" s="261"/>
      <c r="R2992" s="94"/>
    </row>
    <row r="2993" spans="3:18" x14ac:dyDescent="0.25">
      <c r="C2993" s="279"/>
      <c r="D2993" s="159"/>
      <c r="E2993" s="45"/>
      <c r="F2993" s="148"/>
      <c r="G2993" s="1"/>
      <c r="H2993" s="163"/>
      <c r="I2993" s="37"/>
      <c r="J2993" s="138"/>
      <c r="K2993" s="114"/>
      <c r="L2993" s="37"/>
      <c r="M2993" s="37"/>
      <c r="N2993" s="37"/>
      <c r="O2993" s="132"/>
      <c r="P2993" s="134"/>
      <c r="Q2993" s="261"/>
      <c r="R2993" s="94"/>
    </row>
    <row r="2994" spans="3:18" x14ac:dyDescent="0.25">
      <c r="C2994" s="279"/>
      <c r="D2994" s="159"/>
      <c r="E2994" s="45"/>
      <c r="F2994" s="148"/>
      <c r="G2994" s="1"/>
      <c r="H2994" s="163"/>
      <c r="I2994" s="37"/>
      <c r="J2994" s="138"/>
      <c r="K2994" s="114"/>
      <c r="L2994" s="37"/>
      <c r="M2994" s="37"/>
      <c r="N2994" s="37"/>
      <c r="O2994" s="132"/>
      <c r="P2994" s="134"/>
      <c r="Q2994" s="261"/>
      <c r="R2994" s="94"/>
    </row>
    <row r="2995" spans="3:18" x14ac:dyDescent="0.25">
      <c r="C2995" s="279"/>
      <c r="D2995" s="159"/>
      <c r="E2995" s="45"/>
      <c r="F2995" s="148"/>
      <c r="G2995" s="1"/>
      <c r="H2995" s="163"/>
      <c r="I2995" s="37"/>
      <c r="J2995" s="138"/>
      <c r="K2995" s="114"/>
      <c r="L2995" s="37"/>
      <c r="M2995" s="37"/>
      <c r="N2995" s="37"/>
      <c r="O2995" s="132"/>
      <c r="P2995" s="134"/>
      <c r="Q2995" s="261"/>
      <c r="R2995" s="94"/>
    </row>
    <row r="2996" spans="3:18" x14ac:dyDescent="0.25">
      <c r="C2996" s="279"/>
      <c r="D2996" s="159"/>
      <c r="E2996" s="45"/>
      <c r="F2996" s="148"/>
      <c r="G2996" s="1"/>
      <c r="H2996" s="163"/>
      <c r="I2996" s="37"/>
      <c r="J2996" s="138"/>
      <c r="K2996" s="114"/>
      <c r="L2996" s="37"/>
      <c r="M2996" s="37"/>
      <c r="N2996" s="37"/>
      <c r="O2996" s="132"/>
      <c r="P2996" s="134"/>
      <c r="Q2996" s="261"/>
      <c r="R2996" s="94"/>
    </row>
    <row r="2997" spans="3:18" x14ac:dyDescent="0.25">
      <c r="C2997" s="279"/>
      <c r="D2997" s="159"/>
      <c r="E2997" s="45"/>
      <c r="F2997" s="148"/>
      <c r="G2997" s="1"/>
      <c r="H2997" s="163"/>
      <c r="I2997" s="37"/>
      <c r="J2997" s="138"/>
      <c r="K2997" s="114"/>
      <c r="L2997" s="37"/>
      <c r="M2997" s="37"/>
      <c r="N2997" s="37"/>
      <c r="O2997" s="132"/>
      <c r="P2997" s="134"/>
      <c r="Q2997" s="261"/>
      <c r="R2997" s="94"/>
    </row>
    <row r="2998" spans="3:18" x14ac:dyDescent="0.25">
      <c r="C2998" s="279"/>
      <c r="D2998" s="159"/>
      <c r="E2998" s="45"/>
      <c r="F2998" s="148"/>
      <c r="G2998" s="1"/>
      <c r="H2998" s="163"/>
      <c r="I2998" s="37"/>
      <c r="J2998" s="138"/>
      <c r="K2998" s="114"/>
      <c r="L2998" s="37"/>
      <c r="M2998" s="37"/>
      <c r="N2998" s="37"/>
      <c r="O2998" s="132"/>
      <c r="P2998" s="134"/>
      <c r="Q2998" s="261"/>
      <c r="R2998" s="94"/>
    </row>
    <row r="2999" spans="3:18" x14ac:dyDescent="0.25">
      <c r="C2999" s="279"/>
      <c r="D2999" s="159"/>
      <c r="E2999" s="45"/>
      <c r="F2999" s="148"/>
      <c r="G2999" s="1"/>
      <c r="H2999" s="163"/>
      <c r="I2999" s="37"/>
      <c r="J2999" s="138"/>
      <c r="K2999" s="114"/>
      <c r="L2999" s="37"/>
      <c r="M2999" s="37"/>
      <c r="N2999" s="37"/>
      <c r="O2999" s="132"/>
      <c r="P2999" s="134"/>
      <c r="Q2999" s="261"/>
      <c r="R2999" s="94"/>
    </row>
    <row r="3000" spans="3:18" x14ac:dyDescent="0.25">
      <c r="C3000" s="279"/>
      <c r="D3000" s="159"/>
      <c r="E3000" s="45"/>
      <c r="F3000" s="148"/>
      <c r="G3000" s="1"/>
      <c r="H3000" s="163"/>
      <c r="I3000" s="37"/>
      <c r="J3000" s="138"/>
      <c r="K3000" s="114"/>
      <c r="L3000" s="37"/>
      <c r="M3000" s="37"/>
      <c r="N3000" s="37"/>
      <c r="O3000" s="132"/>
      <c r="P3000" s="134"/>
      <c r="Q3000" s="261"/>
      <c r="R3000" s="94"/>
    </row>
    <row r="3001" spans="3:18" x14ac:dyDescent="0.25">
      <c r="C3001" s="279"/>
      <c r="D3001" s="159"/>
      <c r="E3001" s="45"/>
      <c r="F3001" s="148"/>
      <c r="G3001" s="1"/>
      <c r="H3001" s="163"/>
      <c r="I3001" s="37"/>
      <c r="J3001" s="138"/>
      <c r="K3001" s="114"/>
      <c r="L3001" s="37"/>
      <c r="M3001" s="37"/>
      <c r="N3001" s="37"/>
      <c r="O3001" s="132"/>
      <c r="P3001" s="134"/>
      <c r="Q3001" s="261"/>
      <c r="R3001" s="94"/>
    </row>
    <row r="3002" spans="3:18" x14ac:dyDescent="0.25">
      <c r="C3002" s="279"/>
      <c r="D3002" s="159"/>
      <c r="E3002" s="45"/>
      <c r="F3002" s="148"/>
      <c r="G3002" s="1"/>
      <c r="H3002" s="163"/>
      <c r="I3002" s="37"/>
      <c r="J3002" s="138"/>
      <c r="K3002" s="114"/>
      <c r="L3002" s="37"/>
      <c r="M3002" s="37"/>
      <c r="N3002" s="37"/>
      <c r="O3002" s="132"/>
      <c r="P3002" s="134"/>
      <c r="Q3002" s="261"/>
      <c r="R3002" s="94"/>
    </row>
  </sheetData>
  <conditionalFormatting sqref="F22:F2417 F2419:F3002">
    <cfRule type="containsText" dxfId="8" priority="13" operator="containsText" text="ERROR">
      <formula>NOT(ISERROR(SEARCH("ERROR",F22)))</formula>
    </cfRule>
  </conditionalFormatting>
  <conditionalFormatting sqref="J22:J3002">
    <cfRule type="cellIs" dxfId="7" priority="12" operator="equal">
      <formula>1</formula>
    </cfRule>
  </conditionalFormatting>
  <conditionalFormatting sqref="E23:E2417 E2419:E3002">
    <cfRule type="expression" dxfId="6" priority="11">
      <formula>VALUE(A23)&gt;2004</formula>
    </cfRule>
  </conditionalFormatting>
  <conditionalFormatting sqref="F2418">
    <cfRule type="containsText" dxfId="5" priority="2" operator="containsText" text="ERROR">
      <formula>NOT(ISERROR(SEARCH("ERROR",F2418)))</formula>
    </cfRule>
  </conditionalFormatting>
  <conditionalFormatting sqref="E2418">
    <cfRule type="expression" dxfId="4" priority="1">
      <formula>VALUE(A2418)&gt;2004</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54"/>
  <sheetViews>
    <sheetView showGridLines="0" zoomScale="85" zoomScaleNormal="85" workbookViewId="0">
      <pane ySplit="21" topLeftCell="A22" activePane="bottomLeft" state="frozen"/>
      <selection activeCell="A22" sqref="A22"/>
      <selection pane="bottomLeft" activeCell="D27" sqref="D27"/>
    </sheetView>
  </sheetViews>
  <sheetFormatPr defaultRowHeight="11.5" outlineLevelRow="1" x14ac:dyDescent="0.25"/>
  <cols>
    <col min="1" max="1" width="5.19921875" style="367" customWidth="1"/>
    <col min="2" max="2" width="9.09765625" style="367"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8" x14ac:dyDescent="0.25">
      <c r="E1" s="43"/>
    </row>
    <row r="2" spans="3:18" x14ac:dyDescent="0.25">
      <c r="E2" s="43"/>
      <c r="F2" s="43"/>
    </row>
    <row r="3" spans="3:18" ht="20" x14ac:dyDescent="0.4">
      <c r="C3" s="72" t="s">
        <v>205</v>
      </c>
    </row>
    <row r="4" spans="3:18" hidden="1" outlineLevel="1" x14ac:dyDescent="0.25"/>
    <row r="5" spans="3:18" hidden="1" outlineLevel="1" x14ac:dyDescent="0.25"/>
    <row r="6" spans="3:18" ht="12" hidden="1" customHeight="1" outlineLevel="1" x14ac:dyDescent="0.25">
      <c r="C6" s="14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4"/>
      <c r="E6" s="94"/>
      <c r="F6" s="94"/>
      <c r="G6" s="94"/>
      <c r="H6" s="94"/>
      <c r="I6" s="94"/>
      <c r="J6" s="94"/>
      <c r="K6" s="94"/>
      <c r="L6" s="94"/>
      <c r="M6" s="94"/>
      <c r="N6" s="94"/>
      <c r="O6" s="94"/>
      <c r="P6" s="94"/>
      <c r="Q6" s="94"/>
      <c r="R6" s="94"/>
    </row>
    <row r="7" spans="3:18" hidden="1" outlineLevel="1" x14ac:dyDescent="0.25">
      <c r="C7" s="214" t="str">
        <f ca="1">"Hyperlink to the '"&amp;MID(CELL("filename",'Asset exclusions'!A1),FIND("]",CELL("filename",'Asset exclusions'!A1))+1,255)&amp;"' worksheet:"</f>
        <v>Hyperlink to the 'Asset exclusions' worksheet:</v>
      </c>
      <c r="E7" s="215" t="s">
        <v>189</v>
      </c>
      <c r="G7" s="94"/>
      <c r="H7" s="94"/>
      <c r="I7" s="94"/>
      <c r="J7" s="94"/>
      <c r="K7" s="94"/>
      <c r="L7" s="94"/>
      <c r="M7" s="94"/>
      <c r="N7" s="94"/>
      <c r="O7" s="94"/>
      <c r="P7" s="94"/>
      <c r="Q7" s="94"/>
      <c r="R7" s="94"/>
    </row>
    <row r="8" spans="3:18" hidden="1" outlineLevel="1" x14ac:dyDescent="0.25">
      <c r="C8" s="214"/>
      <c r="E8" s="215"/>
      <c r="G8" s="94"/>
      <c r="H8" s="94"/>
      <c r="I8" s="94"/>
      <c r="J8" s="94"/>
      <c r="K8" s="94"/>
      <c r="L8" s="94"/>
      <c r="M8" s="94"/>
      <c r="N8" s="94"/>
      <c r="O8" s="94"/>
      <c r="P8" s="94"/>
      <c r="Q8" s="94"/>
      <c r="R8" s="94"/>
    </row>
    <row r="9" spans="3:18" hidden="1" outlineLevel="1" x14ac:dyDescent="0.25">
      <c r="C9" s="214" t="s">
        <v>244</v>
      </c>
      <c r="E9" s="215"/>
      <c r="G9" s="94"/>
      <c r="H9" s="94"/>
      <c r="I9" s="94"/>
      <c r="J9" s="94"/>
      <c r="K9" s="94"/>
      <c r="L9" s="94"/>
      <c r="M9" s="94"/>
      <c r="N9" s="94"/>
      <c r="O9" s="94"/>
      <c r="P9" s="94"/>
      <c r="Q9" s="94"/>
      <c r="R9" s="94"/>
    </row>
    <row r="10" spans="3:18" hidden="1" outlineLevel="1" x14ac:dyDescent="0.25">
      <c r="C10" s="214" t="s">
        <v>247</v>
      </c>
      <c r="E10" s="215"/>
      <c r="G10" s="94"/>
      <c r="H10" s="94"/>
      <c r="I10" s="94"/>
      <c r="J10" s="94"/>
      <c r="K10" s="94"/>
      <c r="L10" s="94"/>
      <c r="M10" s="94"/>
      <c r="N10" s="94"/>
      <c r="O10" s="94"/>
      <c r="P10" s="94"/>
      <c r="Q10" s="94"/>
      <c r="R10" s="94"/>
    </row>
    <row r="11" spans="3:18" hidden="1" outlineLevel="1" x14ac:dyDescent="0.25">
      <c r="C11" s="214" t="s">
        <v>246</v>
      </c>
      <c r="E11" s="215"/>
      <c r="G11" s="94"/>
      <c r="H11" s="94"/>
      <c r="I11" s="94"/>
      <c r="J11" s="94"/>
      <c r="K11" s="94"/>
      <c r="L11" s="94"/>
      <c r="M11" s="94"/>
      <c r="N11" s="94"/>
      <c r="O11" s="94"/>
      <c r="P11" s="94"/>
      <c r="Q11" s="94"/>
      <c r="R11" s="94"/>
    </row>
    <row r="12" spans="3:18" hidden="1" outlineLevel="1" x14ac:dyDescent="0.25">
      <c r="C12" s="214" t="s">
        <v>245</v>
      </c>
      <c r="E12" s="215"/>
      <c r="G12" s="94"/>
      <c r="H12" s="94"/>
      <c r="I12" s="94"/>
      <c r="J12" s="94"/>
      <c r="K12" s="94"/>
      <c r="L12" s="94"/>
      <c r="M12" s="94"/>
      <c r="N12" s="94"/>
      <c r="O12" s="94"/>
      <c r="P12" s="94"/>
      <c r="Q12" s="94"/>
      <c r="R12" s="94"/>
    </row>
    <row r="13" spans="3:18" collapsed="1" x14ac:dyDescent="0.25">
      <c r="C13" s="94"/>
      <c r="D13" s="94"/>
      <c r="E13" s="94"/>
      <c r="F13" s="94"/>
      <c r="G13" s="94"/>
      <c r="H13" s="94"/>
      <c r="I13" s="94"/>
      <c r="J13" s="94"/>
      <c r="K13" s="94"/>
      <c r="L13" s="94"/>
      <c r="M13" s="94"/>
      <c r="N13" s="94"/>
      <c r="O13" s="94"/>
      <c r="P13" s="94"/>
      <c r="Q13" s="94"/>
      <c r="R13" s="94"/>
    </row>
    <row r="14" spans="3:18" ht="12" x14ac:dyDescent="0.3">
      <c r="C14" s="124" t="s">
        <v>55</v>
      </c>
      <c r="D14" s="94"/>
      <c r="E14" s="94"/>
      <c r="F14" s="94"/>
      <c r="G14" s="94"/>
      <c r="H14" s="262" t="s">
        <v>286</v>
      </c>
      <c r="J14" s="265" t="s">
        <v>288</v>
      </c>
      <c r="L14" s="265" t="s">
        <v>289</v>
      </c>
      <c r="M14" s="94"/>
      <c r="N14" s="94"/>
      <c r="O14" s="94"/>
      <c r="P14" s="94"/>
      <c r="Q14" s="94"/>
      <c r="R14" s="94"/>
    </row>
    <row r="15" spans="3:18" ht="12" x14ac:dyDescent="0.3">
      <c r="C15" s="125" t="s">
        <v>59</v>
      </c>
      <c r="D15" s="94"/>
      <c r="E15" s="139">
        <f>'General inputs'!$H$18+1</f>
        <v>44378</v>
      </c>
      <c r="F15" s="94"/>
      <c r="G15" s="94"/>
      <c r="H15" s="263" t="s">
        <v>279</v>
      </c>
      <c r="I15" s="264">
        <f>SUMIF($B$22:$B$65,H15,$P$22:$P$65)/J22</f>
        <v>31700000</v>
      </c>
      <c r="J15" s="264">
        <v>31700000</v>
      </c>
      <c r="L15" s="273">
        <f>I15-J15</f>
        <v>0</v>
      </c>
      <c r="M15" s="94"/>
      <c r="N15" s="94"/>
      <c r="O15" s="94"/>
      <c r="P15" s="94"/>
      <c r="Q15" s="94"/>
      <c r="R15" s="94"/>
    </row>
    <row r="16" spans="3:18" ht="12" x14ac:dyDescent="0.3">
      <c r="C16" s="125"/>
      <c r="D16" s="94"/>
      <c r="E16" s="94"/>
      <c r="F16" s="94"/>
      <c r="G16" s="94"/>
      <c r="H16" s="265" t="s">
        <v>283</v>
      </c>
      <c r="I16" s="266">
        <f>SUMIF($B$22:$B$65,H16,$P$22:$P$65)/J22</f>
        <v>449237</v>
      </c>
      <c r="J16" s="266">
        <v>449237</v>
      </c>
      <c r="L16" s="274">
        <f t="shared" ref="L16:L17" si="0">I16-J16</f>
        <v>0</v>
      </c>
      <c r="M16" s="94"/>
      <c r="N16" s="94"/>
      <c r="O16" s="94"/>
      <c r="P16" s="94"/>
      <c r="Q16" s="94"/>
      <c r="R16" s="94"/>
    </row>
    <row r="17" spans="1:18" ht="12" x14ac:dyDescent="0.3">
      <c r="C17" s="94"/>
      <c r="D17" s="94"/>
      <c r="E17" s="94"/>
      <c r="F17" s="94"/>
      <c r="G17" s="94"/>
      <c r="H17" s="267" t="s">
        <v>285</v>
      </c>
      <c r="I17" s="268">
        <f>SUMIF($B$22:$B$65,H17,$P$22:$P$65)/J22</f>
        <v>0</v>
      </c>
      <c r="J17" s="268">
        <v>0</v>
      </c>
      <c r="L17" s="275">
        <f t="shared" si="0"/>
        <v>0</v>
      </c>
      <c r="M17" s="94"/>
      <c r="N17" s="94"/>
      <c r="O17" s="94"/>
      <c r="P17" s="94"/>
      <c r="Q17" s="94"/>
      <c r="R17" s="94"/>
    </row>
    <row r="18" spans="1:18" ht="15.5" x14ac:dyDescent="0.35">
      <c r="C18" s="235" t="s">
        <v>211</v>
      </c>
      <c r="E18" s="94"/>
      <c r="F18" s="94"/>
      <c r="G18" s="94"/>
      <c r="H18" s="265" t="s">
        <v>1083</v>
      </c>
      <c r="I18" s="264">
        <f>SUMIF($B$22:$B$65,H18,$P$22:$P$65)/J25</f>
        <v>0</v>
      </c>
      <c r="J18" s="264">
        <v>0</v>
      </c>
      <c r="K18" s="94"/>
      <c r="L18" s="273">
        <f>I18-J18</f>
        <v>0</v>
      </c>
      <c r="M18" s="94"/>
      <c r="N18" s="94"/>
      <c r="O18" s="94"/>
      <c r="P18" s="94"/>
      <c r="Q18" s="94"/>
      <c r="R18" s="94"/>
    </row>
    <row r="19" spans="1:18" x14ac:dyDescent="0.25">
      <c r="C19" s="94"/>
      <c r="D19" s="94"/>
      <c r="E19" s="94"/>
      <c r="F19" s="94"/>
      <c r="G19" s="94"/>
      <c r="H19" s="94"/>
      <c r="I19" s="94"/>
      <c r="J19" s="94"/>
      <c r="K19" s="94"/>
      <c r="L19" s="94"/>
      <c r="M19" s="94"/>
      <c r="N19" s="94"/>
      <c r="O19" s="94"/>
      <c r="P19" s="94"/>
      <c r="Q19" s="94"/>
      <c r="R19" s="94"/>
    </row>
    <row r="20" spans="1:18" x14ac:dyDescent="0.25">
      <c r="C20" s="124" t="s">
        <v>16</v>
      </c>
      <c r="D20" s="94"/>
      <c r="E20" s="94"/>
      <c r="F20" s="94"/>
      <c r="G20" s="94"/>
      <c r="H20" s="124" t="s">
        <v>17</v>
      </c>
      <c r="I20" s="94"/>
      <c r="J20" s="94"/>
      <c r="K20" s="94"/>
      <c r="L20" s="124" t="s">
        <v>18</v>
      </c>
      <c r="M20" s="124"/>
      <c r="N20" s="94"/>
      <c r="O20" s="94"/>
      <c r="P20" s="94"/>
      <c r="Q20" s="94"/>
      <c r="R20" s="94"/>
    </row>
    <row r="21" spans="1:18" ht="46" x14ac:dyDescent="0.25">
      <c r="C21" s="35" t="s">
        <v>13</v>
      </c>
      <c r="D21" s="35" t="s">
        <v>12</v>
      </c>
      <c r="E21" s="35" t="s">
        <v>14</v>
      </c>
      <c r="F21" s="35" t="s">
        <v>26</v>
      </c>
      <c r="G21" s="94"/>
      <c r="H21" s="35" t="s">
        <v>31</v>
      </c>
      <c r="I21" s="35" t="s">
        <v>90</v>
      </c>
      <c r="J21" s="35" t="s">
        <v>88</v>
      </c>
      <c r="K21" s="94"/>
      <c r="L21" s="35" t="s">
        <v>89</v>
      </c>
      <c r="M21" s="35" t="s">
        <v>114</v>
      </c>
      <c r="N21" s="35" t="str">
        <f>"MEERA value per unit/measure of length (B) 
("&amp;'General inputs'!$H$42&amp;" as at 1 July "&amp;LEFT('General inputs'!$I$40,4)&amp;")"</f>
        <v>MEERA value per unit/measure of length (B) 
($ as at 1 July 2022)</v>
      </c>
      <c r="O21" s="35" t="str">
        <f>"Total MEERA value (A x B)
("&amp;'General inputs'!$H$42&amp;", $"&amp;'General inputs'!$I$40&amp;")"</f>
        <v>Total MEERA value (A x B)
($, $2022-23)</v>
      </c>
      <c r="P21" s="35" t="str">
        <f>"MEERA value to be recovered via DSP ("&amp;'General inputs'!$H$42&amp;", $"&amp;'General inputs'!$I$40&amp;")"</f>
        <v>MEERA value to be recovered via DSP ($, $2022-23)</v>
      </c>
      <c r="Q21" s="94"/>
      <c r="R21" s="94"/>
    </row>
    <row r="22" spans="1:18" ht="27.65" customHeight="1" x14ac:dyDescent="0.25">
      <c r="C22" s="37"/>
      <c r="D22" s="159"/>
      <c r="E22" s="45"/>
      <c r="F22" s="129" t="str">
        <f t="shared" ref="F22:F30" si="1">IF(E22="","-",IF(E22&lt;$E$15,"ERROR - date outside of range",IF(MONTH(E22)&gt;=7,YEAR(E22)&amp;"-"&amp;RIGHT(YEAR(E22),2)+1,YEAR(E22)-1&amp;"-"&amp;RIGHT(YEAR(E22),2))))</f>
        <v>-</v>
      </c>
      <c r="G22" s="1"/>
      <c r="H22" s="160"/>
      <c r="I22" s="37"/>
      <c r="J22" s="138">
        <v>1</v>
      </c>
      <c r="K22" s="114"/>
      <c r="L22" s="37"/>
      <c r="M22" s="37"/>
      <c r="N22" s="37"/>
      <c r="O22" s="132" t="str">
        <f t="shared" ref="O22:O30" si="2">IF(N22="","-",L22*N22)</f>
        <v>-</v>
      </c>
      <c r="P22" s="134" t="str">
        <f t="shared" ref="P22:P30" si="3">IF(O22="-","-",IF(E22&lt;$E$15,0,O22*J22))</f>
        <v>-</v>
      </c>
      <c r="Q22" s="94"/>
      <c r="R22" s="94"/>
    </row>
    <row r="23" spans="1:18" x14ac:dyDescent="0.25">
      <c r="C23" s="37"/>
      <c r="D23" s="159"/>
      <c r="E23" s="45"/>
      <c r="F23" s="129" t="str">
        <f t="shared" ref="F23:F28" si="4">IF(E23="","-",IF(E23&lt;$E$15,"ERROR - date outside of range",IF(MONTH(E23)&gt;=7,YEAR(E23)&amp;"-"&amp;RIGHT(YEAR(E23),2)+1,YEAR(E23)-1&amp;"-"&amp;RIGHT(YEAR(E23),2))))</f>
        <v>-</v>
      </c>
      <c r="G23" s="1"/>
      <c r="H23" s="160"/>
      <c r="I23" s="37"/>
      <c r="J23" s="138">
        <f>J22</f>
        <v>1</v>
      </c>
      <c r="K23" s="114"/>
      <c r="L23" s="37"/>
      <c r="M23" s="37"/>
      <c r="N23" s="37"/>
      <c r="O23" s="132" t="str">
        <f t="shared" ref="O23:O28" si="5">IF(N23="","-",L23*N23)</f>
        <v>-</v>
      </c>
      <c r="P23" s="134" t="str">
        <f t="shared" ref="P23:P28" si="6">IF(O23="-","-",IF(E23&lt;$E$15,0,O23*J23))</f>
        <v>-</v>
      </c>
      <c r="Q23" s="94"/>
      <c r="R23" s="94"/>
    </row>
    <row r="24" spans="1:18" x14ac:dyDescent="0.25">
      <c r="C24" s="37"/>
      <c r="D24" s="159"/>
      <c r="E24" s="45"/>
      <c r="F24" s="129" t="str">
        <f t="shared" si="4"/>
        <v>-</v>
      </c>
      <c r="G24" s="1"/>
      <c r="H24" s="160"/>
      <c r="I24" s="37"/>
      <c r="J24" s="138">
        <f t="shared" ref="J24:J28" si="7">J23</f>
        <v>1</v>
      </c>
      <c r="K24" s="114"/>
      <c r="L24" s="37"/>
      <c r="M24" s="37"/>
      <c r="N24" s="37"/>
      <c r="O24" s="132" t="str">
        <f t="shared" si="5"/>
        <v>-</v>
      </c>
      <c r="P24" s="134" t="str">
        <f t="shared" si="6"/>
        <v>-</v>
      </c>
      <c r="Q24" s="94"/>
      <c r="R24" s="94"/>
    </row>
    <row r="25" spans="1:18" x14ac:dyDescent="0.25">
      <c r="C25" s="37"/>
      <c r="D25" s="159"/>
      <c r="E25" s="45"/>
      <c r="F25" s="129" t="str">
        <f t="shared" si="4"/>
        <v>-</v>
      </c>
      <c r="G25" s="1"/>
      <c r="H25" s="160"/>
      <c r="I25" s="37"/>
      <c r="J25" s="138">
        <f t="shared" si="7"/>
        <v>1</v>
      </c>
      <c r="K25" s="114"/>
      <c r="L25" s="37"/>
      <c r="M25" s="37"/>
      <c r="N25" s="37"/>
      <c r="O25" s="132" t="str">
        <f t="shared" si="5"/>
        <v>-</v>
      </c>
      <c r="P25" s="134" t="str">
        <f t="shared" si="6"/>
        <v>-</v>
      </c>
      <c r="Q25" s="94"/>
      <c r="R25" s="94"/>
    </row>
    <row r="26" spans="1:18" x14ac:dyDescent="0.25">
      <c r="C26" s="37"/>
      <c r="D26" s="159"/>
      <c r="E26" s="45"/>
      <c r="F26" s="129" t="str">
        <f t="shared" si="4"/>
        <v>-</v>
      </c>
      <c r="G26" s="1"/>
      <c r="H26" s="160"/>
      <c r="I26" s="37"/>
      <c r="J26" s="138">
        <f t="shared" si="7"/>
        <v>1</v>
      </c>
      <c r="K26" s="114"/>
      <c r="L26" s="37"/>
      <c r="M26" s="37"/>
      <c r="N26" s="37"/>
      <c r="O26" s="132" t="str">
        <f t="shared" si="5"/>
        <v>-</v>
      </c>
      <c r="P26" s="134" t="str">
        <f t="shared" si="6"/>
        <v>-</v>
      </c>
      <c r="Q26" s="94"/>
      <c r="R26" s="94"/>
    </row>
    <row r="27" spans="1:18" x14ac:dyDescent="0.25">
      <c r="C27" s="37"/>
      <c r="D27" s="159"/>
      <c r="E27" s="45"/>
      <c r="F27" s="129" t="str">
        <f t="shared" si="4"/>
        <v>-</v>
      </c>
      <c r="G27" s="1"/>
      <c r="H27" s="160"/>
      <c r="I27" s="37"/>
      <c r="J27" s="138">
        <f t="shared" si="7"/>
        <v>1</v>
      </c>
      <c r="K27" s="114"/>
      <c r="L27" s="37"/>
      <c r="M27" s="37"/>
      <c r="N27" s="37"/>
      <c r="O27" s="132" t="str">
        <f t="shared" si="5"/>
        <v>-</v>
      </c>
      <c r="P27" s="134" t="str">
        <f t="shared" si="6"/>
        <v>-</v>
      </c>
      <c r="Q27" s="94"/>
      <c r="R27" s="94"/>
    </row>
    <row r="28" spans="1:18" x14ac:dyDescent="0.25">
      <c r="A28" s="367">
        <v>2026</v>
      </c>
      <c r="B28" s="367" t="s">
        <v>1078</v>
      </c>
      <c r="C28" s="37"/>
      <c r="D28" s="159" t="s">
        <v>1079</v>
      </c>
      <c r="E28" s="45">
        <f t="shared" ref="E28" si="8">DATEVALUE("30 Jun "&amp;A28)</f>
        <v>46203</v>
      </c>
      <c r="F28" s="129" t="str">
        <f t="shared" si="4"/>
        <v>2025-26</v>
      </c>
      <c r="G28" s="1"/>
      <c r="H28" s="160"/>
      <c r="I28" s="37"/>
      <c r="J28" s="138">
        <f t="shared" si="7"/>
        <v>1</v>
      </c>
      <c r="K28" s="114"/>
      <c r="L28" s="37">
        <v>1</v>
      </c>
      <c r="M28" s="37" t="s">
        <v>1078</v>
      </c>
      <c r="N28" s="37">
        <v>31700000</v>
      </c>
      <c r="O28" s="132">
        <f t="shared" si="5"/>
        <v>31700000</v>
      </c>
      <c r="P28" s="134">
        <f t="shared" si="6"/>
        <v>31700000</v>
      </c>
      <c r="Q28" s="94"/>
      <c r="R28" s="94"/>
    </row>
    <row r="29" spans="1:18" x14ac:dyDescent="0.25">
      <c r="C29" s="37"/>
      <c r="D29" s="159"/>
      <c r="E29" s="45"/>
      <c r="F29" s="129"/>
      <c r="G29" s="1"/>
      <c r="H29" s="160"/>
      <c r="I29" s="37"/>
      <c r="J29" s="138"/>
      <c r="K29" s="114"/>
      <c r="L29" s="37"/>
      <c r="M29" s="37"/>
      <c r="N29" s="37"/>
      <c r="O29" s="132"/>
      <c r="P29" s="134"/>
      <c r="Q29" s="94"/>
      <c r="R29" s="94"/>
    </row>
    <row r="30" spans="1:18" x14ac:dyDescent="0.25">
      <c r="A30" s="367">
        <v>2022</v>
      </c>
      <c r="B30" s="367" t="s">
        <v>283</v>
      </c>
      <c r="C30" s="37" t="s">
        <v>1080</v>
      </c>
      <c r="D30" s="159" t="s">
        <v>1081</v>
      </c>
      <c r="E30" s="45">
        <f t="shared" ref="E30" si="9">DATEVALUE("30 Jun "&amp;A30)</f>
        <v>44742</v>
      </c>
      <c r="F30" s="129" t="str">
        <f t="shared" si="1"/>
        <v>2021-22</v>
      </c>
      <c r="G30" s="1"/>
      <c r="H30" s="160"/>
      <c r="I30" s="37"/>
      <c r="J30" s="138">
        <f>J22</f>
        <v>1</v>
      </c>
      <c r="K30" s="114"/>
      <c r="L30" s="37">
        <v>1</v>
      </c>
      <c r="M30" s="37" t="s">
        <v>1082</v>
      </c>
      <c r="N30" s="37">
        <v>449237</v>
      </c>
      <c r="O30" s="132">
        <f t="shared" si="2"/>
        <v>449237</v>
      </c>
      <c r="P30" s="134">
        <f t="shared" si="3"/>
        <v>449237</v>
      </c>
      <c r="Q30" s="94"/>
      <c r="R30" s="94"/>
    </row>
    <row r="31" spans="1:18" x14ac:dyDescent="0.25">
      <c r="C31" s="37"/>
      <c r="D31" s="159"/>
      <c r="E31" s="45"/>
      <c r="F31" s="129"/>
      <c r="G31" s="1"/>
      <c r="H31" s="160"/>
      <c r="I31" s="37"/>
      <c r="J31" s="138"/>
      <c r="K31" s="114"/>
      <c r="L31" s="37"/>
      <c r="M31" s="37"/>
      <c r="N31" s="37"/>
      <c r="O31" s="132"/>
      <c r="P31" s="134"/>
      <c r="Q31" s="94"/>
      <c r="R31" s="94"/>
    </row>
    <row r="32" spans="1:18" x14ac:dyDescent="0.25">
      <c r="C32" s="37"/>
      <c r="D32" s="159"/>
      <c r="E32" s="45"/>
      <c r="F32" s="129"/>
      <c r="G32" s="1"/>
      <c r="H32" s="160"/>
      <c r="I32" s="37"/>
      <c r="J32" s="138"/>
      <c r="K32" s="114"/>
      <c r="L32" s="37"/>
      <c r="M32" s="37"/>
      <c r="N32" s="37"/>
      <c r="O32" s="132"/>
      <c r="P32" s="134"/>
      <c r="Q32" s="94"/>
      <c r="R32" s="94"/>
    </row>
    <row r="33" spans="3:18" x14ac:dyDescent="0.25">
      <c r="C33" s="37"/>
      <c r="D33" s="159"/>
      <c r="E33" s="45"/>
      <c r="F33" s="129"/>
      <c r="G33" s="1"/>
      <c r="H33" s="160"/>
      <c r="I33" s="37"/>
      <c r="J33" s="138"/>
      <c r="K33" s="114"/>
      <c r="L33" s="37"/>
      <c r="M33" s="37"/>
      <c r="N33" s="37"/>
      <c r="O33" s="132"/>
      <c r="P33" s="134"/>
      <c r="Q33" s="94"/>
      <c r="R33" s="94"/>
    </row>
    <row r="34" spans="3:18" x14ac:dyDescent="0.25">
      <c r="C34" s="37"/>
      <c r="D34" s="159"/>
      <c r="E34" s="45"/>
      <c r="F34" s="129"/>
      <c r="G34" s="1"/>
      <c r="H34" s="160"/>
      <c r="I34" s="37"/>
      <c r="J34" s="138"/>
      <c r="K34" s="114"/>
      <c r="L34" s="37"/>
      <c r="M34" s="37"/>
      <c r="N34" s="37"/>
      <c r="O34" s="132"/>
      <c r="P34" s="134"/>
      <c r="Q34" s="94"/>
      <c r="R34" s="94"/>
    </row>
    <row r="35" spans="3:18" x14ac:dyDescent="0.25">
      <c r="C35" s="37"/>
      <c r="D35" s="159"/>
      <c r="E35" s="45"/>
      <c r="F35" s="129"/>
      <c r="G35" s="1"/>
      <c r="H35" s="160"/>
      <c r="I35" s="37"/>
      <c r="J35" s="138"/>
      <c r="K35" s="114"/>
      <c r="L35" s="37"/>
      <c r="M35" s="37"/>
      <c r="N35" s="37"/>
      <c r="O35" s="132"/>
      <c r="P35" s="134"/>
      <c r="Q35" s="94"/>
      <c r="R35" s="94"/>
    </row>
    <row r="36" spans="3:18" x14ac:dyDescent="0.25">
      <c r="C36" s="37"/>
      <c r="D36" s="159"/>
      <c r="E36" s="45"/>
      <c r="F36" s="129"/>
      <c r="G36" s="1"/>
      <c r="H36" s="160"/>
      <c r="I36" s="37"/>
      <c r="J36" s="138"/>
      <c r="K36" s="114"/>
      <c r="L36" s="37"/>
      <c r="M36" s="37"/>
      <c r="N36" s="37"/>
      <c r="O36" s="132"/>
      <c r="P36" s="134"/>
      <c r="Q36" s="94"/>
      <c r="R36" s="94"/>
    </row>
    <row r="37" spans="3:18" x14ac:dyDescent="0.25">
      <c r="C37" s="37"/>
      <c r="D37" s="159"/>
      <c r="E37" s="45"/>
      <c r="F37" s="129"/>
      <c r="G37" s="1"/>
      <c r="H37" s="160"/>
      <c r="I37" s="37"/>
      <c r="J37" s="138"/>
      <c r="K37" s="114"/>
      <c r="L37" s="37"/>
      <c r="M37" s="37"/>
      <c r="N37" s="37"/>
      <c r="O37" s="132"/>
      <c r="P37" s="134"/>
      <c r="Q37" s="94"/>
      <c r="R37" s="94"/>
    </row>
    <row r="38" spans="3:18" x14ac:dyDescent="0.25">
      <c r="C38" s="37"/>
      <c r="D38" s="159"/>
      <c r="E38" s="45"/>
      <c r="F38" s="129"/>
      <c r="G38" s="1"/>
      <c r="H38" s="160"/>
      <c r="I38" s="37"/>
      <c r="J38" s="138"/>
      <c r="K38" s="114"/>
      <c r="L38" s="37"/>
      <c r="M38" s="37"/>
      <c r="N38" s="37"/>
      <c r="O38" s="132"/>
      <c r="P38" s="134"/>
      <c r="Q38" s="94"/>
      <c r="R38" s="94"/>
    </row>
    <row r="39" spans="3:18" x14ac:dyDescent="0.25">
      <c r="C39" s="37"/>
      <c r="D39" s="159"/>
      <c r="E39" s="45"/>
      <c r="F39" s="129"/>
      <c r="G39" s="1"/>
      <c r="H39" s="160"/>
      <c r="I39" s="37"/>
      <c r="J39" s="138"/>
      <c r="K39" s="114"/>
      <c r="L39" s="37"/>
      <c r="M39" s="37"/>
      <c r="N39" s="37"/>
      <c r="O39" s="132"/>
      <c r="P39" s="134"/>
      <c r="Q39" s="94"/>
      <c r="R39" s="94"/>
    </row>
    <row r="40" spans="3:18" x14ac:dyDescent="0.25">
      <c r="C40" s="37"/>
      <c r="D40" s="159"/>
      <c r="E40" s="45"/>
      <c r="F40" s="129"/>
      <c r="G40" s="1"/>
      <c r="H40" s="160"/>
      <c r="I40" s="37"/>
      <c r="J40" s="138"/>
      <c r="K40" s="114"/>
      <c r="L40" s="37"/>
      <c r="M40" s="37"/>
      <c r="N40" s="37"/>
      <c r="O40" s="132"/>
      <c r="P40" s="134"/>
      <c r="Q40" s="94"/>
      <c r="R40" s="94"/>
    </row>
    <row r="41" spans="3:18" x14ac:dyDescent="0.25">
      <c r="C41" s="37"/>
      <c r="D41" s="159"/>
      <c r="E41" s="45"/>
      <c r="F41" s="129"/>
      <c r="G41" s="1"/>
      <c r="H41" s="160"/>
      <c r="I41" s="37"/>
      <c r="J41" s="138"/>
      <c r="K41" s="114"/>
      <c r="L41" s="37"/>
      <c r="M41" s="37"/>
      <c r="N41" s="37"/>
      <c r="O41" s="132"/>
      <c r="P41" s="134"/>
      <c r="Q41" s="94"/>
      <c r="R41" s="94"/>
    </row>
    <row r="42" spans="3:18" x14ac:dyDescent="0.25">
      <c r="C42" s="37"/>
      <c r="D42" s="159"/>
      <c r="E42" s="45"/>
      <c r="F42" s="129"/>
      <c r="G42" s="1"/>
      <c r="H42" s="160"/>
      <c r="I42" s="37"/>
      <c r="J42" s="138"/>
      <c r="K42" s="114"/>
      <c r="L42" s="37"/>
      <c r="M42" s="37"/>
      <c r="N42" s="37"/>
      <c r="O42" s="132"/>
      <c r="P42" s="134"/>
      <c r="Q42" s="94"/>
      <c r="R42" s="94"/>
    </row>
    <row r="43" spans="3:18" x14ac:dyDescent="0.25">
      <c r="C43" s="37"/>
      <c r="D43" s="159"/>
      <c r="E43" s="45"/>
      <c r="F43" s="129"/>
      <c r="G43" s="1"/>
      <c r="H43" s="160"/>
      <c r="I43" s="37"/>
      <c r="J43" s="138"/>
      <c r="K43" s="114"/>
      <c r="L43" s="37"/>
      <c r="M43" s="37"/>
      <c r="N43" s="37"/>
      <c r="O43" s="132"/>
      <c r="P43" s="134"/>
      <c r="Q43" s="94"/>
      <c r="R43" s="94"/>
    </row>
    <row r="44" spans="3:18" x14ac:dyDescent="0.25">
      <c r="C44" s="37"/>
      <c r="D44" s="159"/>
      <c r="E44" s="45"/>
      <c r="F44" s="129"/>
      <c r="G44" s="1"/>
      <c r="H44" s="160"/>
      <c r="I44" s="37"/>
      <c r="J44" s="138"/>
      <c r="K44" s="114"/>
      <c r="L44" s="37"/>
      <c r="M44" s="37"/>
      <c r="N44" s="37"/>
      <c r="O44" s="132"/>
      <c r="P44" s="134"/>
      <c r="Q44" s="94"/>
      <c r="R44" s="94"/>
    </row>
    <row r="45" spans="3:18" x14ac:dyDescent="0.25">
      <c r="C45" s="37"/>
      <c r="D45" s="159"/>
      <c r="E45" s="45"/>
      <c r="F45" s="129"/>
      <c r="G45" s="1"/>
      <c r="H45" s="160"/>
      <c r="I45" s="37"/>
      <c r="J45" s="138"/>
      <c r="K45" s="114"/>
      <c r="L45" s="37"/>
      <c r="M45" s="37"/>
      <c r="N45" s="37"/>
      <c r="O45" s="132"/>
      <c r="P45" s="134"/>
      <c r="Q45" s="94"/>
      <c r="R45" s="94"/>
    </row>
    <row r="46" spans="3:18" x14ac:dyDescent="0.25">
      <c r="C46" s="37"/>
      <c r="D46" s="159"/>
      <c r="E46" s="45"/>
      <c r="F46" s="129"/>
      <c r="G46" s="1"/>
      <c r="H46" s="160"/>
      <c r="I46" s="37"/>
      <c r="J46" s="138"/>
      <c r="K46" s="114"/>
      <c r="L46" s="37"/>
      <c r="M46" s="37"/>
      <c r="N46" s="37"/>
      <c r="O46" s="132"/>
      <c r="P46" s="134"/>
      <c r="Q46" s="94"/>
      <c r="R46" s="94"/>
    </row>
    <row r="47" spans="3:18" x14ac:dyDescent="0.25">
      <c r="C47" s="37"/>
      <c r="D47" s="159"/>
      <c r="E47" s="45"/>
      <c r="F47" s="129"/>
      <c r="G47" s="1"/>
      <c r="H47" s="160"/>
      <c r="I47" s="37"/>
      <c r="J47" s="138"/>
      <c r="K47" s="114"/>
      <c r="L47" s="37"/>
      <c r="M47" s="37"/>
      <c r="N47" s="37"/>
      <c r="O47" s="132"/>
      <c r="P47" s="134"/>
      <c r="Q47" s="94"/>
      <c r="R47" s="94"/>
    </row>
    <row r="48" spans="3:18" x14ac:dyDescent="0.25">
      <c r="C48" s="37"/>
      <c r="D48" s="159"/>
      <c r="E48" s="45"/>
      <c r="F48" s="129"/>
      <c r="G48" s="1"/>
      <c r="H48" s="160"/>
      <c r="I48" s="37"/>
      <c r="J48" s="138"/>
      <c r="K48" s="114"/>
      <c r="L48" s="37"/>
      <c r="M48" s="37"/>
      <c r="N48" s="37"/>
      <c r="O48" s="132"/>
      <c r="P48" s="134"/>
      <c r="Q48" s="94"/>
      <c r="R48" s="94"/>
    </row>
    <row r="49" spans="3:18" x14ac:dyDescent="0.25">
      <c r="C49" s="37"/>
      <c r="D49" s="159"/>
      <c r="E49" s="45"/>
      <c r="F49" s="129"/>
      <c r="G49" s="1"/>
      <c r="H49" s="160"/>
      <c r="I49" s="37"/>
      <c r="J49" s="138"/>
      <c r="K49" s="114"/>
      <c r="L49" s="37"/>
      <c r="M49" s="37"/>
      <c r="N49" s="37"/>
      <c r="O49" s="132"/>
      <c r="P49" s="134"/>
      <c r="Q49" s="94"/>
      <c r="R49" s="94"/>
    </row>
    <row r="50" spans="3:18" x14ac:dyDescent="0.25">
      <c r="C50" s="37"/>
      <c r="D50" s="159"/>
      <c r="E50" s="45"/>
      <c r="F50" s="129"/>
      <c r="G50" s="1"/>
      <c r="H50" s="160"/>
      <c r="I50" s="37"/>
      <c r="J50" s="138"/>
      <c r="K50" s="114"/>
      <c r="L50" s="37"/>
      <c r="M50" s="37"/>
      <c r="N50" s="37"/>
      <c r="O50" s="132"/>
      <c r="P50" s="134"/>
      <c r="Q50" s="94"/>
      <c r="R50" s="94"/>
    </row>
    <row r="51" spans="3:18" x14ac:dyDescent="0.25">
      <c r="C51" s="37"/>
      <c r="D51" s="159"/>
      <c r="E51" s="45"/>
      <c r="F51" s="129"/>
      <c r="G51" s="1"/>
      <c r="H51" s="160"/>
      <c r="I51" s="37"/>
      <c r="J51" s="138"/>
      <c r="K51" s="114"/>
      <c r="L51" s="37"/>
      <c r="M51" s="37"/>
      <c r="N51" s="37"/>
      <c r="O51" s="132"/>
      <c r="P51" s="134"/>
      <c r="Q51" s="94"/>
      <c r="R51" s="94"/>
    </row>
    <row r="52" spans="3:18" x14ac:dyDescent="0.25">
      <c r="C52" s="37"/>
      <c r="D52" s="159"/>
      <c r="E52" s="45"/>
      <c r="F52" s="129"/>
      <c r="G52" s="1"/>
      <c r="H52" s="160"/>
      <c r="I52" s="37"/>
      <c r="J52" s="138"/>
      <c r="K52" s="114"/>
      <c r="L52" s="37"/>
      <c r="M52" s="37"/>
      <c r="N52" s="37"/>
      <c r="O52" s="132"/>
      <c r="P52" s="134"/>
      <c r="Q52" s="94"/>
      <c r="R52" s="94"/>
    </row>
    <row r="53" spans="3:18" x14ac:dyDescent="0.25">
      <c r="C53" s="37"/>
      <c r="D53" s="159"/>
      <c r="E53" s="45"/>
      <c r="F53" s="129"/>
      <c r="G53" s="1"/>
      <c r="H53" s="160"/>
      <c r="I53" s="37"/>
      <c r="J53" s="138"/>
      <c r="K53" s="114"/>
      <c r="L53" s="37"/>
      <c r="M53" s="37"/>
      <c r="N53" s="37"/>
      <c r="O53" s="132"/>
      <c r="P53" s="134"/>
      <c r="Q53" s="94"/>
      <c r="R53" s="94"/>
    </row>
    <row r="54" spans="3:18" x14ac:dyDescent="0.25">
      <c r="C54" s="37"/>
      <c r="D54" s="159"/>
      <c r="E54" s="45"/>
      <c r="F54" s="129"/>
      <c r="G54" s="1"/>
      <c r="H54" s="160"/>
      <c r="I54" s="37"/>
      <c r="J54" s="138"/>
      <c r="K54" s="114"/>
      <c r="L54" s="37"/>
      <c r="M54" s="37"/>
      <c r="N54" s="37"/>
      <c r="O54" s="132"/>
      <c r="P54" s="134"/>
      <c r="Q54" s="94"/>
      <c r="R54" s="94"/>
    </row>
    <row r="55" spans="3:18" x14ac:dyDescent="0.25">
      <c r="C55" s="37"/>
      <c r="D55" s="159"/>
      <c r="E55" s="45"/>
      <c r="F55" s="129"/>
      <c r="G55" s="1"/>
      <c r="H55" s="160"/>
      <c r="I55" s="37"/>
      <c r="J55" s="138"/>
      <c r="K55" s="114"/>
      <c r="L55" s="37"/>
      <c r="M55" s="37"/>
      <c r="N55" s="37"/>
      <c r="O55" s="132"/>
      <c r="P55" s="134"/>
      <c r="Q55" s="94"/>
      <c r="R55" s="94"/>
    </row>
    <row r="56" spans="3:18" x14ac:dyDescent="0.25">
      <c r="C56" s="37"/>
      <c r="D56" s="159"/>
      <c r="E56" s="45"/>
      <c r="F56" s="129"/>
      <c r="G56" s="1"/>
      <c r="H56" s="160"/>
      <c r="I56" s="37"/>
      <c r="J56" s="138"/>
      <c r="K56" s="114"/>
      <c r="L56" s="37"/>
      <c r="M56" s="37"/>
      <c r="N56" s="37"/>
      <c r="O56" s="132"/>
      <c r="P56" s="134"/>
      <c r="Q56" s="94"/>
      <c r="R56" s="94"/>
    </row>
    <row r="57" spans="3:18" x14ac:dyDescent="0.25">
      <c r="C57" s="37"/>
      <c r="D57" s="159"/>
      <c r="E57" s="45"/>
      <c r="F57" s="129"/>
      <c r="G57" s="1"/>
      <c r="H57" s="160"/>
      <c r="I57" s="37"/>
      <c r="J57" s="138"/>
      <c r="K57" s="114"/>
      <c r="L57" s="37"/>
      <c r="M57" s="37"/>
      <c r="N57" s="37"/>
      <c r="O57" s="132"/>
      <c r="P57" s="134"/>
      <c r="Q57" s="94"/>
      <c r="R57" s="94"/>
    </row>
    <row r="58" spans="3:18" x14ac:dyDescent="0.25">
      <c r="C58" s="37"/>
      <c r="D58" s="159"/>
      <c r="E58" s="45"/>
      <c r="F58" s="129"/>
      <c r="G58" s="1"/>
      <c r="H58" s="160"/>
      <c r="I58" s="37"/>
      <c r="J58" s="138"/>
      <c r="K58" s="114"/>
      <c r="L58" s="37"/>
      <c r="M58" s="37"/>
      <c r="N58" s="37"/>
      <c r="O58" s="132"/>
      <c r="P58" s="134"/>
      <c r="Q58" s="94"/>
      <c r="R58" s="94"/>
    </row>
    <row r="59" spans="3:18" x14ac:dyDescent="0.25">
      <c r="C59" s="37"/>
      <c r="D59" s="159"/>
      <c r="E59" s="45"/>
      <c r="F59" s="129"/>
      <c r="G59" s="1"/>
      <c r="H59" s="160"/>
      <c r="I59" s="37"/>
      <c r="J59" s="138"/>
      <c r="K59" s="114"/>
      <c r="L59" s="37"/>
      <c r="M59" s="37"/>
      <c r="N59" s="37"/>
      <c r="O59" s="132"/>
      <c r="P59" s="134"/>
      <c r="Q59" s="94"/>
      <c r="R59" s="94"/>
    </row>
    <row r="60" spans="3:18" x14ac:dyDescent="0.25">
      <c r="C60" s="37"/>
      <c r="D60" s="159"/>
      <c r="E60" s="45"/>
      <c r="F60" s="129"/>
      <c r="G60" s="1"/>
      <c r="H60" s="160"/>
      <c r="I60" s="37"/>
      <c r="J60" s="138"/>
      <c r="K60" s="114"/>
      <c r="L60" s="37"/>
      <c r="M60" s="37"/>
      <c r="N60" s="37"/>
      <c r="O60" s="132"/>
      <c r="P60" s="134"/>
      <c r="Q60" s="94"/>
      <c r="R60" s="94"/>
    </row>
    <row r="61" spans="3:18" x14ac:dyDescent="0.25">
      <c r="C61" s="37"/>
      <c r="D61" s="159"/>
      <c r="E61" s="45"/>
      <c r="F61" s="129"/>
      <c r="G61" s="1"/>
      <c r="H61" s="160"/>
      <c r="I61" s="37"/>
      <c r="J61" s="138"/>
      <c r="K61" s="114"/>
      <c r="L61" s="37"/>
      <c r="M61" s="37"/>
      <c r="N61" s="37"/>
      <c r="O61" s="132"/>
      <c r="P61" s="134"/>
      <c r="Q61" s="94"/>
      <c r="R61" s="94"/>
    </row>
    <row r="62" spans="3:18" x14ac:dyDescent="0.25">
      <c r="C62" s="37"/>
      <c r="D62" s="159"/>
      <c r="E62" s="45"/>
      <c r="F62" s="129"/>
      <c r="G62" s="1"/>
      <c r="H62" s="160"/>
      <c r="I62" s="37"/>
      <c r="J62" s="138"/>
      <c r="K62" s="114"/>
      <c r="L62" s="37"/>
      <c r="M62" s="37"/>
      <c r="N62" s="37"/>
      <c r="O62" s="132"/>
      <c r="P62" s="134"/>
      <c r="Q62" s="94"/>
      <c r="R62" s="94"/>
    </row>
    <row r="63" spans="3:18" x14ac:dyDescent="0.25">
      <c r="C63" s="37"/>
      <c r="D63" s="159"/>
      <c r="E63" s="45"/>
      <c r="F63" s="129"/>
      <c r="G63" s="1"/>
      <c r="H63" s="160"/>
      <c r="I63" s="37"/>
      <c r="J63" s="138"/>
      <c r="K63" s="114"/>
      <c r="L63" s="37"/>
      <c r="M63" s="37"/>
      <c r="N63" s="37"/>
      <c r="O63" s="132"/>
      <c r="P63" s="134"/>
      <c r="Q63" s="94"/>
      <c r="R63" s="94"/>
    </row>
    <row r="64" spans="3:18" x14ac:dyDescent="0.25">
      <c r="C64" s="37"/>
      <c r="D64" s="159"/>
      <c r="E64" s="45"/>
      <c r="F64" s="129"/>
      <c r="G64" s="1"/>
      <c r="H64" s="160"/>
      <c r="I64" s="37"/>
      <c r="J64" s="138"/>
      <c r="K64" s="114"/>
      <c r="L64" s="37"/>
      <c r="M64" s="37"/>
      <c r="N64" s="37"/>
      <c r="O64" s="132"/>
      <c r="P64" s="134"/>
      <c r="Q64" s="94"/>
      <c r="R64" s="94"/>
    </row>
    <row r="65" spans="3:18" x14ac:dyDescent="0.25">
      <c r="C65" s="37"/>
      <c r="D65" s="159"/>
      <c r="E65" s="45"/>
      <c r="F65" s="129"/>
      <c r="G65" s="1"/>
      <c r="H65" s="160"/>
      <c r="I65" s="37"/>
      <c r="J65" s="138"/>
      <c r="K65" s="114"/>
      <c r="L65" s="37"/>
      <c r="M65" s="37"/>
      <c r="N65" s="37"/>
      <c r="O65" s="132"/>
      <c r="P65" s="134"/>
      <c r="Q65" s="94"/>
      <c r="R65" s="94"/>
    </row>
    <row r="66" spans="3:18" x14ac:dyDescent="0.25">
      <c r="C66" s="37"/>
      <c r="D66" s="159"/>
      <c r="E66" s="45"/>
      <c r="F66" s="129"/>
      <c r="G66" s="1"/>
      <c r="H66" s="160"/>
      <c r="I66" s="37"/>
      <c r="J66" s="138"/>
      <c r="K66" s="114"/>
      <c r="L66" s="37"/>
      <c r="M66" s="37"/>
      <c r="N66" s="37"/>
      <c r="O66" s="132"/>
      <c r="P66" s="134"/>
      <c r="Q66" s="94"/>
      <c r="R66" s="94"/>
    </row>
    <row r="67" spans="3:18" x14ac:dyDescent="0.25">
      <c r="C67" s="37"/>
      <c r="D67" s="159"/>
      <c r="E67" s="45"/>
      <c r="F67" s="129"/>
      <c r="G67" s="1"/>
      <c r="H67" s="160"/>
      <c r="I67" s="37"/>
      <c r="J67" s="138"/>
      <c r="K67" s="114"/>
      <c r="L67" s="37"/>
      <c r="M67" s="37"/>
      <c r="N67" s="37"/>
      <c r="O67" s="132"/>
      <c r="P67" s="134"/>
      <c r="Q67" s="94"/>
      <c r="R67" s="94"/>
    </row>
    <row r="68" spans="3:18" x14ac:dyDescent="0.25">
      <c r="C68" s="37"/>
      <c r="D68" s="159"/>
      <c r="E68" s="45"/>
      <c r="F68" s="129"/>
      <c r="G68" s="1"/>
      <c r="H68" s="160"/>
      <c r="I68" s="37"/>
      <c r="J68" s="138"/>
      <c r="K68" s="114"/>
      <c r="L68" s="37"/>
      <c r="M68" s="37"/>
      <c r="N68" s="37"/>
      <c r="O68" s="132"/>
      <c r="P68" s="134"/>
      <c r="Q68" s="94"/>
      <c r="R68" s="94"/>
    </row>
    <row r="69" spans="3:18" x14ac:dyDescent="0.25">
      <c r="C69" s="37"/>
      <c r="D69" s="159"/>
      <c r="E69" s="45"/>
      <c r="F69" s="129"/>
      <c r="G69" s="1"/>
      <c r="H69" s="160"/>
      <c r="I69" s="37"/>
      <c r="J69" s="138"/>
      <c r="K69" s="114"/>
      <c r="L69" s="37"/>
      <c r="M69" s="37"/>
      <c r="N69" s="37"/>
      <c r="O69" s="132"/>
      <c r="P69" s="134"/>
      <c r="Q69" s="94"/>
      <c r="R69" s="94"/>
    </row>
    <row r="70" spans="3:18" x14ac:dyDescent="0.25">
      <c r="C70" s="37"/>
      <c r="D70" s="159"/>
      <c r="E70" s="45"/>
      <c r="F70" s="129"/>
      <c r="G70" s="1"/>
      <c r="H70" s="160"/>
      <c r="I70" s="37"/>
      <c r="J70" s="138"/>
      <c r="K70" s="114"/>
      <c r="L70" s="37"/>
      <c r="M70" s="37"/>
      <c r="N70" s="37"/>
      <c r="O70" s="132"/>
      <c r="P70" s="134"/>
      <c r="Q70" s="94"/>
      <c r="R70" s="94"/>
    </row>
    <row r="71" spans="3:18" x14ac:dyDescent="0.25">
      <c r="C71" s="37"/>
      <c r="D71" s="159"/>
      <c r="E71" s="45"/>
      <c r="F71" s="129"/>
      <c r="G71" s="1"/>
      <c r="H71" s="160"/>
      <c r="I71" s="37"/>
      <c r="J71" s="138"/>
      <c r="K71" s="114"/>
      <c r="L71" s="37"/>
      <c r="M71" s="37"/>
      <c r="N71" s="37"/>
      <c r="O71" s="132"/>
      <c r="P71" s="134"/>
      <c r="Q71" s="94"/>
      <c r="R71" s="94"/>
    </row>
    <row r="72" spans="3:18" x14ac:dyDescent="0.25">
      <c r="C72" s="37"/>
      <c r="D72" s="159"/>
      <c r="E72" s="45"/>
      <c r="F72" s="129"/>
      <c r="G72" s="1"/>
      <c r="H72" s="160"/>
      <c r="I72" s="37"/>
      <c r="J72" s="138"/>
      <c r="K72" s="114"/>
      <c r="L72" s="37"/>
      <c r="M72" s="37"/>
      <c r="N72" s="37"/>
      <c r="O72" s="132"/>
      <c r="P72" s="134"/>
      <c r="Q72" s="94"/>
      <c r="R72" s="94"/>
    </row>
    <row r="73" spans="3:18" x14ac:dyDescent="0.25">
      <c r="C73" s="37"/>
      <c r="D73" s="159"/>
      <c r="E73" s="45"/>
      <c r="F73" s="129"/>
      <c r="G73" s="1"/>
      <c r="H73" s="160"/>
      <c r="I73" s="37"/>
      <c r="J73" s="138"/>
      <c r="K73" s="114"/>
      <c r="L73" s="37"/>
      <c r="M73" s="37"/>
      <c r="N73" s="37"/>
      <c r="O73" s="132"/>
      <c r="P73" s="134"/>
      <c r="Q73" s="94"/>
      <c r="R73" s="94"/>
    </row>
    <row r="74" spans="3:18" x14ac:dyDescent="0.25">
      <c r="C74" s="37"/>
      <c r="D74" s="159"/>
      <c r="E74" s="45"/>
      <c r="F74" s="129"/>
      <c r="G74" s="1"/>
      <c r="H74" s="160"/>
      <c r="I74" s="37"/>
      <c r="J74" s="138"/>
      <c r="K74" s="114"/>
      <c r="L74" s="37"/>
      <c r="M74" s="37"/>
      <c r="N74" s="37"/>
      <c r="O74" s="132"/>
      <c r="P74" s="134"/>
      <c r="Q74" s="94"/>
      <c r="R74" s="94"/>
    </row>
    <row r="75" spans="3:18" x14ac:dyDescent="0.25">
      <c r="C75" s="37"/>
      <c r="D75" s="159"/>
      <c r="E75" s="45"/>
      <c r="F75" s="129"/>
      <c r="G75" s="1"/>
      <c r="H75" s="160"/>
      <c r="I75" s="37"/>
      <c r="J75" s="138"/>
      <c r="K75" s="114"/>
      <c r="L75" s="37"/>
      <c r="M75" s="37"/>
      <c r="N75" s="37"/>
      <c r="O75" s="132"/>
      <c r="P75" s="134"/>
      <c r="Q75" s="94"/>
      <c r="R75" s="94"/>
    </row>
    <row r="76" spans="3:18" x14ac:dyDescent="0.25">
      <c r="C76" s="37"/>
      <c r="D76" s="159"/>
      <c r="E76" s="45"/>
      <c r="F76" s="129"/>
      <c r="G76" s="1"/>
      <c r="H76" s="160"/>
      <c r="I76" s="37"/>
      <c r="J76" s="138"/>
      <c r="K76" s="114"/>
      <c r="L76" s="37"/>
      <c r="M76" s="37"/>
      <c r="N76" s="37"/>
      <c r="O76" s="132"/>
      <c r="P76" s="134"/>
      <c r="Q76" s="94"/>
      <c r="R76" s="94"/>
    </row>
    <row r="77" spans="3:18" x14ac:dyDescent="0.25">
      <c r="C77" s="37"/>
      <c r="D77" s="159"/>
      <c r="E77" s="45"/>
      <c r="F77" s="129"/>
      <c r="G77" s="1"/>
      <c r="H77" s="160"/>
      <c r="I77" s="37"/>
      <c r="J77" s="138"/>
      <c r="K77" s="114"/>
      <c r="L77" s="37"/>
      <c r="M77" s="37"/>
      <c r="N77" s="37"/>
      <c r="O77" s="132"/>
      <c r="P77" s="134"/>
      <c r="Q77" s="94"/>
      <c r="R77" s="94"/>
    </row>
    <row r="78" spans="3:18" x14ac:dyDescent="0.25">
      <c r="C78" s="37"/>
      <c r="D78" s="159"/>
      <c r="E78" s="45"/>
      <c r="F78" s="129"/>
      <c r="G78" s="1"/>
      <c r="H78" s="160"/>
      <c r="I78" s="37"/>
      <c r="J78" s="138"/>
      <c r="K78" s="114"/>
      <c r="L78" s="37"/>
      <c r="M78" s="37"/>
      <c r="N78" s="37"/>
      <c r="O78" s="132"/>
      <c r="P78" s="134"/>
      <c r="Q78" s="94"/>
      <c r="R78" s="94"/>
    </row>
    <row r="79" spans="3:18" x14ac:dyDescent="0.25">
      <c r="C79" s="37"/>
      <c r="D79" s="159"/>
      <c r="E79" s="45"/>
      <c r="F79" s="129"/>
      <c r="G79" s="1"/>
      <c r="H79" s="160"/>
      <c r="I79" s="37"/>
      <c r="J79" s="138"/>
      <c r="K79" s="114"/>
      <c r="L79" s="37"/>
      <c r="M79" s="37"/>
      <c r="N79" s="37"/>
      <c r="O79" s="132"/>
      <c r="P79" s="134"/>
      <c r="Q79" s="94"/>
      <c r="R79" s="94"/>
    </row>
    <row r="80" spans="3:18" x14ac:dyDescent="0.25">
      <c r="C80" s="37"/>
      <c r="D80" s="159"/>
      <c r="E80" s="45"/>
      <c r="F80" s="129"/>
      <c r="G80" s="1"/>
      <c r="H80" s="160"/>
      <c r="I80" s="37"/>
      <c r="J80" s="138"/>
      <c r="K80" s="114"/>
      <c r="L80" s="37"/>
      <c r="M80" s="37"/>
      <c r="N80" s="37"/>
      <c r="O80" s="132"/>
      <c r="P80" s="134"/>
      <c r="Q80" s="94"/>
      <c r="R80" s="94"/>
    </row>
    <row r="81" spans="3:18" x14ac:dyDescent="0.25">
      <c r="C81" s="37"/>
      <c r="D81" s="159"/>
      <c r="E81" s="45"/>
      <c r="F81" s="129"/>
      <c r="G81" s="1"/>
      <c r="H81" s="160"/>
      <c r="I81" s="37"/>
      <c r="J81" s="138"/>
      <c r="K81" s="114"/>
      <c r="L81" s="37"/>
      <c r="M81" s="37"/>
      <c r="N81" s="37"/>
      <c r="O81" s="132"/>
      <c r="P81" s="134"/>
      <c r="Q81" s="94"/>
      <c r="R81" s="94"/>
    </row>
    <row r="82" spans="3:18" x14ac:dyDescent="0.25">
      <c r="C82" s="37"/>
      <c r="D82" s="159"/>
      <c r="E82" s="45"/>
      <c r="F82" s="129"/>
      <c r="G82" s="1"/>
      <c r="H82" s="160"/>
      <c r="I82" s="37"/>
      <c r="J82" s="138"/>
      <c r="K82" s="114"/>
      <c r="L82" s="37"/>
      <c r="M82" s="37"/>
      <c r="N82" s="37"/>
      <c r="O82" s="132"/>
      <c r="P82" s="134"/>
      <c r="Q82" s="94"/>
      <c r="R82" s="94"/>
    </row>
    <row r="83" spans="3:18" x14ac:dyDescent="0.25">
      <c r="C83" s="37"/>
      <c r="D83" s="159"/>
      <c r="E83" s="45"/>
      <c r="F83" s="129"/>
      <c r="G83" s="1"/>
      <c r="H83" s="160"/>
      <c r="I83" s="37"/>
      <c r="J83" s="138"/>
      <c r="K83" s="114"/>
      <c r="L83" s="37"/>
      <c r="M83" s="37"/>
      <c r="N83" s="37"/>
      <c r="O83" s="132"/>
      <c r="P83" s="134"/>
      <c r="Q83" s="94"/>
      <c r="R83" s="94"/>
    </row>
    <row r="84" spans="3:18" x14ac:dyDescent="0.25">
      <c r="C84" s="37"/>
      <c r="D84" s="159"/>
      <c r="E84" s="45"/>
      <c r="F84" s="129"/>
      <c r="G84" s="1"/>
      <c r="H84" s="160"/>
      <c r="I84" s="37"/>
      <c r="J84" s="138"/>
      <c r="K84" s="114"/>
      <c r="L84" s="37"/>
      <c r="M84" s="37"/>
      <c r="N84" s="37"/>
      <c r="O84" s="132"/>
      <c r="P84" s="134"/>
      <c r="Q84" s="94"/>
      <c r="R84" s="94"/>
    </row>
    <row r="85" spans="3:18" x14ac:dyDescent="0.25">
      <c r="C85" s="37"/>
      <c r="D85" s="159"/>
      <c r="E85" s="45"/>
      <c r="F85" s="129"/>
      <c r="G85" s="1"/>
      <c r="H85" s="160"/>
      <c r="I85" s="37"/>
      <c r="J85" s="138"/>
      <c r="K85" s="114"/>
      <c r="L85" s="37"/>
      <c r="M85" s="37"/>
      <c r="N85" s="37"/>
      <c r="O85" s="132"/>
      <c r="P85" s="134"/>
      <c r="Q85" s="94"/>
      <c r="R85" s="94"/>
    </row>
    <row r="86" spans="3:18" x14ac:dyDescent="0.25">
      <c r="C86" s="37"/>
      <c r="D86" s="159"/>
      <c r="E86" s="45"/>
      <c r="F86" s="129"/>
      <c r="G86" s="1"/>
      <c r="H86" s="160"/>
      <c r="I86" s="37"/>
      <c r="J86" s="138"/>
      <c r="K86" s="114"/>
      <c r="L86" s="37"/>
      <c r="M86" s="37"/>
      <c r="N86" s="37"/>
      <c r="O86" s="132"/>
      <c r="P86" s="134"/>
      <c r="Q86" s="94"/>
      <c r="R86" s="94"/>
    </row>
    <row r="87" spans="3:18" x14ac:dyDescent="0.25">
      <c r="C87" s="37"/>
      <c r="D87" s="159"/>
      <c r="E87" s="45"/>
      <c r="F87" s="129"/>
      <c r="G87" s="1"/>
      <c r="H87" s="160"/>
      <c r="I87" s="37"/>
      <c r="J87" s="138"/>
      <c r="K87" s="114"/>
      <c r="L87" s="37"/>
      <c r="M87" s="37"/>
      <c r="N87" s="37"/>
      <c r="O87" s="132"/>
      <c r="P87" s="134"/>
      <c r="Q87" s="94"/>
      <c r="R87" s="94"/>
    </row>
    <row r="88" spans="3:18" x14ac:dyDescent="0.25">
      <c r="C88" s="37"/>
      <c r="D88" s="159"/>
      <c r="E88" s="45"/>
      <c r="F88" s="129"/>
      <c r="G88" s="1"/>
      <c r="H88" s="160"/>
      <c r="I88" s="37"/>
      <c r="J88" s="138"/>
      <c r="K88" s="114"/>
      <c r="L88" s="37"/>
      <c r="M88" s="37"/>
      <c r="N88" s="37"/>
      <c r="O88" s="132"/>
      <c r="P88" s="134"/>
      <c r="Q88" s="94"/>
      <c r="R88" s="94"/>
    </row>
    <row r="89" spans="3:18" x14ac:dyDescent="0.25">
      <c r="C89" s="37"/>
      <c r="D89" s="159"/>
      <c r="E89" s="45"/>
      <c r="F89" s="129"/>
      <c r="G89" s="1"/>
      <c r="H89" s="160"/>
      <c r="I89" s="37"/>
      <c r="J89" s="138"/>
      <c r="K89" s="114"/>
      <c r="L89" s="37"/>
      <c r="M89" s="37"/>
      <c r="N89" s="37"/>
      <c r="O89" s="132"/>
      <c r="P89" s="134"/>
      <c r="Q89" s="94"/>
      <c r="R89" s="94"/>
    </row>
    <row r="90" spans="3:18" x14ac:dyDescent="0.25">
      <c r="C90" s="37"/>
      <c r="D90" s="159"/>
      <c r="E90" s="45"/>
      <c r="F90" s="129"/>
      <c r="G90" s="1"/>
      <c r="H90" s="160"/>
      <c r="I90" s="37"/>
      <c r="J90" s="138"/>
      <c r="K90" s="114"/>
      <c r="L90" s="37"/>
      <c r="M90" s="37"/>
      <c r="N90" s="37"/>
      <c r="O90" s="132"/>
      <c r="P90" s="134"/>
      <c r="Q90" s="94"/>
      <c r="R90" s="94"/>
    </row>
    <row r="91" spans="3:18" x14ac:dyDescent="0.25">
      <c r="C91" s="37"/>
      <c r="D91" s="159"/>
      <c r="E91" s="45"/>
      <c r="F91" s="129"/>
      <c r="G91" s="1"/>
      <c r="H91" s="160"/>
      <c r="I91" s="37"/>
      <c r="J91" s="138"/>
      <c r="K91" s="114"/>
      <c r="L91" s="37"/>
      <c r="M91" s="37"/>
      <c r="N91" s="37"/>
      <c r="O91" s="132"/>
      <c r="P91" s="134"/>
      <c r="Q91" s="94"/>
      <c r="R91" s="94"/>
    </row>
    <row r="92" spans="3:18" x14ac:dyDescent="0.25">
      <c r="C92" s="37"/>
      <c r="D92" s="159"/>
      <c r="E92" s="45"/>
      <c r="F92" s="129"/>
      <c r="G92" s="1"/>
      <c r="H92" s="160"/>
      <c r="I92" s="37"/>
      <c r="J92" s="138"/>
      <c r="K92" s="114"/>
      <c r="L92" s="37"/>
      <c r="M92" s="37"/>
      <c r="N92" s="37"/>
      <c r="O92" s="132"/>
      <c r="P92" s="134"/>
      <c r="Q92" s="94"/>
      <c r="R92" s="94"/>
    </row>
    <row r="93" spans="3:18" x14ac:dyDescent="0.25">
      <c r="C93" s="37"/>
      <c r="D93" s="159"/>
      <c r="E93" s="45"/>
      <c r="F93" s="129"/>
      <c r="G93" s="1"/>
      <c r="H93" s="160"/>
      <c r="I93" s="37"/>
      <c r="J93" s="138"/>
      <c r="K93" s="114"/>
      <c r="L93" s="37"/>
      <c r="M93" s="37"/>
      <c r="N93" s="37"/>
      <c r="O93" s="132"/>
      <c r="P93" s="134"/>
      <c r="Q93" s="94"/>
      <c r="R93" s="94"/>
    </row>
    <row r="94" spans="3:18" x14ac:dyDescent="0.25">
      <c r="C94" s="37"/>
      <c r="D94" s="159"/>
      <c r="E94" s="45"/>
      <c r="F94" s="129"/>
      <c r="G94" s="1"/>
      <c r="H94" s="160"/>
      <c r="I94" s="37"/>
      <c r="J94" s="138"/>
      <c r="K94" s="114"/>
      <c r="L94" s="37"/>
      <c r="M94" s="37"/>
      <c r="N94" s="37"/>
      <c r="O94" s="132"/>
      <c r="P94" s="134"/>
      <c r="Q94" s="94"/>
      <c r="R94" s="94"/>
    </row>
    <row r="95" spans="3:18" x14ac:dyDescent="0.25">
      <c r="C95" s="37"/>
      <c r="D95" s="159"/>
      <c r="E95" s="45"/>
      <c r="F95" s="129"/>
      <c r="G95" s="1"/>
      <c r="H95" s="160"/>
      <c r="I95" s="37"/>
      <c r="J95" s="138"/>
      <c r="K95" s="114"/>
      <c r="L95" s="37"/>
      <c r="M95" s="37"/>
      <c r="N95" s="37"/>
      <c r="O95" s="132"/>
      <c r="P95" s="134"/>
      <c r="Q95" s="94"/>
      <c r="R95" s="94"/>
    </row>
    <row r="96" spans="3:18" x14ac:dyDescent="0.25">
      <c r="C96" s="37"/>
      <c r="D96" s="159"/>
      <c r="E96" s="45"/>
      <c r="F96" s="129"/>
      <c r="G96" s="1"/>
      <c r="H96" s="160"/>
      <c r="I96" s="37"/>
      <c r="J96" s="138"/>
      <c r="K96" s="114"/>
      <c r="L96" s="37"/>
      <c r="M96" s="37"/>
      <c r="N96" s="37"/>
      <c r="O96" s="132"/>
      <c r="P96" s="134"/>
      <c r="Q96" s="94"/>
      <c r="R96" s="94"/>
    </row>
    <row r="97" spans="3:18" x14ac:dyDescent="0.25">
      <c r="C97" s="37"/>
      <c r="D97" s="159"/>
      <c r="E97" s="45"/>
      <c r="F97" s="129"/>
      <c r="G97" s="1"/>
      <c r="H97" s="160"/>
      <c r="I97" s="37"/>
      <c r="J97" s="138"/>
      <c r="K97" s="114"/>
      <c r="L97" s="37"/>
      <c r="M97" s="37"/>
      <c r="N97" s="37"/>
      <c r="O97" s="132"/>
      <c r="P97" s="134"/>
      <c r="Q97" s="94"/>
      <c r="R97" s="94"/>
    </row>
    <row r="98" spans="3:18" x14ac:dyDescent="0.25">
      <c r="C98" s="37"/>
      <c r="D98" s="159"/>
      <c r="E98" s="45"/>
      <c r="F98" s="129"/>
      <c r="G98" s="1"/>
      <c r="H98" s="160"/>
      <c r="I98" s="37"/>
      <c r="J98" s="138"/>
      <c r="K98" s="114"/>
      <c r="L98" s="37"/>
      <c r="M98" s="37"/>
      <c r="N98" s="37"/>
      <c r="O98" s="132"/>
      <c r="P98" s="134"/>
      <c r="Q98" s="94"/>
      <c r="R98" s="94"/>
    </row>
    <row r="99" spans="3:18" x14ac:dyDescent="0.25">
      <c r="C99" s="37"/>
      <c r="D99" s="159"/>
      <c r="E99" s="45"/>
      <c r="F99" s="129"/>
      <c r="G99" s="1"/>
      <c r="H99" s="160"/>
      <c r="I99" s="37"/>
      <c r="J99" s="138"/>
      <c r="K99" s="114"/>
      <c r="L99" s="37"/>
      <c r="M99" s="37"/>
      <c r="N99" s="37"/>
      <c r="O99" s="132"/>
      <c r="P99" s="134"/>
      <c r="Q99" s="94"/>
      <c r="R99" s="94"/>
    </row>
    <row r="100" spans="3:18" x14ac:dyDescent="0.25">
      <c r="C100" s="37"/>
      <c r="D100" s="159"/>
      <c r="E100" s="45"/>
      <c r="F100" s="129"/>
      <c r="G100" s="1"/>
      <c r="H100" s="160"/>
      <c r="I100" s="37"/>
      <c r="J100" s="138"/>
      <c r="K100" s="114"/>
      <c r="L100" s="37"/>
      <c r="M100" s="37"/>
      <c r="N100" s="37"/>
      <c r="O100" s="132"/>
      <c r="P100" s="134"/>
      <c r="Q100" s="94"/>
      <c r="R100" s="94"/>
    </row>
    <row r="101" spans="3:18" x14ac:dyDescent="0.25">
      <c r="C101" s="37"/>
      <c r="D101" s="159"/>
      <c r="E101" s="45"/>
      <c r="F101" s="129"/>
      <c r="G101" s="1"/>
      <c r="H101" s="160"/>
      <c r="I101" s="37"/>
      <c r="J101" s="138"/>
      <c r="K101" s="114"/>
      <c r="L101" s="37"/>
      <c r="M101" s="37"/>
      <c r="N101" s="37"/>
      <c r="O101" s="132"/>
      <c r="P101" s="134"/>
      <c r="Q101" s="94"/>
      <c r="R101" s="94"/>
    </row>
    <row r="102" spans="3:18" x14ac:dyDescent="0.25">
      <c r="C102" s="37"/>
      <c r="D102" s="159"/>
      <c r="E102" s="45"/>
      <c r="F102" s="129"/>
      <c r="G102" s="1"/>
      <c r="H102" s="160"/>
      <c r="I102" s="37"/>
      <c r="J102" s="138"/>
      <c r="K102" s="114"/>
      <c r="L102" s="37"/>
      <c r="M102" s="37"/>
      <c r="N102" s="37"/>
      <c r="O102" s="132"/>
      <c r="P102" s="134"/>
      <c r="Q102" s="94"/>
      <c r="R102" s="94"/>
    </row>
    <row r="103" spans="3:18" x14ac:dyDescent="0.25">
      <c r="C103" s="37"/>
      <c r="D103" s="159"/>
      <c r="E103" s="45"/>
      <c r="F103" s="129"/>
      <c r="G103" s="1"/>
      <c r="H103" s="160"/>
      <c r="I103" s="37"/>
      <c r="J103" s="138"/>
      <c r="K103" s="114"/>
      <c r="L103" s="37"/>
      <c r="M103" s="37"/>
      <c r="N103" s="37"/>
      <c r="O103" s="132"/>
      <c r="P103" s="134"/>
      <c r="Q103" s="94"/>
      <c r="R103" s="94"/>
    </row>
    <row r="104" spans="3:18" x14ac:dyDescent="0.25">
      <c r="C104" s="37"/>
      <c r="D104" s="159"/>
      <c r="E104" s="45"/>
      <c r="F104" s="129"/>
      <c r="G104" s="1"/>
      <c r="H104" s="160"/>
      <c r="I104" s="37"/>
      <c r="J104" s="138"/>
      <c r="K104" s="114"/>
      <c r="L104" s="37"/>
      <c r="M104" s="37"/>
      <c r="N104" s="37"/>
      <c r="O104" s="132"/>
      <c r="P104" s="134"/>
      <c r="Q104" s="94"/>
      <c r="R104" s="94"/>
    </row>
    <row r="105" spans="3:18" x14ac:dyDescent="0.25">
      <c r="C105" s="37"/>
      <c r="D105" s="159"/>
      <c r="E105" s="45"/>
      <c r="F105" s="129"/>
      <c r="G105" s="1"/>
      <c r="H105" s="160"/>
      <c r="I105" s="37"/>
      <c r="J105" s="138"/>
      <c r="K105" s="114"/>
      <c r="L105" s="37"/>
      <c r="M105" s="37"/>
      <c r="N105" s="37"/>
      <c r="O105" s="132"/>
      <c r="P105" s="134"/>
      <c r="Q105" s="94"/>
      <c r="R105" s="94"/>
    </row>
    <row r="106" spans="3:18" x14ac:dyDescent="0.25">
      <c r="C106" s="37"/>
      <c r="D106" s="159"/>
      <c r="E106" s="45"/>
      <c r="F106" s="129"/>
      <c r="G106" s="1"/>
      <c r="H106" s="160"/>
      <c r="I106" s="37"/>
      <c r="J106" s="138"/>
      <c r="K106" s="114"/>
      <c r="L106" s="37"/>
      <c r="M106" s="37"/>
      <c r="N106" s="37"/>
      <c r="O106" s="132"/>
      <c r="P106" s="134"/>
      <c r="Q106" s="94"/>
      <c r="R106" s="94"/>
    </row>
    <row r="107" spans="3:18" x14ac:dyDescent="0.25">
      <c r="C107" s="37"/>
      <c r="D107" s="159"/>
      <c r="E107" s="45"/>
      <c r="F107" s="129"/>
      <c r="G107" s="1"/>
      <c r="H107" s="160"/>
      <c r="I107" s="37"/>
      <c r="J107" s="138"/>
      <c r="K107" s="114"/>
      <c r="L107" s="37"/>
      <c r="M107" s="37"/>
      <c r="N107" s="37"/>
      <c r="O107" s="132"/>
      <c r="P107" s="134"/>
      <c r="Q107" s="94"/>
      <c r="R107" s="94"/>
    </row>
    <row r="108" spans="3:18" x14ac:dyDescent="0.25">
      <c r="C108" s="37"/>
      <c r="D108" s="159"/>
      <c r="E108" s="45"/>
      <c r="F108" s="129"/>
      <c r="G108" s="1"/>
      <c r="H108" s="160"/>
      <c r="I108" s="37"/>
      <c r="J108" s="138"/>
      <c r="K108" s="114"/>
      <c r="L108" s="37"/>
      <c r="M108" s="37"/>
      <c r="N108" s="37"/>
      <c r="O108" s="132"/>
      <c r="P108" s="134"/>
      <c r="Q108" s="94"/>
      <c r="R108" s="94"/>
    </row>
    <row r="109" spans="3:18" x14ac:dyDescent="0.25">
      <c r="C109" s="37"/>
      <c r="D109" s="159"/>
      <c r="E109" s="45"/>
      <c r="F109" s="129"/>
      <c r="G109" s="1"/>
      <c r="H109" s="160"/>
      <c r="I109" s="37"/>
      <c r="J109" s="138"/>
      <c r="K109" s="114"/>
      <c r="L109" s="37"/>
      <c r="M109" s="37"/>
      <c r="N109" s="37"/>
      <c r="O109" s="132"/>
      <c r="P109" s="134"/>
      <c r="Q109" s="94"/>
      <c r="R109" s="94"/>
    </row>
    <row r="110" spans="3:18" x14ac:dyDescent="0.25">
      <c r="C110" s="37"/>
      <c r="D110" s="159"/>
      <c r="E110" s="45"/>
      <c r="F110" s="129"/>
      <c r="G110" s="1"/>
      <c r="H110" s="160"/>
      <c r="I110" s="37"/>
      <c r="J110" s="138"/>
      <c r="K110" s="114"/>
      <c r="L110" s="37"/>
      <c r="M110" s="37"/>
      <c r="N110" s="37"/>
      <c r="O110" s="132"/>
      <c r="P110" s="134"/>
      <c r="Q110" s="94"/>
      <c r="R110" s="94"/>
    </row>
    <row r="111" spans="3:18" x14ac:dyDescent="0.25">
      <c r="C111" s="37"/>
      <c r="D111" s="159"/>
      <c r="E111" s="45"/>
      <c r="F111" s="129"/>
      <c r="G111" s="1"/>
      <c r="H111" s="160"/>
      <c r="I111" s="37"/>
      <c r="J111" s="138"/>
      <c r="K111" s="114"/>
      <c r="L111" s="37"/>
      <c r="M111" s="37"/>
      <c r="N111" s="37"/>
      <c r="O111" s="132"/>
      <c r="P111" s="134"/>
      <c r="Q111" s="94"/>
      <c r="R111" s="94"/>
    </row>
    <row r="112" spans="3:18" x14ac:dyDescent="0.25">
      <c r="C112" s="37"/>
      <c r="D112" s="159"/>
      <c r="E112" s="45"/>
      <c r="F112" s="129"/>
      <c r="G112" s="1"/>
      <c r="H112" s="160"/>
      <c r="I112" s="37"/>
      <c r="J112" s="138"/>
      <c r="K112" s="114"/>
      <c r="L112" s="37"/>
      <c r="M112" s="37"/>
      <c r="N112" s="37"/>
      <c r="O112" s="132"/>
      <c r="P112" s="134"/>
      <c r="Q112" s="94"/>
      <c r="R112" s="94"/>
    </row>
    <row r="113" spans="3:18" x14ac:dyDescent="0.25">
      <c r="C113" s="37"/>
      <c r="D113" s="159"/>
      <c r="E113" s="45"/>
      <c r="F113" s="129"/>
      <c r="G113" s="1"/>
      <c r="H113" s="160"/>
      <c r="I113" s="37"/>
      <c r="J113" s="138"/>
      <c r="K113" s="114"/>
      <c r="L113" s="37"/>
      <c r="M113" s="37"/>
      <c r="N113" s="37"/>
      <c r="O113" s="132"/>
      <c r="P113" s="134"/>
      <c r="Q113" s="94"/>
      <c r="R113" s="94"/>
    </row>
    <row r="114" spans="3:18" x14ac:dyDescent="0.25">
      <c r="C114" s="37"/>
      <c r="D114" s="159"/>
      <c r="E114" s="45"/>
      <c r="F114" s="129"/>
      <c r="G114" s="1"/>
      <c r="H114" s="160"/>
      <c r="I114" s="37"/>
      <c r="J114" s="138"/>
      <c r="K114" s="114"/>
      <c r="L114" s="37"/>
      <c r="M114" s="37"/>
      <c r="N114" s="37"/>
      <c r="O114" s="132"/>
      <c r="P114" s="134"/>
      <c r="Q114" s="94"/>
      <c r="R114" s="94"/>
    </row>
    <row r="115" spans="3:18" x14ac:dyDescent="0.25">
      <c r="C115" s="37"/>
      <c r="D115" s="159"/>
      <c r="E115" s="45"/>
      <c r="F115" s="129"/>
      <c r="G115" s="1"/>
      <c r="H115" s="160"/>
      <c r="I115" s="37"/>
      <c r="J115" s="138"/>
      <c r="K115" s="114"/>
      <c r="L115" s="37"/>
      <c r="M115" s="37"/>
      <c r="N115" s="37"/>
      <c r="O115" s="132"/>
      <c r="P115" s="134"/>
      <c r="Q115" s="94"/>
      <c r="R115" s="94"/>
    </row>
    <row r="116" spans="3:18" x14ac:dyDescent="0.25">
      <c r="C116" s="37"/>
      <c r="D116" s="159"/>
      <c r="E116" s="45"/>
      <c r="F116" s="129"/>
      <c r="G116" s="1"/>
      <c r="H116" s="160"/>
      <c r="I116" s="37"/>
      <c r="J116" s="138"/>
      <c r="K116" s="114"/>
      <c r="L116" s="37"/>
      <c r="M116" s="37"/>
      <c r="N116" s="37"/>
      <c r="O116" s="132"/>
      <c r="P116" s="134"/>
      <c r="Q116" s="94"/>
      <c r="R116" s="94"/>
    </row>
    <row r="117" spans="3:18" x14ac:dyDescent="0.25">
      <c r="C117" s="37"/>
      <c r="D117" s="159"/>
      <c r="E117" s="45"/>
      <c r="F117" s="129"/>
      <c r="G117" s="1"/>
      <c r="H117" s="160"/>
      <c r="I117" s="37"/>
      <c r="J117" s="138"/>
      <c r="K117" s="114"/>
      <c r="L117" s="37"/>
      <c r="M117" s="37"/>
      <c r="N117" s="37"/>
      <c r="O117" s="132"/>
      <c r="P117" s="134"/>
      <c r="Q117" s="94"/>
      <c r="R117" s="94"/>
    </row>
    <row r="118" spans="3:18" x14ac:dyDescent="0.25">
      <c r="C118" s="37"/>
      <c r="D118" s="159"/>
      <c r="E118" s="45"/>
      <c r="F118" s="129"/>
      <c r="G118" s="1"/>
      <c r="H118" s="160"/>
      <c r="I118" s="37"/>
      <c r="J118" s="138"/>
      <c r="K118" s="114"/>
      <c r="L118" s="37"/>
      <c r="M118" s="37"/>
      <c r="N118" s="37"/>
      <c r="O118" s="132"/>
      <c r="P118" s="134"/>
      <c r="Q118" s="94"/>
      <c r="R118" s="94"/>
    </row>
    <row r="119" spans="3:18" x14ac:dyDescent="0.25">
      <c r="C119" s="37"/>
      <c r="D119" s="159"/>
      <c r="E119" s="45"/>
      <c r="F119" s="129"/>
      <c r="G119" s="1"/>
      <c r="H119" s="160"/>
      <c r="I119" s="37"/>
      <c r="J119" s="138"/>
      <c r="K119" s="114"/>
      <c r="L119" s="37"/>
      <c r="M119" s="37"/>
      <c r="N119" s="37"/>
      <c r="O119" s="132"/>
      <c r="P119" s="134"/>
      <c r="Q119" s="94"/>
      <c r="R119" s="94"/>
    </row>
    <row r="120" spans="3:18" x14ac:dyDescent="0.25">
      <c r="C120" s="37"/>
      <c r="D120" s="159"/>
      <c r="E120" s="45"/>
      <c r="F120" s="129"/>
      <c r="G120" s="1"/>
      <c r="H120" s="160"/>
      <c r="I120" s="37"/>
      <c r="J120" s="138"/>
      <c r="K120" s="114"/>
      <c r="L120" s="37"/>
      <c r="M120" s="37"/>
      <c r="N120" s="37"/>
      <c r="O120" s="132"/>
      <c r="P120" s="134"/>
      <c r="Q120" s="94"/>
      <c r="R120" s="94"/>
    </row>
    <row r="121" spans="3:18" x14ac:dyDescent="0.25">
      <c r="C121" s="37"/>
      <c r="D121" s="159"/>
      <c r="E121" s="45"/>
      <c r="F121" s="129"/>
      <c r="G121" s="1"/>
      <c r="H121" s="160"/>
      <c r="I121" s="37"/>
      <c r="J121" s="138"/>
      <c r="K121" s="114"/>
      <c r="L121" s="37"/>
      <c r="M121" s="37"/>
      <c r="N121" s="37"/>
      <c r="O121" s="132"/>
      <c r="P121" s="134"/>
      <c r="Q121" s="94"/>
      <c r="R121" s="94"/>
    </row>
    <row r="122" spans="3:18" x14ac:dyDescent="0.25">
      <c r="C122" s="37"/>
      <c r="D122" s="159"/>
      <c r="E122" s="45"/>
      <c r="F122" s="129"/>
      <c r="G122" s="1"/>
      <c r="H122" s="160"/>
      <c r="I122" s="37"/>
      <c r="J122" s="138"/>
      <c r="K122" s="114"/>
      <c r="L122" s="37"/>
      <c r="M122" s="37"/>
      <c r="N122" s="37"/>
      <c r="O122" s="132"/>
      <c r="P122" s="134"/>
      <c r="Q122" s="94"/>
      <c r="R122" s="94"/>
    </row>
    <row r="123" spans="3:18" x14ac:dyDescent="0.25">
      <c r="C123" s="37"/>
      <c r="D123" s="159"/>
      <c r="E123" s="45"/>
      <c r="F123" s="129"/>
      <c r="G123" s="1"/>
      <c r="H123" s="160"/>
      <c r="I123" s="37"/>
      <c r="J123" s="138"/>
      <c r="K123" s="114"/>
      <c r="L123" s="37"/>
      <c r="M123" s="37"/>
      <c r="N123" s="37"/>
      <c r="O123" s="132"/>
      <c r="P123" s="134"/>
      <c r="Q123" s="94"/>
      <c r="R123" s="94"/>
    </row>
    <row r="124" spans="3:18" x14ac:dyDescent="0.25">
      <c r="C124" s="37"/>
      <c r="D124" s="159"/>
      <c r="E124" s="45"/>
      <c r="F124" s="129"/>
      <c r="G124" s="1"/>
      <c r="H124" s="160"/>
      <c r="I124" s="37"/>
      <c r="J124" s="138"/>
      <c r="K124" s="114"/>
      <c r="L124" s="37"/>
      <c r="M124" s="37"/>
      <c r="N124" s="37"/>
      <c r="O124" s="132"/>
      <c r="P124" s="134"/>
      <c r="Q124" s="94"/>
      <c r="R124" s="94"/>
    </row>
    <row r="125" spans="3:18" x14ac:dyDescent="0.25">
      <c r="C125" s="37"/>
      <c r="D125" s="159"/>
      <c r="E125" s="45"/>
      <c r="F125" s="129"/>
      <c r="G125" s="1"/>
      <c r="H125" s="160"/>
      <c r="I125" s="37"/>
      <c r="J125" s="138"/>
      <c r="K125" s="114"/>
      <c r="L125" s="37"/>
      <c r="M125" s="37"/>
      <c r="N125" s="37"/>
      <c r="O125" s="132"/>
      <c r="P125" s="134"/>
      <c r="Q125" s="94"/>
      <c r="R125" s="94"/>
    </row>
    <row r="126" spans="3:18" x14ac:dyDescent="0.25">
      <c r="C126" s="37"/>
      <c r="D126" s="159"/>
      <c r="E126" s="45"/>
      <c r="F126" s="129"/>
      <c r="G126" s="1"/>
      <c r="H126" s="160"/>
      <c r="I126" s="37"/>
      <c r="J126" s="138"/>
      <c r="K126" s="114"/>
      <c r="L126" s="37"/>
      <c r="M126" s="37"/>
      <c r="N126" s="37"/>
      <c r="O126" s="132"/>
      <c r="P126" s="134"/>
      <c r="Q126" s="94"/>
      <c r="R126" s="94"/>
    </row>
    <row r="127" spans="3:18" x14ac:dyDescent="0.25">
      <c r="C127" s="37"/>
      <c r="D127" s="159"/>
      <c r="E127" s="45"/>
      <c r="F127" s="129"/>
      <c r="G127" s="1"/>
      <c r="H127" s="160"/>
      <c r="I127" s="37"/>
      <c r="J127" s="138"/>
      <c r="K127" s="114"/>
      <c r="L127" s="37"/>
      <c r="M127" s="37"/>
      <c r="N127" s="37"/>
      <c r="O127" s="132"/>
      <c r="P127" s="134"/>
      <c r="Q127" s="94"/>
      <c r="R127" s="94"/>
    </row>
    <row r="128" spans="3:18" x14ac:dyDescent="0.25">
      <c r="C128" s="37"/>
      <c r="D128" s="159"/>
      <c r="E128" s="45"/>
      <c r="F128" s="129"/>
      <c r="G128" s="1"/>
      <c r="H128" s="160"/>
      <c r="I128" s="37"/>
      <c r="J128" s="138"/>
      <c r="K128" s="114"/>
      <c r="L128" s="37"/>
      <c r="M128" s="37"/>
      <c r="N128" s="37"/>
      <c r="O128" s="132"/>
      <c r="P128" s="134"/>
      <c r="Q128" s="94"/>
      <c r="R128" s="94"/>
    </row>
    <row r="129" spans="3:18" x14ac:dyDescent="0.25">
      <c r="C129" s="37"/>
      <c r="D129" s="159"/>
      <c r="E129" s="45"/>
      <c r="F129" s="129"/>
      <c r="G129" s="1"/>
      <c r="H129" s="160"/>
      <c r="I129" s="37"/>
      <c r="J129" s="138"/>
      <c r="K129" s="114"/>
      <c r="L129" s="37"/>
      <c r="M129" s="37"/>
      <c r="N129" s="37"/>
      <c r="O129" s="132"/>
      <c r="P129" s="134"/>
      <c r="Q129" s="94"/>
      <c r="R129" s="94"/>
    </row>
    <row r="130" spans="3:18" x14ac:dyDescent="0.25">
      <c r="C130" s="37"/>
      <c r="D130" s="159"/>
      <c r="E130" s="45"/>
      <c r="F130" s="129"/>
      <c r="G130" s="1"/>
      <c r="H130" s="160"/>
      <c r="I130" s="37"/>
      <c r="J130" s="138"/>
      <c r="K130" s="114"/>
      <c r="L130" s="37"/>
      <c r="M130" s="37"/>
      <c r="N130" s="37"/>
      <c r="O130" s="132"/>
      <c r="P130" s="134"/>
      <c r="Q130" s="94"/>
      <c r="R130" s="94"/>
    </row>
    <row r="131" spans="3:18" x14ac:dyDescent="0.25">
      <c r="C131" s="37"/>
      <c r="D131" s="159"/>
      <c r="E131" s="45"/>
      <c r="F131" s="129"/>
      <c r="G131" s="1"/>
      <c r="H131" s="160"/>
      <c r="I131" s="37"/>
      <c r="J131" s="138"/>
      <c r="K131" s="114"/>
      <c r="L131" s="37"/>
      <c r="M131" s="37"/>
      <c r="N131" s="37"/>
      <c r="O131" s="132"/>
      <c r="P131" s="134"/>
      <c r="Q131" s="94"/>
      <c r="R131" s="94"/>
    </row>
    <row r="132" spans="3:18" x14ac:dyDescent="0.25">
      <c r="C132" s="37"/>
      <c r="D132" s="159"/>
      <c r="E132" s="45"/>
      <c r="F132" s="129"/>
      <c r="G132" s="1"/>
      <c r="H132" s="160"/>
      <c r="I132" s="37"/>
      <c r="J132" s="138"/>
      <c r="K132" s="114"/>
      <c r="L132" s="37"/>
      <c r="M132" s="37"/>
      <c r="N132" s="37"/>
      <c r="O132" s="132"/>
      <c r="P132" s="134"/>
      <c r="Q132" s="94"/>
      <c r="R132" s="94"/>
    </row>
    <row r="133" spans="3:18" x14ac:dyDescent="0.25">
      <c r="C133" s="37"/>
      <c r="D133" s="159"/>
      <c r="E133" s="45"/>
      <c r="F133" s="129"/>
      <c r="G133" s="1"/>
      <c r="H133" s="160"/>
      <c r="I133" s="37"/>
      <c r="J133" s="138"/>
      <c r="K133" s="114"/>
      <c r="L133" s="37"/>
      <c r="M133" s="37"/>
      <c r="N133" s="37"/>
      <c r="O133" s="132"/>
      <c r="P133" s="134"/>
      <c r="Q133" s="94"/>
      <c r="R133" s="94"/>
    </row>
    <row r="134" spans="3:18" x14ac:dyDescent="0.25">
      <c r="C134" s="37"/>
      <c r="D134" s="159"/>
      <c r="E134" s="45"/>
      <c r="F134" s="129"/>
      <c r="G134" s="1"/>
      <c r="H134" s="160"/>
      <c r="I134" s="37"/>
      <c r="J134" s="138"/>
      <c r="K134" s="114"/>
      <c r="L134" s="37"/>
      <c r="M134" s="37"/>
      <c r="N134" s="37"/>
      <c r="O134" s="132"/>
      <c r="P134" s="134"/>
      <c r="Q134" s="94"/>
      <c r="R134" s="94"/>
    </row>
    <row r="135" spans="3:18" x14ac:dyDescent="0.25">
      <c r="C135" s="37"/>
      <c r="D135" s="159"/>
      <c r="E135" s="45"/>
      <c r="F135" s="129"/>
      <c r="G135" s="1"/>
      <c r="H135" s="160"/>
      <c r="I135" s="37"/>
      <c r="J135" s="138"/>
      <c r="K135" s="114"/>
      <c r="L135" s="37"/>
      <c r="M135" s="37"/>
      <c r="N135" s="37"/>
      <c r="O135" s="132"/>
      <c r="P135" s="134"/>
      <c r="Q135" s="94"/>
      <c r="R135" s="94"/>
    </row>
    <row r="136" spans="3:18" x14ac:dyDescent="0.25">
      <c r="C136" s="37"/>
      <c r="D136" s="159"/>
      <c r="E136" s="45"/>
      <c r="F136" s="129"/>
      <c r="G136" s="1"/>
      <c r="H136" s="160"/>
      <c r="I136" s="37"/>
      <c r="J136" s="138"/>
      <c r="K136" s="114"/>
      <c r="L136" s="37"/>
      <c r="M136" s="37"/>
      <c r="N136" s="37"/>
      <c r="O136" s="132"/>
      <c r="P136" s="134"/>
      <c r="Q136" s="94"/>
      <c r="R136" s="94"/>
    </row>
    <row r="137" spans="3:18" x14ac:dyDescent="0.25">
      <c r="C137" s="37"/>
      <c r="D137" s="159"/>
      <c r="E137" s="45"/>
      <c r="F137" s="129"/>
      <c r="G137" s="1"/>
      <c r="H137" s="160"/>
      <c r="I137" s="37"/>
      <c r="J137" s="138"/>
      <c r="K137" s="114"/>
      <c r="L137" s="37"/>
      <c r="M137" s="37"/>
      <c r="N137" s="37"/>
      <c r="O137" s="132"/>
      <c r="P137" s="134"/>
      <c r="Q137" s="94"/>
      <c r="R137" s="94"/>
    </row>
    <row r="138" spans="3:18" x14ac:dyDescent="0.25">
      <c r="C138" s="37"/>
      <c r="D138" s="159"/>
      <c r="E138" s="45"/>
      <c r="F138" s="129"/>
      <c r="G138" s="1"/>
      <c r="H138" s="160"/>
      <c r="I138" s="37"/>
      <c r="J138" s="138"/>
      <c r="K138" s="114"/>
      <c r="L138" s="37"/>
      <c r="M138" s="37"/>
      <c r="N138" s="37"/>
      <c r="O138" s="132"/>
      <c r="P138" s="134"/>
      <c r="Q138" s="94"/>
      <c r="R138" s="94"/>
    </row>
    <row r="139" spans="3:18" x14ac:dyDescent="0.25">
      <c r="C139" s="37"/>
      <c r="D139" s="159"/>
      <c r="E139" s="45"/>
      <c r="F139" s="129"/>
      <c r="G139" s="1"/>
      <c r="H139" s="160"/>
      <c r="I139" s="37"/>
      <c r="J139" s="138"/>
      <c r="K139" s="114"/>
      <c r="L139" s="37"/>
      <c r="M139" s="37"/>
      <c r="N139" s="37"/>
      <c r="O139" s="132"/>
      <c r="P139" s="134"/>
      <c r="Q139" s="94"/>
      <c r="R139" s="94"/>
    </row>
    <row r="140" spans="3:18" x14ac:dyDescent="0.25">
      <c r="C140" s="37"/>
      <c r="D140" s="159"/>
      <c r="E140" s="45"/>
      <c r="F140" s="129"/>
      <c r="G140" s="1"/>
      <c r="H140" s="160"/>
      <c r="I140" s="37"/>
      <c r="J140" s="138"/>
      <c r="K140" s="114"/>
      <c r="L140" s="37"/>
      <c r="M140" s="37"/>
      <c r="N140" s="37"/>
      <c r="O140" s="132"/>
      <c r="P140" s="134"/>
      <c r="Q140" s="94"/>
      <c r="R140" s="94"/>
    </row>
    <row r="141" spans="3:18" x14ac:dyDescent="0.25">
      <c r="C141" s="37"/>
      <c r="D141" s="159"/>
      <c r="E141" s="45"/>
      <c r="F141" s="129"/>
      <c r="G141" s="1"/>
      <c r="H141" s="160"/>
      <c r="I141" s="37"/>
      <c r="J141" s="138"/>
      <c r="K141" s="114"/>
      <c r="L141" s="37"/>
      <c r="M141" s="37"/>
      <c r="N141" s="37"/>
      <c r="O141" s="132"/>
      <c r="P141" s="134"/>
      <c r="Q141" s="94"/>
      <c r="R141" s="94"/>
    </row>
    <row r="142" spans="3:18" x14ac:dyDescent="0.25">
      <c r="C142" s="37"/>
      <c r="D142" s="159"/>
      <c r="E142" s="45"/>
      <c r="F142" s="129"/>
      <c r="G142" s="1"/>
      <c r="H142" s="160"/>
      <c r="I142" s="37"/>
      <c r="J142" s="138"/>
      <c r="K142" s="114"/>
      <c r="L142" s="37"/>
      <c r="M142" s="37"/>
      <c r="N142" s="37"/>
      <c r="O142" s="132"/>
      <c r="P142" s="134"/>
      <c r="Q142" s="94"/>
      <c r="R142" s="94"/>
    </row>
    <row r="143" spans="3:18" x14ac:dyDescent="0.25">
      <c r="C143" s="37"/>
      <c r="D143" s="159"/>
      <c r="E143" s="45"/>
      <c r="F143" s="129"/>
      <c r="G143" s="1"/>
      <c r="H143" s="160"/>
      <c r="I143" s="37"/>
      <c r="J143" s="138"/>
      <c r="K143" s="114"/>
      <c r="L143" s="37"/>
      <c r="M143" s="37"/>
      <c r="N143" s="37"/>
      <c r="O143" s="132"/>
      <c r="P143" s="134"/>
      <c r="Q143" s="94"/>
      <c r="R143" s="94"/>
    </row>
    <row r="144" spans="3:18" x14ac:dyDescent="0.25">
      <c r="C144" s="37"/>
      <c r="D144" s="159"/>
      <c r="E144" s="45"/>
      <c r="F144" s="129"/>
      <c r="G144" s="1"/>
      <c r="H144" s="160"/>
      <c r="I144" s="37"/>
      <c r="J144" s="138"/>
      <c r="K144" s="114"/>
      <c r="L144" s="37"/>
      <c r="M144" s="37"/>
      <c r="N144" s="37"/>
      <c r="O144" s="132"/>
      <c r="P144" s="134"/>
      <c r="Q144" s="94"/>
      <c r="R144" s="94"/>
    </row>
    <row r="145" spans="3:18" x14ac:dyDescent="0.25">
      <c r="C145" s="37"/>
      <c r="D145" s="159"/>
      <c r="E145" s="45"/>
      <c r="F145" s="129"/>
      <c r="G145" s="1"/>
      <c r="H145" s="160"/>
      <c r="I145" s="37"/>
      <c r="J145" s="138"/>
      <c r="K145" s="114"/>
      <c r="L145" s="37"/>
      <c r="M145" s="37"/>
      <c r="N145" s="37"/>
      <c r="O145" s="132"/>
      <c r="P145" s="134"/>
      <c r="Q145" s="94"/>
      <c r="R145" s="94"/>
    </row>
    <row r="146" spans="3:18" x14ac:dyDescent="0.25">
      <c r="C146" s="37"/>
      <c r="D146" s="159"/>
      <c r="E146" s="45"/>
      <c r="F146" s="129"/>
      <c r="G146" s="1"/>
      <c r="H146" s="160"/>
      <c r="I146" s="37"/>
      <c r="J146" s="138"/>
      <c r="K146" s="114"/>
      <c r="L146" s="37"/>
      <c r="M146" s="37"/>
      <c r="N146" s="37"/>
      <c r="O146" s="132"/>
      <c r="P146" s="134"/>
      <c r="Q146" s="94"/>
      <c r="R146" s="94"/>
    </row>
    <row r="147" spans="3:18" x14ac:dyDescent="0.25">
      <c r="C147" s="37"/>
      <c r="D147" s="159"/>
      <c r="E147" s="45"/>
      <c r="F147" s="129"/>
      <c r="G147" s="1"/>
      <c r="H147" s="160"/>
      <c r="I147" s="37"/>
      <c r="J147" s="138"/>
      <c r="K147" s="114"/>
      <c r="L147" s="37"/>
      <c r="M147" s="37"/>
      <c r="N147" s="37"/>
      <c r="O147" s="132"/>
      <c r="P147" s="134"/>
      <c r="Q147" s="94"/>
      <c r="R147" s="94"/>
    </row>
    <row r="148" spans="3:18" x14ac:dyDescent="0.25">
      <c r="C148" s="37"/>
      <c r="D148" s="159"/>
      <c r="E148" s="45"/>
      <c r="F148" s="129"/>
      <c r="G148" s="1"/>
      <c r="H148" s="160"/>
      <c r="I148" s="37"/>
      <c r="J148" s="138"/>
      <c r="K148" s="114"/>
      <c r="L148" s="37"/>
      <c r="M148" s="37"/>
      <c r="N148" s="37"/>
      <c r="O148" s="132"/>
      <c r="P148" s="134"/>
      <c r="Q148" s="94"/>
      <c r="R148" s="94"/>
    </row>
    <row r="149" spans="3:18" x14ac:dyDescent="0.25">
      <c r="C149" s="37"/>
      <c r="D149" s="159"/>
      <c r="E149" s="45"/>
      <c r="F149" s="129"/>
      <c r="G149" s="1"/>
      <c r="H149" s="160"/>
      <c r="I149" s="37"/>
      <c r="J149" s="138"/>
      <c r="K149" s="114"/>
      <c r="L149" s="37"/>
      <c r="M149" s="37"/>
      <c r="N149" s="37"/>
      <c r="O149" s="132"/>
      <c r="P149" s="134"/>
      <c r="Q149" s="94"/>
      <c r="R149" s="94"/>
    </row>
    <row r="150" spans="3:18" x14ac:dyDescent="0.25">
      <c r="C150" s="37"/>
      <c r="D150" s="159"/>
      <c r="E150" s="45"/>
      <c r="F150" s="129"/>
      <c r="G150" s="1"/>
      <c r="H150" s="160"/>
      <c r="I150" s="37"/>
      <c r="J150" s="138"/>
      <c r="K150" s="114"/>
      <c r="L150" s="37"/>
      <c r="M150" s="37"/>
      <c r="N150" s="37"/>
      <c r="O150" s="132"/>
      <c r="P150" s="134"/>
      <c r="Q150" s="94"/>
      <c r="R150" s="94"/>
    </row>
    <row r="151" spans="3:18" x14ac:dyDescent="0.25">
      <c r="C151" s="37"/>
      <c r="D151" s="159"/>
      <c r="E151" s="45"/>
      <c r="F151" s="129"/>
      <c r="G151" s="1"/>
      <c r="H151" s="160"/>
      <c r="I151" s="37"/>
      <c r="J151" s="138"/>
      <c r="K151" s="114"/>
      <c r="L151" s="37"/>
      <c r="M151" s="37"/>
      <c r="N151" s="37"/>
      <c r="O151" s="132"/>
      <c r="P151" s="134"/>
      <c r="Q151" s="94"/>
      <c r="R151" s="94"/>
    </row>
    <row r="152" spans="3:18" x14ac:dyDescent="0.25">
      <c r="C152" s="37"/>
      <c r="D152" s="159"/>
      <c r="E152" s="45"/>
      <c r="F152" s="129"/>
      <c r="G152" s="1"/>
      <c r="H152" s="160"/>
      <c r="I152" s="37"/>
      <c r="J152" s="138"/>
      <c r="K152" s="114"/>
      <c r="L152" s="37"/>
      <c r="M152" s="37"/>
      <c r="N152" s="37"/>
      <c r="O152" s="132"/>
      <c r="P152" s="134"/>
      <c r="Q152" s="94"/>
      <c r="R152" s="94"/>
    </row>
    <row r="153" spans="3:18" x14ac:dyDescent="0.25">
      <c r="C153" s="37"/>
      <c r="D153" s="159"/>
      <c r="E153" s="45"/>
      <c r="F153" s="129"/>
      <c r="G153" s="1"/>
      <c r="H153" s="160"/>
      <c r="I153" s="37"/>
      <c r="J153" s="138"/>
      <c r="K153" s="114"/>
      <c r="L153" s="37"/>
      <c r="M153" s="37"/>
      <c r="N153" s="37"/>
      <c r="O153" s="132"/>
      <c r="P153" s="134"/>
      <c r="Q153" s="94"/>
      <c r="R153" s="94"/>
    </row>
    <row r="154" spans="3:18" x14ac:dyDescent="0.25">
      <c r="C154" s="37"/>
      <c r="D154" s="159"/>
      <c r="E154" s="45"/>
      <c r="F154" s="129"/>
      <c r="G154" s="1"/>
      <c r="H154" s="160"/>
      <c r="I154" s="37"/>
      <c r="J154" s="138"/>
      <c r="K154" s="114"/>
      <c r="L154" s="37"/>
      <c r="M154" s="37"/>
      <c r="N154" s="37"/>
      <c r="O154" s="132"/>
      <c r="P154" s="134"/>
      <c r="Q154" s="94"/>
      <c r="R154" s="94"/>
    </row>
    <row r="155" spans="3:18" x14ac:dyDescent="0.25">
      <c r="C155" s="37"/>
      <c r="D155" s="159"/>
      <c r="E155" s="45"/>
      <c r="F155" s="129"/>
      <c r="G155" s="1"/>
      <c r="H155" s="160"/>
      <c r="I155" s="37"/>
      <c r="J155" s="138"/>
      <c r="K155" s="114"/>
      <c r="L155" s="37"/>
      <c r="M155" s="37"/>
      <c r="N155" s="37"/>
      <c r="O155" s="132"/>
      <c r="P155" s="134"/>
      <c r="Q155" s="94"/>
      <c r="R155" s="94"/>
    </row>
    <row r="156" spans="3:18" x14ac:dyDescent="0.25">
      <c r="C156" s="37"/>
      <c r="D156" s="159"/>
      <c r="E156" s="45"/>
      <c r="F156" s="129"/>
      <c r="G156" s="1"/>
      <c r="H156" s="160"/>
      <c r="I156" s="37"/>
      <c r="J156" s="138"/>
      <c r="K156" s="114"/>
      <c r="L156" s="37"/>
      <c r="M156" s="37"/>
      <c r="N156" s="37"/>
      <c r="O156" s="132"/>
      <c r="P156" s="134"/>
      <c r="Q156" s="94"/>
      <c r="R156" s="94"/>
    </row>
    <row r="157" spans="3:18" x14ac:dyDescent="0.25">
      <c r="C157" s="37"/>
      <c r="D157" s="159"/>
      <c r="E157" s="45"/>
      <c r="F157" s="129"/>
      <c r="G157" s="1"/>
      <c r="H157" s="160"/>
      <c r="I157" s="37"/>
      <c r="J157" s="138"/>
      <c r="K157" s="114"/>
      <c r="L157" s="37"/>
      <c r="M157" s="37"/>
      <c r="N157" s="37"/>
      <c r="O157" s="132"/>
      <c r="P157" s="134"/>
      <c r="Q157" s="94"/>
      <c r="R157" s="94"/>
    </row>
    <row r="158" spans="3:18" x14ac:dyDescent="0.25">
      <c r="C158" s="37"/>
      <c r="D158" s="159"/>
      <c r="E158" s="45"/>
      <c r="F158" s="129"/>
      <c r="G158" s="1"/>
      <c r="H158" s="160"/>
      <c r="I158" s="37"/>
      <c r="J158" s="138"/>
      <c r="K158" s="114"/>
      <c r="L158" s="37"/>
      <c r="M158" s="37"/>
      <c r="N158" s="37"/>
      <c r="O158" s="132"/>
      <c r="P158" s="134"/>
      <c r="Q158" s="94"/>
      <c r="R158" s="94"/>
    </row>
    <row r="159" spans="3:18" x14ac:dyDescent="0.25">
      <c r="C159" s="37"/>
      <c r="D159" s="159"/>
      <c r="E159" s="45"/>
      <c r="F159" s="129"/>
      <c r="G159" s="1"/>
      <c r="H159" s="160"/>
      <c r="I159" s="37"/>
      <c r="J159" s="138"/>
      <c r="K159" s="114"/>
      <c r="L159" s="37"/>
      <c r="M159" s="37"/>
      <c r="N159" s="37"/>
      <c r="O159" s="132"/>
      <c r="P159" s="134"/>
      <c r="Q159" s="94"/>
      <c r="R159" s="94"/>
    </row>
    <row r="160" spans="3:18" x14ac:dyDescent="0.25">
      <c r="C160" s="37"/>
      <c r="D160" s="159"/>
      <c r="E160" s="45"/>
      <c r="F160" s="129"/>
      <c r="G160" s="1"/>
      <c r="H160" s="160"/>
      <c r="I160" s="37"/>
      <c r="J160" s="138"/>
      <c r="K160" s="114"/>
      <c r="L160" s="37"/>
      <c r="M160" s="37"/>
      <c r="N160" s="37"/>
      <c r="O160" s="132"/>
      <c r="P160" s="134"/>
      <c r="Q160" s="94"/>
      <c r="R160" s="94"/>
    </row>
    <row r="161" spans="3:18" x14ac:dyDescent="0.25">
      <c r="C161" s="37"/>
      <c r="D161" s="159"/>
      <c r="E161" s="45"/>
      <c r="F161" s="129"/>
      <c r="G161" s="1"/>
      <c r="H161" s="160"/>
      <c r="I161" s="37"/>
      <c r="J161" s="138"/>
      <c r="K161" s="114"/>
      <c r="L161" s="37"/>
      <c r="M161" s="37"/>
      <c r="N161" s="37"/>
      <c r="O161" s="132"/>
      <c r="P161" s="134"/>
      <c r="Q161" s="94"/>
      <c r="R161" s="94"/>
    </row>
    <row r="162" spans="3:18" x14ac:dyDescent="0.25">
      <c r="C162" s="37"/>
      <c r="D162" s="159"/>
      <c r="E162" s="45"/>
      <c r="F162" s="129"/>
      <c r="G162" s="1"/>
      <c r="H162" s="160"/>
      <c r="I162" s="37"/>
      <c r="J162" s="138"/>
      <c r="K162" s="114"/>
      <c r="L162" s="37"/>
      <c r="M162" s="37"/>
      <c r="N162" s="37"/>
      <c r="O162" s="132"/>
      <c r="P162" s="134"/>
      <c r="Q162" s="94"/>
      <c r="R162" s="94"/>
    </row>
    <row r="163" spans="3:18" x14ac:dyDescent="0.25">
      <c r="C163" s="37"/>
      <c r="D163" s="159"/>
      <c r="E163" s="45"/>
      <c r="F163" s="129"/>
      <c r="G163" s="1"/>
      <c r="H163" s="160"/>
      <c r="I163" s="37"/>
      <c r="J163" s="138"/>
      <c r="K163" s="114"/>
      <c r="L163" s="37"/>
      <c r="M163" s="37"/>
      <c r="N163" s="37"/>
      <c r="O163" s="132"/>
      <c r="P163" s="134"/>
      <c r="Q163" s="94"/>
      <c r="R163" s="94"/>
    </row>
    <row r="164" spans="3:18" x14ac:dyDescent="0.25">
      <c r="C164" s="37"/>
      <c r="D164" s="159"/>
      <c r="E164" s="45"/>
      <c r="F164" s="129"/>
      <c r="G164" s="1"/>
      <c r="H164" s="160"/>
      <c r="I164" s="37"/>
      <c r="J164" s="138"/>
      <c r="K164" s="114"/>
      <c r="L164" s="37"/>
      <c r="M164" s="37"/>
      <c r="N164" s="37"/>
      <c r="O164" s="132"/>
      <c r="P164" s="134"/>
      <c r="Q164" s="94"/>
      <c r="R164" s="94"/>
    </row>
    <row r="165" spans="3:18" x14ac:dyDescent="0.25">
      <c r="C165" s="37"/>
      <c r="D165" s="159"/>
      <c r="E165" s="45"/>
      <c r="F165" s="129"/>
      <c r="G165" s="1"/>
      <c r="H165" s="160"/>
      <c r="I165" s="37"/>
      <c r="J165" s="138"/>
      <c r="K165" s="114"/>
      <c r="L165" s="37"/>
      <c r="M165" s="37"/>
      <c r="N165" s="37"/>
      <c r="O165" s="132"/>
      <c r="P165" s="134"/>
      <c r="Q165" s="94"/>
      <c r="R165" s="94"/>
    </row>
    <row r="166" spans="3:18" x14ac:dyDescent="0.25">
      <c r="C166" s="37"/>
      <c r="D166" s="159"/>
      <c r="E166" s="45"/>
      <c r="F166" s="129"/>
      <c r="G166" s="1"/>
      <c r="H166" s="160"/>
      <c r="I166" s="37"/>
      <c r="J166" s="138"/>
      <c r="K166" s="114"/>
      <c r="L166" s="37"/>
      <c r="M166" s="37"/>
      <c r="N166" s="37"/>
      <c r="O166" s="132"/>
      <c r="P166" s="134"/>
      <c r="Q166" s="94"/>
      <c r="R166" s="94"/>
    </row>
    <row r="167" spans="3:18" x14ac:dyDescent="0.25">
      <c r="C167" s="37"/>
      <c r="D167" s="159"/>
      <c r="E167" s="45"/>
      <c r="F167" s="129"/>
      <c r="G167" s="1"/>
      <c r="H167" s="160"/>
      <c r="I167" s="37"/>
      <c r="J167" s="138"/>
      <c r="K167" s="114"/>
      <c r="L167" s="37"/>
      <c r="M167" s="37"/>
      <c r="N167" s="37"/>
      <c r="O167" s="132"/>
      <c r="P167" s="134"/>
      <c r="Q167" s="94"/>
      <c r="R167" s="94"/>
    </row>
    <row r="168" spans="3:18" x14ac:dyDescent="0.25">
      <c r="C168" s="37"/>
      <c r="D168" s="159"/>
      <c r="E168" s="45"/>
      <c r="F168" s="129"/>
      <c r="G168" s="1"/>
      <c r="H168" s="160"/>
      <c r="I168" s="37"/>
      <c r="J168" s="138"/>
      <c r="K168" s="114"/>
      <c r="L168" s="37"/>
      <c r="M168" s="37"/>
      <c r="N168" s="37"/>
      <c r="O168" s="132"/>
      <c r="P168" s="134"/>
      <c r="Q168" s="94"/>
      <c r="R168" s="94"/>
    </row>
    <row r="169" spans="3:18" x14ac:dyDescent="0.25">
      <c r="C169" s="37"/>
      <c r="D169" s="159"/>
      <c r="E169" s="45"/>
      <c r="F169" s="129"/>
      <c r="G169" s="1"/>
      <c r="H169" s="160"/>
      <c r="I169" s="37"/>
      <c r="J169" s="138"/>
      <c r="K169" s="114"/>
      <c r="L169" s="37"/>
      <c r="M169" s="37"/>
      <c r="N169" s="37"/>
      <c r="O169" s="132"/>
      <c r="P169" s="134"/>
      <c r="Q169" s="94"/>
      <c r="R169" s="94"/>
    </row>
    <row r="170" spans="3:18" x14ac:dyDescent="0.25">
      <c r="C170" s="37"/>
      <c r="D170" s="159"/>
      <c r="E170" s="45"/>
      <c r="F170" s="129"/>
      <c r="G170" s="1"/>
      <c r="H170" s="160"/>
      <c r="I170" s="37"/>
      <c r="J170" s="138"/>
      <c r="K170" s="114"/>
      <c r="L170" s="37"/>
      <c r="M170" s="37"/>
      <c r="N170" s="37"/>
      <c r="O170" s="132"/>
      <c r="P170" s="134"/>
      <c r="Q170" s="94"/>
      <c r="R170" s="94"/>
    </row>
    <row r="171" spans="3:18" x14ac:dyDescent="0.25">
      <c r="C171" s="37"/>
      <c r="D171" s="159"/>
      <c r="E171" s="45"/>
      <c r="F171" s="129"/>
      <c r="G171" s="1"/>
      <c r="H171" s="160"/>
      <c r="I171" s="37"/>
      <c r="J171" s="138"/>
      <c r="K171" s="114"/>
      <c r="L171" s="37"/>
      <c r="M171" s="37"/>
      <c r="N171" s="37"/>
      <c r="O171" s="132"/>
      <c r="P171" s="134"/>
      <c r="Q171" s="94"/>
      <c r="R171" s="94"/>
    </row>
    <row r="172" spans="3:18" x14ac:dyDescent="0.25">
      <c r="C172" s="37"/>
      <c r="D172" s="159"/>
      <c r="E172" s="45"/>
      <c r="F172" s="129"/>
      <c r="G172" s="1"/>
      <c r="H172" s="160"/>
      <c r="I172" s="37"/>
      <c r="J172" s="138"/>
      <c r="K172" s="114"/>
      <c r="L172" s="37"/>
      <c r="M172" s="37"/>
      <c r="N172" s="37"/>
      <c r="O172" s="132"/>
      <c r="P172" s="134"/>
      <c r="Q172" s="94"/>
      <c r="R172" s="94"/>
    </row>
    <row r="173" spans="3:18" x14ac:dyDescent="0.25">
      <c r="C173" s="37"/>
      <c r="D173" s="159"/>
      <c r="E173" s="45"/>
      <c r="F173" s="129"/>
      <c r="G173" s="1"/>
      <c r="H173" s="160"/>
      <c r="I173" s="37"/>
      <c r="J173" s="138"/>
      <c r="K173" s="114"/>
      <c r="L173" s="37"/>
      <c r="M173" s="37"/>
      <c r="N173" s="37"/>
      <c r="O173" s="132"/>
      <c r="P173" s="134"/>
      <c r="Q173" s="94"/>
      <c r="R173" s="94"/>
    </row>
    <row r="174" spans="3:18" x14ac:dyDescent="0.25">
      <c r="C174" s="37"/>
      <c r="D174" s="159"/>
      <c r="E174" s="45"/>
      <c r="F174" s="129"/>
      <c r="G174" s="1"/>
      <c r="H174" s="160"/>
      <c r="I174" s="37"/>
      <c r="J174" s="138"/>
      <c r="K174" s="114"/>
      <c r="L174" s="37"/>
      <c r="M174" s="37"/>
      <c r="N174" s="37"/>
      <c r="O174" s="132"/>
      <c r="P174" s="134"/>
      <c r="Q174" s="94"/>
      <c r="R174" s="94"/>
    </row>
    <row r="175" spans="3:18" x14ac:dyDescent="0.25">
      <c r="C175" s="37"/>
      <c r="D175" s="159"/>
      <c r="E175" s="45"/>
      <c r="F175" s="129"/>
      <c r="G175" s="1"/>
      <c r="H175" s="160"/>
      <c r="I175" s="37"/>
      <c r="J175" s="138"/>
      <c r="K175" s="114"/>
      <c r="L175" s="37"/>
      <c r="M175" s="37"/>
      <c r="N175" s="37"/>
      <c r="O175" s="132"/>
      <c r="P175" s="134"/>
      <c r="Q175" s="94"/>
      <c r="R175" s="94"/>
    </row>
    <row r="176" spans="3:18" x14ac:dyDescent="0.25">
      <c r="C176" s="37"/>
      <c r="D176" s="159"/>
      <c r="E176" s="45"/>
      <c r="F176" s="129"/>
      <c r="G176" s="1"/>
      <c r="H176" s="160"/>
      <c r="I176" s="37"/>
      <c r="J176" s="138"/>
      <c r="K176" s="114"/>
      <c r="L176" s="37"/>
      <c r="M176" s="37"/>
      <c r="N176" s="37"/>
      <c r="O176" s="132"/>
      <c r="P176" s="134"/>
      <c r="Q176" s="94"/>
      <c r="R176" s="94"/>
    </row>
    <row r="177" spans="3:18" x14ac:dyDescent="0.25">
      <c r="C177" s="37"/>
      <c r="D177" s="159"/>
      <c r="E177" s="45"/>
      <c r="F177" s="129"/>
      <c r="G177" s="1"/>
      <c r="H177" s="160"/>
      <c r="I177" s="37"/>
      <c r="J177" s="138"/>
      <c r="K177" s="114"/>
      <c r="L177" s="37"/>
      <c r="M177" s="37"/>
      <c r="N177" s="37"/>
      <c r="O177" s="132"/>
      <c r="P177" s="134"/>
      <c r="Q177" s="94"/>
      <c r="R177" s="94"/>
    </row>
    <row r="178" spans="3:18" x14ac:dyDescent="0.25">
      <c r="C178" s="37"/>
      <c r="D178" s="159"/>
      <c r="E178" s="45"/>
      <c r="F178" s="129"/>
      <c r="G178" s="1"/>
      <c r="H178" s="160"/>
      <c r="I178" s="37"/>
      <c r="J178" s="138"/>
      <c r="K178" s="114"/>
      <c r="L178" s="37"/>
      <c r="M178" s="37"/>
      <c r="N178" s="37"/>
      <c r="O178" s="132"/>
      <c r="P178" s="134"/>
      <c r="Q178" s="94"/>
      <c r="R178" s="94"/>
    </row>
    <row r="179" spans="3:18" x14ac:dyDescent="0.25">
      <c r="C179" s="37"/>
      <c r="D179" s="159"/>
      <c r="E179" s="45"/>
      <c r="F179" s="129"/>
      <c r="G179" s="1"/>
      <c r="H179" s="160"/>
      <c r="I179" s="37"/>
      <c r="J179" s="138"/>
      <c r="K179" s="114"/>
      <c r="L179" s="37"/>
      <c r="M179" s="37"/>
      <c r="N179" s="37"/>
      <c r="O179" s="132"/>
      <c r="P179" s="134"/>
      <c r="Q179" s="94"/>
      <c r="R179" s="94"/>
    </row>
    <row r="180" spans="3:18" x14ac:dyDescent="0.25">
      <c r="C180" s="37"/>
      <c r="D180" s="159"/>
      <c r="E180" s="45"/>
      <c r="F180" s="129"/>
      <c r="G180" s="1"/>
      <c r="H180" s="160"/>
      <c r="I180" s="37"/>
      <c r="J180" s="138"/>
      <c r="K180" s="114"/>
      <c r="L180" s="37"/>
      <c r="M180" s="37"/>
      <c r="N180" s="37"/>
      <c r="O180" s="132"/>
      <c r="P180" s="134"/>
      <c r="Q180" s="94"/>
      <c r="R180" s="94"/>
    </row>
    <row r="181" spans="3:18" x14ac:dyDescent="0.25">
      <c r="C181" s="37"/>
      <c r="D181" s="159"/>
      <c r="E181" s="45"/>
      <c r="F181" s="129"/>
      <c r="G181" s="1"/>
      <c r="H181" s="160"/>
      <c r="I181" s="37"/>
      <c r="J181" s="138"/>
      <c r="K181" s="114"/>
      <c r="L181" s="37"/>
      <c r="M181" s="37"/>
      <c r="N181" s="37"/>
      <c r="O181" s="132"/>
      <c r="P181" s="134"/>
      <c r="Q181" s="94"/>
      <c r="R181" s="94"/>
    </row>
    <row r="182" spans="3:18" x14ac:dyDescent="0.25">
      <c r="C182" s="37"/>
      <c r="D182" s="159"/>
      <c r="E182" s="45"/>
      <c r="F182" s="129"/>
      <c r="G182" s="1"/>
      <c r="H182" s="160"/>
      <c r="I182" s="37"/>
      <c r="J182" s="138"/>
      <c r="K182" s="114"/>
      <c r="L182" s="37"/>
      <c r="M182" s="37"/>
      <c r="N182" s="37"/>
      <c r="O182" s="132"/>
      <c r="P182" s="134"/>
      <c r="Q182" s="94"/>
      <c r="R182" s="94"/>
    </row>
    <row r="183" spans="3:18" x14ac:dyDescent="0.25">
      <c r="C183" s="37"/>
      <c r="D183" s="159"/>
      <c r="E183" s="45"/>
      <c r="F183" s="129"/>
      <c r="G183" s="1"/>
      <c r="H183" s="160"/>
      <c r="I183" s="37"/>
      <c r="J183" s="138"/>
      <c r="K183" s="114"/>
      <c r="L183" s="37"/>
      <c r="M183" s="37"/>
      <c r="N183" s="37"/>
      <c r="O183" s="132"/>
      <c r="P183" s="134"/>
      <c r="Q183" s="94"/>
      <c r="R183" s="94"/>
    </row>
    <row r="184" spans="3:18" x14ac:dyDescent="0.25">
      <c r="C184" s="37"/>
      <c r="D184" s="159"/>
      <c r="E184" s="45"/>
      <c r="F184" s="129"/>
      <c r="G184" s="1"/>
      <c r="H184" s="160"/>
      <c r="I184" s="37"/>
      <c r="J184" s="138"/>
      <c r="K184" s="114"/>
      <c r="L184" s="37"/>
      <c r="M184" s="37"/>
      <c r="N184" s="37"/>
      <c r="O184" s="132"/>
      <c r="P184" s="134"/>
      <c r="Q184" s="94"/>
      <c r="R184" s="94"/>
    </row>
    <row r="185" spans="3:18" x14ac:dyDescent="0.25">
      <c r="C185" s="37"/>
      <c r="D185" s="159"/>
      <c r="E185" s="45"/>
      <c r="F185" s="129"/>
      <c r="G185" s="1"/>
      <c r="H185" s="160"/>
      <c r="I185" s="37"/>
      <c r="J185" s="138"/>
      <c r="K185" s="114"/>
      <c r="L185" s="37"/>
      <c r="M185" s="37"/>
      <c r="N185" s="37"/>
      <c r="O185" s="132"/>
      <c r="P185" s="134"/>
      <c r="Q185" s="94"/>
      <c r="R185" s="94"/>
    </row>
    <row r="186" spans="3:18" x14ac:dyDescent="0.25">
      <c r="C186" s="37"/>
      <c r="D186" s="159"/>
      <c r="E186" s="45"/>
      <c r="F186" s="129"/>
      <c r="G186" s="1"/>
      <c r="H186" s="160"/>
      <c r="I186" s="37"/>
      <c r="J186" s="138"/>
      <c r="K186" s="114"/>
      <c r="L186" s="37"/>
      <c r="M186" s="37"/>
      <c r="N186" s="37"/>
      <c r="O186" s="132"/>
      <c r="P186" s="134"/>
      <c r="Q186" s="94"/>
      <c r="R186" s="94"/>
    </row>
    <row r="187" spans="3:18" x14ac:dyDescent="0.25">
      <c r="C187" s="37"/>
      <c r="D187" s="159"/>
      <c r="E187" s="45"/>
      <c r="F187" s="129"/>
      <c r="G187" s="1"/>
      <c r="H187" s="160"/>
      <c r="I187" s="37"/>
      <c r="J187" s="138"/>
      <c r="K187" s="114"/>
      <c r="L187" s="37"/>
      <c r="M187" s="37"/>
      <c r="N187" s="37"/>
      <c r="O187" s="132"/>
      <c r="P187" s="134"/>
      <c r="Q187" s="94"/>
      <c r="R187" s="94"/>
    </row>
    <row r="188" spans="3:18" x14ac:dyDescent="0.25">
      <c r="C188" s="37"/>
      <c r="D188" s="159"/>
      <c r="E188" s="45"/>
      <c r="F188" s="129"/>
      <c r="G188" s="1"/>
      <c r="H188" s="160"/>
      <c r="I188" s="37"/>
      <c r="J188" s="138"/>
      <c r="K188" s="114"/>
      <c r="L188" s="37"/>
      <c r="M188" s="37"/>
      <c r="N188" s="37"/>
      <c r="O188" s="132"/>
      <c r="P188" s="134"/>
      <c r="Q188" s="94"/>
      <c r="R188" s="94"/>
    </row>
    <row r="189" spans="3:18" x14ac:dyDescent="0.25">
      <c r="C189" s="37"/>
      <c r="D189" s="159"/>
      <c r="E189" s="45"/>
      <c r="F189" s="129"/>
      <c r="G189" s="1"/>
      <c r="H189" s="160"/>
      <c r="I189" s="37"/>
      <c r="J189" s="138"/>
      <c r="K189" s="114"/>
      <c r="L189" s="37"/>
      <c r="M189" s="37"/>
      <c r="N189" s="37"/>
      <c r="O189" s="132"/>
      <c r="P189" s="134"/>
      <c r="Q189" s="94"/>
      <c r="R189" s="94"/>
    </row>
    <row r="190" spans="3:18" x14ac:dyDescent="0.25">
      <c r="C190" s="37"/>
      <c r="D190" s="159"/>
      <c r="E190" s="45"/>
      <c r="F190" s="129"/>
      <c r="G190" s="1"/>
      <c r="H190" s="160"/>
      <c r="I190" s="37"/>
      <c r="J190" s="138"/>
      <c r="K190" s="114"/>
      <c r="L190" s="37"/>
      <c r="M190" s="37"/>
      <c r="N190" s="37"/>
      <c r="O190" s="132"/>
      <c r="P190" s="134"/>
      <c r="Q190" s="94"/>
      <c r="R190" s="94"/>
    </row>
    <row r="191" spans="3:18" x14ac:dyDescent="0.25">
      <c r="C191" s="37"/>
      <c r="D191" s="159"/>
      <c r="E191" s="45"/>
      <c r="F191" s="129"/>
      <c r="G191" s="1"/>
      <c r="H191" s="160"/>
      <c r="I191" s="37"/>
      <c r="J191" s="138"/>
      <c r="K191" s="114"/>
      <c r="L191" s="37"/>
      <c r="M191" s="37"/>
      <c r="N191" s="37"/>
      <c r="O191" s="132"/>
      <c r="P191" s="134"/>
      <c r="Q191" s="94"/>
      <c r="R191" s="94"/>
    </row>
    <row r="192" spans="3:18" x14ac:dyDescent="0.25">
      <c r="C192" s="37"/>
      <c r="D192" s="159"/>
      <c r="E192" s="45"/>
      <c r="F192" s="129"/>
      <c r="G192" s="1"/>
      <c r="H192" s="160"/>
      <c r="I192" s="37"/>
      <c r="J192" s="138"/>
      <c r="K192" s="114"/>
      <c r="L192" s="37"/>
      <c r="M192" s="37"/>
      <c r="N192" s="37"/>
      <c r="O192" s="132"/>
      <c r="P192" s="134"/>
      <c r="Q192" s="94"/>
      <c r="R192" s="94"/>
    </row>
    <row r="193" spans="3:18" x14ac:dyDescent="0.25">
      <c r="C193" s="37"/>
      <c r="D193" s="159"/>
      <c r="E193" s="45"/>
      <c r="F193" s="129"/>
      <c r="G193" s="1"/>
      <c r="H193" s="160"/>
      <c r="I193" s="37"/>
      <c r="J193" s="138"/>
      <c r="K193" s="114"/>
      <c r="L193" s="37"/>
      <c r="M193" s="37"/>
      <c r="N193" s="37"/>
      <c r="O193" s="132"/>
      <c r="P193" s="134"/>
      <c r="Q193" s="94"/>
      <c r="R193" s="94"/>
    </row>
    <row r="194" spans="3:18" x14ac:dyDescent="0.25">
      <c r="C194" s="37"/>
      <c r="D194" s="159"/>
      <c r="E194" s="45"/>
      <c r="F194" s="129"/>
      <c r="G194" s="1"/>
      <c r="H194" s="160"/>
      <c r="I194" s="37"/>
      <c r="J194" s="138"/>
      <c r="K194" s="114"/>
      <c r="L194" s="37"/>
      <c r="M194" s="37"/>
      <c r="N194" s="37"/>
      <c r="O194" s="132"/>
      <c r="P194" s="134"/>
      <c r="Q194" s="94"/>
      <c r="R194" s="94"/>
    </row>
    <row r="195" spans="3:18" x14ac:dyDescent="0.25">
      <c r="C195" s="37"/>
      <c r="D195" s="159"/>
      <c r="E195" s="45"/>
      <c r="F195" s="129"/>
      <c r="G195" s="1"/>
      <c r="H195" s="160"/>
      <c r="I195" s="37"/>
      <c r="J195" s="138"/>
      <c r="K195" s="114"/>
      <c r="L195" s="37"/>
      <c r="M195" s="37"/>
      <c r="N195" s="37"/>
      <c r="O195" s="132"/>
      <c r="P195" s="134"/>
      <c r="Q195" s="94"/>
      <c r="R195" s="94"/>
    </row>
    <row r="196" spans="3:18" x14ac:dyDescent="0.25">
      <c r="C196" s="37"/>
      <c r="D196" s="159"/>
      <c r="E196" s="45"/>
      <c r="F196" s="129"/>
      <c r="G196" s="1"/>
      <c r="H196" s="160"/>
      <c r="I196" s="37"/>
      <c r="J196" s="138"/>
      <c r="K196" s="114"/>
      <c r="L196" s="37"/>
      <c r="M196" s="37"/>
      <c r="N196" s="37"/>
      <c r="O196" s="132"/>
      <c r="P196" s="134"/>
      <c r="Q196" s="94"/>
      <c r="R196" s="94"/>
    </row>
    <row r="197" spans="3:18" x14ac:dyDescent="0.25">
      <c r="C197" s="37"/>
      <c r="D197" s="159"/>
      <c r="E197" s="45"/>
      <c r="F197" s="129"/>
      <c r="G197" s="1"/>
      <c r="H197" s="160"/>
      <c r="I197" s="37"/>
      <c r="J197" s="138"/>
      <c r="K197" s="114"/>
      <c r="L197" s="37"/>
      <c r="M197" s="37"/>
      <c r="N197" s="37"/>
      <c r="O197" s="132"/>
      <c r="P197" s="134"/>
      <c r="Q197" s="94"/>
      <c r="R197" s="94"/>
    </row>
    <row r="198" spans="3:18" x14ac:dyDescent="0.25">
      <c r="C198" s="37"/>
      <c r="D198" s="159"/>
      <c r="E198" s="45"/>
      <c r="F198" s="129"/>
      <c r="G198" s="1"/>
      <c r="H198" s="160"/>
      <c r="I198" s="37"/>
      <c r="J198" s="138"/>
      <c r="K198" s="114"/>
      <c r="L198" s="37"/>
      <c r="M198" s="37"/>
      <c r="N198" s="37"/>
      <c r="O198" s="132"/>
      <c r="P198" s="134"/>
      <c r="Q198" s="94"/>
      <c r="R198" s="94"/>
    </row>
    <row r="199" spans="3:18" x14ac:dyDescent="0.25">
      <c r="C199" s="37"/>
      <c r="D199" s="159"/>
      <c r="E199" s="45"/>
      <c r="F199" s="129"/>
      <c r="G199" s="1"/>
      <c r="H199" s="160"/>
      <c r="I199" s="37"/>
      <c r="J199" s="138"/>
      <c r="K199" s="114"/>
      <c r="L199" s="37"/>
      <c r="M199" s="37"/>
      <c r="N199" s="37"/>
      <c r="O199" s="132"/>
      <c r="P199" s="134"/>
      <c r="Q199" s="94"/>
      <c r="R199" s="94"/>
    </row>
    <row r="200" spans="3:18" x14ac:dyDescent="0.25">
      <c r="C200" s="37"/>
      <c r="D200" s="159"/>
      <c r="E200" s="45"/>
      <c r="F200" s="129"/>
      <c r="G200" s="1"/>
      <c r="H200" s="160"/>
      <c r="I200" s="37"/>
      <c r="J200" s="138"/>
      <c r="K200" s="114"/>
      <c r="L200" s="37"/>
      <c r="M200" s="37"/>
      <c r="N200" s="37"/>
      <c r="O200" s="132"/>
      <c r="P200" s="134"/>
      <c r="Q200" s="94"/>
      <c r="R200" s="94"/>
    </row>
    <row r="201" spans="3:18" x14ac:dyDescent="0.25">
      <c r="C201" s="37"/>
      <c r="D201" s="159"/>
      <c r="E201" s="45"/>
      <c r="F201" s="129"/>
      <c r="G201" s="1"/>
      <c r="H201" s="160"/>
      <c r="I201" s="37"/>
      <c r="J201" s="138"/>
      <c r="K201" s="114"/>
      <c r="L201" s="37"/>
      <c r="M201" s="37"/>
      <c r="N201" s="37"/>
      <c r="O201" s="132"/>
      <c r="P201" s="134"/>
      <c r="Q201" s="94"/>
      <c r="R201" s="94"/>
    </row>
    <row r="202" spans="3:18" x14ac:dyDescent="0.25">
      <c r="C202" s="37"/>
      <c r="D202" s="159"/>
      <c r="E202" s="45"/>
      <c r="F202" s="129"/>
      <c r="G202" s="1"/>
      <c r="H202" s="160"/>
      <c r="I202" s="37"/>
      <c r="J202" s="138"/>
      <c r="K202" s="114"/>
      <c r="L202" s="37"/>
      <c r="M202" s="37"/>
      <c r="N202" s="37"/>
      <c r="O202" s="132"/>
      <c r="P202" s="134"/>
      <c r="Q202" s="94"/>
      <c r="R202" s="94"/>
    </row>
    <row r="203" spans="3:18" x14ac:dyDescent="0.25">
      <c r="C203" s="37"/>
      <c r="D203" s="159"/>
      <c r="E203" s="45"/>
      <c r="F203" s="129"/>
      <c r="G203" s="1"/>
      <c r="H203" s="160"/>
      <c r="I203" s="37"/>
      <c r="J203" s="138"/>
      <c r="K203" s="114"/>
      <c r="L203" s="37"/>
      <c r="M203" s="37"/>
      <c r="N203" s="37"/>
      <c r="O203" s="132"/>
      <c r="P203" s="134"/>
      <c r="Q203" s="94"/>
      <c r="R203" s="94"/>
    </row>
    <row r="204" spans="3:18" x14ac:dyDescent="0.25">
      <c r="C204" s="37"/>
      <c r="D204" s="159"/>
      <c r="E204" s="45"/>
      <c r="F204" s="129"/>
      <c r="G204" s="1"/>
      <c r="H204" s="160"/>
      <c r="I204" s="37"/>
      <c r="J204" s="138"/>
      <c r="K204" s="114"/>
      <c r="L204" s="37"/>
      <c r="M204" s="37"/>
      <c r="N204" s="37"/>
      <c r="O204" s="132"/>
      <c r="P204" s="134"/>
      <c r="Q204" s="94"/>
      <c r="R204" s="94"/>
    </row>
    <row r="205" spans="3:18" x14ac:dyDescent="0.25">
      <c r="C205" s="37"/>
      <c r="D205" s="159"/>
      <c r="E205" s="45"/>
      <c r="F205" s="129"/>
      <c r="G205" s="1"/>
      <c r="H205" s="160"/>
      <c r="I205" s="37"/>
      <c r="J205" s="138"/>
      <c r="K205" s="114"/>
      <c r="L205" s="37"/>
      <c r="M205" s="37"/>
      <c r="N205" s="37"/>
      <c r="O205" s="132"/>
      <c r="P205" s="134"/>
      <c r="Q205" s="94"/>
      <c r="R205" s="94"/>
    </row>
    <row r="206" spans="3:18" x14ac:dyDescent="0.25">
      <c r="C206" s="37"/>
      <c r="D206" s="159"/>
      <c r="E206" s="45"/>
      <c r="F206" s="129"/>
      <c r="G206" s="1"/>
      <c r="H206" s="160"/>
      <c r="I206" s="37"/>
      <c r="J206" s="138"/>
      <c r="K206" s="114"/>
      <c r="L206" s="37"/>
      <c r="M206" s="37"/>
      <c r="N206" s="37"/>
      <c r="O206" s="132"/>
      <c r="P206" s="134"/>
      <c r="Q206" s="94"/>
      <c r="R206" s="94"/>
    </row>
    <row r="207" spans="3:18" x14ac:dyDescent="0.25">
      <c r="C207" s="37"/>
      <c r="D207" s="159"/>
      <c r="E207" s="45"/>
      <c r="F207" s="129"/>
      <c r="G207" s="1"/>
      <c r="H207" s="160"/>
      <c r="I207" s="37"/>
      <c r="J207" s="138"/>
      <c r="K207" s="114"/>
      <c r="L207" s="37"/>
      <c r="M207" s="37"/>
      <c r="N207" s="37"/>
      <c r="O207" s="132"/>
      <c r="P207" s="134"/>
      <c r="Q207" s="94"/>
      <c r="R207" s="94"/>
    </row>
    <row r="208" spans="3:18" x14ac:dyDescent="0.25">
      <c r="C208" s="37"/>
      <c r="D208" s="159"/>
      <c r="E208" s="45"/>
      <c r="F208" s="129"/>
      <c r="G208" s="1"/>
      <c r="H208" s="160"/>
      <c r="I208" s="37"/>
      <c r="J208" s="138"/>
      <c r="K208" s="114"/>
      <c r="L208" s="37"/>
      <c r="M208" s="37"/>
      <c r="N208" s="37"/>
      <c r="O208" s="132"/>
      <c r="P208" s="134"/>
      <c r="Q208" s="94"/>
      <c r="R208" s="94"/>
    </row>
    <row r="209" spans="3:18" x14ac:dyDescent="0.25">
      <c r="C209" s="37"/>
      <c r="D209" s="159"/>
      <c r="E209" s="45"/>
      <c r="F209" s="129"/>
      <c r="G209" s="1"/>
      <c r="H209" s="160"/>
      <c r="I209" s="37"/>
      <c r="J209" s="138"/>
      <c r="K209" s="114"/>
      <c r="L209" s="37"/>
      <c r="M209" s="37"/>
      <c r="N209" s="37"/>
      <c r="O209" s="132"/>
      <c r="P209" s="134"/>
      <c r="Q209" s="94"/>
      <c r="R209" s="94"/>
    </row>
    <row r="210" spans="3:18" x14ac:dyDescent="0.25">
      <c r="C210" s="37"/>
      <c r="D210" s="159"/>
      <c r="E210" s="45"/>
      <c r="F210" s="129"/>
      <c r="G210" s="1"/>
      <c r="H210" s="160"/>
      <c r="I210" s="37"/>
      <c r="J210" s="138"/>
      <c r="K210" s="114"/>
      <c r="L210" s="37"/>
      <c r="M210" s="37"/>
      <c r="N210" s="37"/>
      <c r="O210" s="132"/>
      <c r="P210" s="134"/>
      <c r="Q210" s="94"/>
      <c r="R210" s="94"/>
    </row>
    <row r="211" spans="3:18" x14ac:dyDescent="0.25">
      <c r="C211" s="37"/>
      <c r="D211" s="159"/>
      <c r="E211" s="45"/>
      <c r="F211" s="129"/>
      <c r="G211" s="1"/>
      <c r="H211" s="160"/>
      <c r="I211" s="37"/>
      <c r="J211" s="138"/>
      <c r="K211" s="114"/>
      <c r="L211" s="37"/>
      <c r="M211" s="37"/>
      <c r="N211" s="37"/>
      <c r="O211" s="132"/>
      <c r="P211" s="134"/>
      <c r="Q211" s="94"/>
      <c r="R211" s="94"/>
    </row>
    <row r="212" spans="3:18" x14ac:dyDescent="0.25">
      <c r="C212" s="37"/>
      <c r="D212" s="159"/>
      <c r="E212" s="45"/>
      <c r="F212" s="129"/>
      <c r="G212" s="1"/>
      <c r="H212" s="160"/>
      <c r="I212" s="37"/>
      <c r="J212" s="138"/>
      <c r="K212" s="114"/>
      <c r="L212" s="37"/>
      <c r="M212" s="37"/>
      <c r="N212" s="37"/>
      <c r="O212" s="132"/>
      <c r="P212" s="134"/>
      <c r="Q212" s="94"/>
      <c r="R212" s="94"/>
    </row>
    <row r="213" spans="3:18" x14ac:dyDescent="0.25">
      <c r="C213" s="37"/>
      <c r="D213" s="159"/>
      <c r="E213" s="45"/>
      <c r="F213" s="129"/>
      <c r="G213" s="1"/>
      <c r="H213" s="160"/>
      <c r="I213" s="37"/>
      <c r="J213" s="138"/>
      <c r="K213" s="114"/>
      <c r="L213" s="37"/>
      <c r="M213" s="37"/>
      <c r="N213" s="37"/>
      <c r="O213" s="132"/>
      <c r="P213" s="134"/>
      <c r="Q213" s="94"/>
      <c r="R213" s="94"/>
    </row>
    <row r="214" spans="3:18" x14ac:dyDescent="0.25">
      <c r="C214" s="37"/>
      <c r="D214" s="159"/>
      <c r="E214" s="45"/>
      <c r="F214" s="129"/>
      <c r="G214" s="1"/>
      <c r="H214" s="160"/>
      <c r="I214" s="37"/>
      <c r="J214" s="138"/>
      <c r="K214" s="114"/>
      <c r="L214" s="37"/>
      <c r="M214" s="37"/>
      <c r="N214" s="37"/>
      <c r="O214" s="132"/>
      <c r="P214" s="134"/>
      <c r="Q214" s="94"/>
      <c r="R214" s="94"/>
    </row>
    <row r="215" spans="3:18" x14ac:dyDescent="0.25">
      <c r="C215" s="37"/>
      <c r="D215" s="159"/>
      <c r="E215" s="45"/>
      <c r="F215" s="129"/>
      <c r="G215" s="1"/>
      <c r="H215" s="160"/>
      <c r="I215" s="37"/>
      <c r="J215" s="138"/>
      <c r="K215" s="114"/>
      <c r="L215" s="37"/>
      <c r="M215" s="37"/>
      <c r="N215" s="37"/>
      <c r="O215" s="132"/>
      <c r="P215" s="134"/>
      <c r="Q215" s="94"/>
      <c r="R215" s="94"/>
    </row>
    <row r="216" spans="3:18" x14ac:dyDescent="0.25">
      <c r="C216" s="37"/>
      <c r="D216" s="159"/>
      <c r="E216" s="45"/>
      <c r="F216" s="129"/>
      <c r="G216" s="1"/>
      <c r="H216" s="160"/>
      <c r="I216" s="37"/>
      <c r="J216" s="138"/>
      <c r="K216" s="114"/>
      <c r="L216" s="37"/>
      <c r="M216" s="37"/>
      <c r="N216" s="37"/>
      <c r="O216" s="132"/>
      <c r="P216" s="134"/>
      <c r="Q216" s="94"/>
      <c r="R216" s="94"/>
    </row>
    <row r="217" spans="3:18" x14ac:dyDescent="0.25">
      <c r="C217" s="37"/>
      <c r="D217" s="159"/>
      <c r="E217" s="45"/>
      <c r="F217" s="129"/>
      <c r="G217" s="1"/>
      <c r="H217" s="160"/>
      <c r="I217" s="37"/>
      <c r="J217" s="138"/>
      <c r="K217" s="114"/>
      <c r="L217" s="37"/>
      <c r="M217" s="37"/>
      <c r="N217" s="37"/>
      <c r="O217" s="132"/>
      <c r="P217" s="134"/>
      <c r="Q217" s="94"/>
      <c r="R217" s="94"/>
    </row>
    <row r="218" spans="3:18" x14ac:dyDescent="0.25">
      <c r="C218" s="37"/>
      <c r="D218" s="159"/>
      <c r="E218" s="45"/>
      <c r="F218" s="129"/>
      <c r="G218" s="1"/>
      <c r="H218" s="160"/>
      <c r="I218" s="37"/>
      <c r="J218" s="138"/>
      <c r="K218" s="114"/>
      <c r="L218" s="37"/>
      <c r="M218" s="37"/>
      <c r="N218" s="37"/>
      <c r="O218" s="132"/>
      <c r="P218" s="134"/>
      <c r="Q218" s="94"/>
      <c r="R218" s="94"/>
    </row>
    <row r="219" spans="3:18" x14ac:dyDescent="0.25">
      <c r="C219" s="37"/>
      <c r="D219" s="159"/>
      <c r="E219" s="45"/>
      <c r="F219" s="129"/>
      <c r="G219" s="1"/>
      <c r="H219" s="160"/>
      <c r="I219" s="37"/>
      <c r="J219" s="138"/>
      <c r="K219" s="114"/>
      <c r="L219" s="37"/>
      <c r="M219" s="37"/>
      <c r="N219" s="37"/>
      <c r="O219" s="132"/>
      <c r="P219" s="134"/>
      <c r="Q219" s="94"/>
      <c r="R219" s="94"/>
    </row>
    <row r="220" spans="3:18" x14ac:dyDescent="0.25">
      <c r="C220" s="37"/>
      <c r="D220" s="159"/>
      <c r="E220" s="45"/>
      <c r="F220" s="129"/>
      <c r="G220" s="1"/>
      <c r="H220" s="160"/>
      <c r="I220" s="37"/>
      <c r="J220" s="138"/>
      <c r="K220" s="114"/>
      <c r="L220" s="37"/>
      <c r="M220" s="37"/>
      <c r="N220" s="37"/>
      <c r="O220" s="132"/>
      <c r="P220" s="134"/>
      <c r="Q220" s="94"/>
      <c r="R220" s="94"/>
    </row>
    <row r="221" spans="3:18" x14ac:dyDescent="0.25">
      <c r="C221" s="37"/>
      <c r="D221" s="159"/>
      <c r="E221" s="45"/>
      <c r="F221" s="129"/>
      <c r="G221" s="1"/>
      <c r="H221" s="160"/>
      <c r="I221" s="37"/>
      <c r="J221" s="138"/>
      <c r="K221" s="114"/>
      <c r="L221" s="37"/>
      <c r="M221" s="37"/>
      <c r="N221" s="37"/>
      <c r="O221" s="132"/>
      <c r="P221" s="134"/>
      <c r="Q221" s="94"/>
      <c r="R221" s="94"/>
    </row>
    <row r="222" spans="3:18" x14ac:dyDescent="0.25">
      <c r="C222" s="37"/>
      <c r="D222" s="159"/>
      <c r="E222" s="45"/>
      <c r="F222" s="129"/>
      <c r="G222" s="1"/>
      <c r="H222" s="160"/>
      <c r="I222" s="37"/>
      <c r="J222" s="138"/>
      <c r="K222" s="114"/>
      <c r="L222" s="37"/>
      <c r="M222" s="37"/>
      <c r="N222" s="37"/>
      <c r="O222" s="132"/>
      <c r="P222" s="134"/>
      <c r="Q222" s="94"/>
      <c r="R222" s="94"/>
    </row>
    <row r="223" spans="3:18" x14ac:dyDescent="0.25">
      <c r="C223" s="37"/>
      <c r="D223" s="159"/>
      <c r="E223" s="45"/>
      <c r="F223" s="129"/>
      <c r="G223" s="1"/>
      <c r="H223" s="160"/>
      <c r="I223" s="37"/>
      <c r="J223" s="138"/>
      <c r="K223" s="114"/>
      <c r="L223" s="37"/>
      <c r="M223" s="37"/>
      <c r="N223" s="37"/>
      <c r="O223" s="132"/>
      <c r="P223" s="134"/>
      <c r="Q223" s="94"/>
      <c r="R223" s="94"/>
    </row>
    <row r="224" spans="3:18" x14ac:dyDescent="0.25">
      <c r="C224" s="37"/>
      <c r="D224" s="159"/>
      <c r="E224" s="45"/>
      <c r="F224" s="129"/>
      <c r="G224" s="1"/>
      <c r="H224" s="160"/>
      <c r="I224" s="37"/>
      <c r="J224" s="138"/>
      <c r="K224" s="114"/>
      <c r="L224" s="37"/>
      <c r="M224" s="37"/>
      <c r="N224" s="37"/>
      <c r="O224" s="132"/>
      <c r="P224" s="134"/>
      <c r="Q224" s="94"/>
      <c r="R224" s="94"/>
    </row>
    <row r="225" spans="3:18" x14ac:dyDescent="0.25">
      <c r="C225" s="37"/>
      <c r="D225" s="159"/>
      <c r="E225" s="45"/>
      <c r="F225" s="129"/>
      <c r="G225" s="1"/>
      <c r="H225" s="160"/>
      <c r="I225" s="37"/>
      <c r="J225" s="138"/>
      <c r="K225" s="114"/>
      <c r="L225" s="37"/>
      <c r="M225" s="37"/>
      <c r="N225" s="37"/>
      <c r="O225" s="132"/>
      <c r="P225" s="134"/>
      <c r="Q225" s="94"/>
      <c r="R225" s="94"/>
    </row>
    <row r="226" spans="3:18" x14ac:dyDescent="0.25">
      <c r="C226" s="37"/>
      <c r="D226" s="159"/>
      <c r="E226" s="45"/>
      <c r="F226" s="129"/>
      <c r="G226" s="1"/>
      <c r="H226" s="160"/>
      <c r="I226" s="37"/>
      <c r="J226" s="138"/>
      <c r="K226" s="114"/>
      <c r="L226" s="37"/>
      <c r="M226" s="37"/>
      <c r="N226" s="37"/>
      <c r="O226" s="132"/>
      <c r="P226" s="134"/>
      <c r="Q226" s="94"/>
      <c r="R226" s="94"/>
    </row>
    <row r="227" spans="3:18" x14ac:dyDescent="0.25">
      <c r="C227" s="37"/>
      <c r="D227" s="159"/>
      <c r="E227" s="45"/>
      <c r="F227" s="129"/>
      <c r="G227" s="1"/>
      <c r="H227" s="160"/>
      <c r="I227" s="37"/>
      <c r="J227" s="138"/>
      <c r="K227" s="114"/>
      <c r="L227" s="37"/>
      <c r="M227" s="37"/>
      <c r="N227" s="37"/>
      <c r="O227" s="132"/>
      <c r="P227" s="134"/>
      <c r="Q227" s="94"/>
      <c r="R227" s="94"/>
    </row>
    <row r="228" spans="3:18" x14ac:dyDescent="0.25">
      <c r="C228" s="37"/>
      <c r="D228" s="159"/>
      <c r="E228" s="45"/>
      <c r="F228" s="129"/>
      <c r="G228" s="1"/>
      <c r="H228" s="160"/>
      <c r="I228" s="37"/>
      <c r="J228" s="138"/>
      <c r="K228" s="114"/>
      <c r="L228" s="37"/>
      <c r="M228" s="37"/>
      <c r="N228" s="37"/>
      <c r="O228" s="132"/>
      <c r="P228" s="134"/>
      <c r="Q228" s="94"/>
      <c r="R228" s="94"/>
    </row>
    <row r="229" spans="3:18" x14ac:dyDescent="0.25">
      <c r="C229" s="37"/>
      <c r="D229" s="159"/>
      <c r="E229" s="45"/>
      <c r="F229" s="129"/>
      <c r="G229" s="1"/>
      <c r="H229" s="160"/>
      <c r="I229" s="37"/>
      <c r="J229" s="138"/>
      <c r="K229" s="114"/>
      <c r="L229" s="37"/>
      <c r="M229" s="37"/>
      <c r="N229" s="37"/>
      <c r="O229" s="132"/>
      <c r="P229" s="134"/>
      <c r="Q229" s="94"/>
      <c r="R229" s="94"/>
    </row>
    <row r="230" spans="3:18" x14ac:dyDescent="0.25">
      <c r="C230" s="37"/>
      <c r="D230" s="159"/>
      <c r="E230" s="45"/>
      <c r="F230" s="129"/>
      <c r="G230" s="1"/>
      <c r="H230" s="160"/>
      <c r="I230" s="37"/>
      <c r="J230" s="138"/>
      <c r="K230" s="114"/>
      <c r="L230" s="37"/>
      <c r="M230" s="37"/>
      <c r="N230" s="37"/>
      <c r="O230" s="132"/>
      <c r="P230" s="134"/>
      <c r="Q230" s="94"/>
      <c r="R230" s="94"/>
    </row>
    <row r="231" spans="3:18" x14ac:dyDescent="0.25">
      <c r="C231" s="37"/>
      <c r="D231" s="159"/>
      <c r="E231" s="45"/>
      <c r="F231" s="129"/>
      <c r="G231" s="1"/>
      <c r="H231" s="160"/>
      <c r="I231" s="37"/>
      <c r="J231" s="138"/>
      <c r="K231" s="114"/>
      <c r="L231" s="37"/>
      <c r="M231" s="37"/>
      <c r="N231" s="37"/>
      <c r="O231" s="132"/>
      <c r="P231" s="134"/>
      <c r="Q231" s="94"/>
      <c r="R231" s="94"/>
    </row>
    <row r="232" spans="3:18" x14ac:dyDescent="0.25">
      <c r="C232" s="37"/>
      <c r="D232" s="159"/>
      <c r="E232" s="45"/>
      <c r="F232" s="129"/>
      <c r="G232" s="1"/>
      <c r="H232" s="160"/>
      <c r="I232" s="37"/>
      <c r="J232" s="138"/>
      <c r="K232" s="114"/>
      <c r="L232" s="37"/>
      <c r="M232" s="37"/>
      <c r="N232" s="37"/>
      <c r="O232" s="132"/>
      <c r="P232" s="134"/>
      <c r="Q232" s="94"/>
      <c r="R232" s="94"/>
    </row>
    <row r="233" spans="3:18" x14ac:dyDescent="0.25">
      <c r="C233" s="37"/>
      <c r="D233" s="159"/>
      <c r="E233" s="45"/>
      <c r="F233" s="129"/>
      <c r="G233" s="1"/>
      <c r="H233" s="160"/>
      <c r="I233" s="37"/>
      <c r="J233" s="138"/>
      <c r="K233" s="114"/>
      <c r="L233" s="37"/>
      <c r="M233" s="37"/>
      <c r="N233" s="37"/>
      <c r="O233" s="132"/>
      <c r="P233" s="134"/>
      <c r="Q233" s="94"/>
      <c r="R233" s="94"/>
    </row>
    <row r="234" spans="3:18" x14ac:dyDescent="0.25">
      <c r="C234" s="37"/>
      <c r="D234" s="159"/>
      <c r="E234" s="45"/>
      <c r="F234" s="129"/>
      <c r="G234" s="1"/>
      <c r="H234" s="160"/>
      <c r="I234" s="37"/>
      <c r="J234" s="138"/>
      <c r="K234" s="114"/>
      <c r="L234" s="37"/>
      <c r="M234" s="37"/>
      <c r="N234" s="37"/>
      <c r="O234" s="132"/>
      <c r="P234" s="134"/>
      <c r="Q234" s="94"/>
      <c r="R234" s="94"/>
    </row>
    <row r="235" spans="3:18" x14ac:dyDescent="0.25">
      <c r="C235" s="37"/>
      <c r="D235" s="159"/>
      <c r="E235" s="45"/>
      <c r="F235" s="129"/>
      <c r="G235" s="1"/>
      <c r="H235" s="160"/>
      <c r="I235" s="37"/>
      <c r="J235" s="138"/>
      <c r="K235" s="114"/>
      <c r="L235" s="37"/>
      <c r="M235" s="37"/>
      <c r="N235" s="37"/>
      <c r="O235" s="132"/>
      <c r="P235" s="134"/>
      <c r="Q235" s="94"/>
      <c r="R235" s="94"/>
    </row>
    <row r="236" spans="3:18" x14ac:dyDescent="0.25">
      <c r="C236" s="37"/>
      <c r="D236" s="159"/>
      <c r="E236" s="45"/>
      <c r="F236" s="129"/>
      <c r="G236" s="1"/>
      <c r="H236" s="160"/>
      <c r="I236" s="37"/>
      <c r="J236" s="138"/>
      <c r="K236" s="114"/>
      <c r="L236" s="37"/>
      <c r="M236" s="37"/>
      <c r="N236" s="37"/>
      <c r="O236" s="132"/>
      <c r="P236" s="134"/>
      <c r="Q236" s="94"/>
      <c r="R236" s="94"/>
    </row>
    <row r="237" spans="3:18" x14ac:dyDescent="0.25">
      <c r="C237" s="37"/>
      <c r="D237" s="159"/>
      <c r="E237" s="45"/>
      <c r="F237" s="129"/>
      <c r="G237" s="1"/>
      <c r="H237" s="160"/>
      <c r="I237" s="37"/>
      <c r="J237" s="138"/>
      <c r="K237" s="114"/>
      <c r="L237" s="37"/>
      <c r="M237" s="37"/>
      <c r="N237" s="37"/>
      <c r="O237" s="132"/>
      <c r="P237" s="134"/>
      <c r="Q237" s="94"/>
      <c r="R237" s="94"/>
    </row>
    <row r="238" spans="3:18" x14ac:dyDescent="0.25">
      <c r="C238" s="37"/>
      <c r="D238" s="159"/>
      <c r="E238" s="45"/>
      <c r="F238" s="129"/>
      <c r="G238" s="1"/>
      <c r="H238" s="160"/>
      <c r="I238" s="37"/>
      <c r="J238" s="138"/>
      <c r="K238" s="114"/>
      <c r="L238" s="37"/>
      <c r="M238" s="37"/>
      <c r="N238" s="37"/>
      <c r="O238" s="132"/>
      <c r="P238" s="134"/>
      <c r="Q238" s="94"/>
      <c r="R238" s="94"/>
    </row>
    <row r="239" spans="3:18" x14ac:dyDescent="0.25">
      <c r="C239" s="37"/>
      <c r="D239" s="159"/>
      <c r="E239" s="45"/>
      <c r="F239" s="129"/>
      <c r="G239" s="1"/>
      <c r="H239" s="160"/>
      <c r="I239" s="37"/>
      <c r="J239" s="138"/>
      <c r="K239" s="114"/>
      <c r="L239" s="37"/>
      <c r="M239" s="37"/>
      <c r="N239" s="37"/>
      <c r="O239" s="132"/>
      <c r="P239" s="134"/>
      <c r="Q239" s="94"/>
      <c r="R239" s="94"/>
    </row>
    <row r="240" spans="3:18" x14ac:dyDescent="0.25">
      <c r="C240" s="37"/>
      <c r="D240" s="159"/>
      <c r="E240" s="45"/>
      <c r="F240" s="129"/>
      <c r="G240" s="1"/>
      <c r="H240" s="160"/>
      <c r="I240" s="37"/>
      <c r="J240" s="138"/>
      <c r="K240" s="114"/>
      <c r="L240" s="37"/>
      <c r="M240" s="37"/>
      <c r="N240" s="37"/>
      <c r="O240" s="132"/>
      <c r="P240" s="134"/>
      <c r="Q240" s="94"/>
      <c r="R240" s="94"/>
    </row>
    <row r="241" spans="3:18" x14ac:dyDescent="0.25">
      <c r="C241" s="37"/>
      <c r="D241" s="159"/>
      <c r="E241" s="45"/>
      <c r="F241" s="129"/>
      <c r="G241" s="1"/>
      <c r="H241" s="160"/>
      <c r="I241" s="37"/>
      <c r="J241" s="138"/>
      <c r="K241" s="114"/>
      <c r="L241" s="37"/>
      <c r="M241" s="37"/>
      <c r="N241" s="37"/>
      <c r="O241" s="132"/>
      <c r="P241" s="134"/>
      <c r="Q241" s="94"/>
      <c r="R241" s="94"/>
    </row>
    <row r="242" spans="3:18" x14ac:dyDescent="0.25">
      <c r="C242" s="37"/>
      <c r="D242" s="159"/>
      <c r="E242" s="45"/>
      <c r="F242" s="129"/>
      <c r="G242" s="1"/>
      <c r="H242" s="160"/>
      <c r="I242" s="37"/>
      <c r="J242" s="138"/>
      <c r="K242" s="114"/>
      <c r="L242" s="37"/>
      <c r="M242" s="37"/>
      <c r="N242" s="37"/>
      <c r="O242" s="132"/>
      <c r="P242" s="134"/>
      <c r="Q242" s="94"/>
      <c r="R242" s="94"/>
    </row>
    <row r="243" spans="3:18" x14ac:dyDescent="0.25">
      <c r="C243" s="37"/>
      <c r="D243" s="159"/>
      <c r="E243" s="45"/>
      <c r="F243" s="129"/>
      <c r="G243" s="1"/>
      <c r="H243" s="160"/>
      <c r="I243" s="37"/>
      <c r="J243" s="138"/>
      <c r="K243" s="114"/>
      <c r="L243" s="37"/>
      <c r="M243" s="37"/>
      <c r="N243" s="37"/>
      <c r="O243" s="132"/>
      <c r="P243" s="134"/>
      <c r="Q243" s="94"/>
      <c r="R243" s="94"/>
    </row>
    <row r="244" spans="3:18" x14ac:dyDescent="0.25">
      <c r="C244" s="37"/>
      <c r="D244" s="159"/>
      <c r="E244" s="45"/>
      <c r="F244" s="129"/>
      <c r="G244" s="1"/>
      <c r="H244" s="160"/>
      <c r="I244" s="37"/>
      <c r="J244" s="138"/>
      <c r="K244" s="114"/>
      <c r="L244" s="37"/>
      <c r="M244" s="37"/>
      <c r="N244" s="37"/>
      <c r="O244" s="132"/>
      <c r="P244" s="134"/>
      <c r="Q244" s="94"/>
      <c r="R244" s="94"/>
    </row>
    <row r="245" spans="3:18" x14ac:dyDescent="0.25">
      <c r="C245" s="37"/>
      <c r="D245" s="159"/>
      <c r="E245" s="45"/>
      <c r="F245" s="129"/>
      <c r="G245" s="1"/>
      <c r="H245" s="160"/>
      <c r="I245" s="37"/>
      <c r="J245" s="138"/>
      <c r="K245" s="114"/>
      <c r="L245" s="37"/>
      <c r="M245" s="37"/>
      <c r="N245" s="37"/>
      <c r="O245" s="132"/>
      <c r="P245" s="134"/>
      <c r="Q245" s="94"/>
      <c r="R245" s="94"/>
    </row>
    <row r="246" spans="3:18" x14ac:dyDescent="0.25">
      <c r="C246" s="37"/>
      <c r="D246" s="159"/>
      <c r="E246" s="45"/>
      <c r="F246" s="129"/>
      <c r="G246" s="1"/>
      <c r="H246" s="160"/>
      <c r="I246" s="37"/>
      <c r="J246" s="138"/>
      <c r="K246" s="114"/>
      <c r="L246" s="37"/>
      <c r="M246" s="37"/>
      <c r="N246" s="37"/>
      <c r="O246" s="132"/>
      <c r="P246" s="134"/>
      <c r="Q246" s="94"/>
      <c r="R246" s="94"/>
    </row>
    <row r="247" spans="3:18" x14ac:dyDescent="0.25">
      <c r="C247" s="37"/>
      <c r="D247" s="159"/>
      <c r="E247" s="45"/>
      <c r="F247" s="129"/>
      <c r="G247" s="1"/>
      <c r="H247" s="160"/>
      <c r="I247" s="37"/>
      <c r="J247" s="138"/>
      <c r="K247" s="114"/>
      <c r="L247" s="37"/>
      <c r="M247" s="37"/>
      <c r="N247" s="37"/>
      <c r="O247" s="132"/>
      <c r="P247" s="134"/>
      <c r="Q247" s="94"/>
      <c r="R247" s="94"/>
    </row>
    <row r="248" spans="3:18" x14ac:dyDescent="0.25">
      <c r="C248" s="37"/>
      <c r="D248" s="159"/>
      <c r="E248" s="45"/>
      <c r="F248" s="129"/>
      <c r="G248" s="1"/>
      <c r="H248" s="160"/>
      <c r="I248" s="37"/>
      <c r="J248" s="138"/>
      <c r="K248" s="114"/>
      <c r="L248" s="37"/>
      <c r="M248" s="37"/>
      <c r="N248" s="37"/>
      <c r="O248" s="132"/>
      <c r="P248" s="134"/>
      <c r="Q248" s="94"/>
      <c r="R248" s="94"/>
    </row>
    <row r="249" spans="3:18" x14ac:dyDescent="0.25">
      <c r="C249" s="37"/>
      <c r="D249" s="159"/>
      <c r="E249" s="45"/>
      <c r="F249" s="129"/>
      <c r="G249" s="1"/>
      <c r="H249" s="160"/>
      <c r="I249" s="37"/>
      <c r="J249" s="138"/>
      <c r="K249" s="114"/>
      <c r="L249" s="37"/>
      <c r="M249" s="37"/>
      <c r="N249" s="37"/>
      <c r="O249" s="132"/>
      <c r="P249" s="134"/>
      <c r="Q249" s="94"/>
      <c r="R249" s="94"/>
    </row>
    <row r="250" spans="3:18" x14ac:dyDescent="0.25">
      <c r="C250" s="37"/>
      <c r="D250" s="159"/>
      <c r="E250" s="45"/>
      <c r="F250" s="129"/>
      <c r="G250" s="1"/>
      <c r="H250" s="160"/>
      <c r="I250" s="37"/>
      <c r="J250" s="138"/>
      <c r="K250" s="114"/>
      <c r="L250" s="37"/>
      <c r="M250" s="37"/>
      <c r="N250" s="37"/>
      <c r="O250" s="132"/>
      <c r="P250" s="134"/>
      <c r="Q250" s="94"/>
      <c r="R250" s="94"/>
    </row>
    <row r="251" spans="3:18" x14ac:dyDescent="0.25">
      <c r="C251" s="37"/>
      <c r="D251" s="159"/>
      <c r="E251" s="45"/>
      <c r="F251" s="129"/>
      <c r="G251" s="1"/>
      <c r="H251" s="160"/>
      <c r="I251" s="37"/>
      <c r="J251" s="138"/>
      <c r="K251" s="114"/>
      <c r="L251" s="37"/>
      <c r="M251" s="37"/>
      <c r="N251" s="37"/>
      <c r="O251" s="132"/>
      <c r="P251" s="134"/>
      <c r="Q251" s="94"/>
      <c r="R251" s="94"/>
    </row>
    <row r="252" spans="3:18" x14ac:dyDescent="0.25">
      <c r="C252" s="37"/>
      <c r="D252" s="159"/>
      <c r="E252" s="45"/>
      <c r="F252" s="129"/>
      <c r="G252" s="1"/>
      <c r="H252" s="160"/>
      <c r="I252" s="37"/>
      <c r="J252" s="138"/>
      <c r="K252" s="114"/>
      <c r="L252" s="37"/>
      <c r="M252" s="37"/>
      <c r="N252" s="37"/>
      <c r="O252" s="132"/>
      <c r="P252" s="134"/>
      <c r="Q252" s="94"/>
      <c r="R252" s="94"/>
    </row>
    <row r="253" spans="3:18" x14ac:dyDescent="0.25">
      <c r="C253" s="37"/>
      <c r="D253" s="159"/>
      <c r="E253" s="45"/>
      <c r="F253" s="129"/>
      <c r="G253" s="1"/>
      <c r="H253" s="160"/>
      <c r="I253" s="37"/>
      <c r="J253" s="138"/>
      <c r="K253" s="114"/>
      <c r="L253" s="37"/>
      <c r="M253" s="37"/>
      <c r="N253" s="37"/>
      <c r="O253" s="132"/>
      <c r="P253" s="134"/>
      <c r="Q253" s="94"/>
      <c r="R253" s="94"/>
    </row>
    <row r="254" spans="3:18" ht="57.5" x14ac:dyDescent="0.25">
      <c r="C254" s="41"/>
      <c r="D254" s="17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54" s="179"/>
      <c r="F254" s="130" t="str">
        <f t="shared" ref="F254" si="10">IF(E254="","-",IF(E254&lt;$E$15,"ERROR - date outside of range",IF(MONTH(E254)&gt;=7,YEAR(E254)&amp;"-"&amp;RIGHT(YEAR(E254),2)+1,YEAR(E254)-1&amp;"-"&amp;RIGHT(YEAR(E254),2))))</f>
        <v>-</v>
      </c>
      <c r="G254" s="1"/>
      <c r="H254" s="161"/>
      <c r="I254" s="42"/>
      <c r="J254" s="164" t="str">
        <f>IFERROR(MIN('MP Calculations'!$E$29/I254,1),"-")</f>
        <v>-</v>
      </c>
      <c r="K254" s="93"/>
      <c r="L254" s="42"/>
      <c r="M254" s="42"/>
      <c r="N254" s="42"/>
      <c r="O254" s="165" t="str">
        <f t="shared" ref="O254" si="11">IF(N254="","-",L254*N254)</f>
        <v>-</v>
      </c>
      <c r="P254" s="135" t="str">
        <f t="shared" ref="P254" si="12">IF(O254="-","-",IF(E254&lt;$E$15,0,O254*J254))</f>
        <v>-</v>
      </c>
      <c r="Q254" s="94"/>
      <c r="R254" s="94"/>
    </row>
  </sheetData>
  <conditionalFormatting sqref="F22:F254">
    <cfRule type="containsText" dxfId="3" priority="2" operator="containsText" text="ERROR">
      <formula>NOT(ISERROR(SEARCH("ERROR",F22)))</formula>
    </cfRule>
  </conditionalFormatting>
  <conditionalFormatting sqref="J22:J254">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BD103"/>
  <sheetViews>
    <sheetView showGridLines="0" zoomScale="70" zoomScaleNormal="70" workbookViewId="0">
      <selection activeCell="AU22" sqref="AU22"/>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1.59765625" customWidth="1"/>
    <col min="8" max="8" width="2.69921875" customWidth="1"/>
    <col min="9" max="9" width="15.69921875" customWidth="1"/>
    <col min="10" max="10" width="11.59765625" customWidth="1"/>
    <col min="11" max="11" width="2.69921875" customWidth="1"/>
    <col min="12" max="12" width="15.69921875" customWidth="1"/>
    <col min="13" max="13" width="11.59765625"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4.09765625" customWidth="1"/>
    <col min="44" max="45" width="7.59765625" style="93" customWidth="1"/>
    <col min="46" max="46" width="10.59765625" style="93" customWidth="1"/>
    <col min="47" max="48" width="7.59765625" style="93" customWidth="1"/>
    <col min="49" max="49" width="9.59765625" style="93" customWidth="1"/>
    <col min="50" max="51" width="7.59765625" style="93" customWidth="1"/>
    <col min="52" max="52" width="9.69921875" style="93" customWidth="1"/>
    <col min="53" max="56" width="9" style="93"/>
  </cols>
  <sheetData>
    <row r="3" spans="3:55" ht="20" x14ac:dyDescent="0.4">
      <c r="C3" s="72" t="s">
        <v>116</v>
      </c>
    </row>
    <row r="6" spans="3:55" x14ac:dyDescent="0.25">
      <c r="C6" s="58" t="s">
        <v>117</v>
      </c>
      <c r="F6" s="330">
        <f>'General inputs'!H36</f>
        <v>183.11</v>
      </c>
      <c r="G6" s="229" t="str">
        <f ca="1">"Input entered at "&amp;ADDRESS(ROW('General inputs'!$H$36),COLUMN('General inputs'!$H$36))&amp;" on the '"&amp;MID(CELL("filename",'General inputs'!$A$1),FIND("]",CELL("filename",'General inputs'!$A$1))+1,255)&amp;"' worksheet. "</f>
        <v xml:space="preserve">Input entered at $H$36 on the 'General inputs' worksheet. </v>
      </c>
      <c r="H6" s="94"/>
      <c r="I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3:55" x14ac:dyDescent="0.25">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3"/>
      <c r="AP7" s="93"/>
      <c r="AQ7" s="93"/>
    </row>
    <row r="8" spans="3:55" ht="13" x14ac:dyDescent="0.3">
      <c r="F8" s="59" t="s">
        <v>20</v>
      </c>
      <c r="G8" s="59"/>
      <c r="H8" s="60"/>
      <c r="I8" s="59" t="s">
        <v>21</v>
      </c>
      <c r="J8" s="59"/>
      <c r="K8" s="60"/>
      <c r="L8" s="385" t="s">
        <v>270</v>
      </c>
      <c r="M8" s="386"/>
      <c r="N8" s="60"/>
      <c r="O8" s="385" t="s">
        <v>94</v>
      </c>
      <c r="P8" s="386"/>
      <c r="Q8" s="60"/>
      <c r="R8" s="385" t="s">
        <v>93</v>
      </c>
      <c r="S8" s="386"/>
      <c r="T8" s="60"/>
      <c r="U8" s="385" t="s">
        <v>118</v>
      </c>
      <c r="V8" s="386"/>
      <c r="W8" s="60"/>
      <c r="X8" s="385" t="s">
        <v>119</v>
      </c>
      <c r="Y8" s="386"/>
      <c r="Z8" s="60"/>
      <c r="AA8" s="385" t="s">
        <v>120</v>
      </c>
      <c r="AB8" s="386"/>
      <c r="AC8" s="60"/>
      <c r="AD8" s="385" t="s">
        <v>121</v>
      </c>
      <c r="AE8" s="386"/>
      <c r="AF8" s="60"/>
      <c r="AG8" s="385" t="s">
        <v>122</v>
      </c>
      <c r="AH8" s="386"/>
      <c r="AO8" s="378"/>
      <c r="AP8" s="114"/>
      <c r="AQ8" s="332"/>
    </row>
    <row r="9" spans="3:55" ht="13" x14ac:dyDescent="0.3">
      <c r="C9" s="58" t="s">
        <v>32</v>
      </c>
      <c r="F9" s="34" t="s">
        <v>33</v>
      </c>
      <c r="G9" s="304">
        <f>F6</f>
        <v>183.11</v>
      </c>
      <c r="H9" s="48"/>
      <c r="I9" s="34" t="s">
        <v>33</v>
      </c>
      <c r="J9" s="304">
        <v>136.88</v>
      </c>
      <c r="K9" s="48"/>
      <c r="L9" s="75" t="s">
        <v>38</v>
      </c>
      <c r="M9" s="76" t="s">
        <v>271</v>
      </c>
      <c r="N9" s="48"/>
      <c r="O9" s="75" t="s">
        <v>37</v>
      </c>
      <c r="P9" s="76">
        <v>5000</v>
      </c>
      <c r="Q9" s="48"/>
      <c r="R9" s="75" t="s">
        <v>38</v>
      </c>
      <c r="S9" s="76">
        <v>20000</v>
      </c>
      <c r="T9" s="48"/>
      <c r="U9" s="75" t="s">
        <v>37</v>
      </c>
      <c r="V9" s="76">
        <v>5000</v>
      </c>
      <c r="W9" s="48"/>
      <c r="X9" s="75" t="s">
        <v>38</v>
      </c>
      <c r="Y9" s="76">
        <v>20000</v>
      </c>
      <c r="Z9" s="48"/>
      <c r="AA9" s="75" t="s">
        <v>37</v>
      </c>
      <c r="AB9" s="76">
        <v>5000</v>
      </c>
      <c r="AC9" s="48"/>
      <c r="AD9" s="75" t="s">
        <v>38</v>
      </c>
      <c r="AE9" s="76">
        <v>20000</v>
      </c>
      <c r="AF9" s="48"/>
      <c r="AG9" s="75" t="s">
        <v>37</v>
      </c>
      <c r="AH9" s="76">
        <v>5000</v>
      </c>
      <c r="AO9" s="378"/>
      <c r="AP9" s="114"/>
      <c r="AQ9" s="332"/>
    </row>
    <row r="10" spans="3:55" x14ac:dyDescent="0.25">
      <c r="AO10" s="93"/>
      <c r="AP10" s="93"/>
      <c r="AQ10" s="93"/>
    </row>
    <row r="11" spans="3:55" ht="34.5" x14ac:dyDescent="0.25">
      <c r="D11" s="228" t="s">
        <v>91</v>
      </c>
      <c r="E11" s="46"/>
      <c r="F11" s="228" t="s">
        <v>143</v>
      </c>
      <c r="G11" s="141" t="s">
        <v>22</v>
      </c>
      <c r="H11" s="141"/>
      <c r="I11" s="140" t="s">
        <v>144</v>
      </c>
      <c r="J11" s="141" t="s">
        <v>22</v>
      </c>
      <c r="K11" s="141"/>
      <c r="L11" s="140" t="s">
        <v>272</v>
      </c>
      <c r="M11" s="141" t="s">
        <v>22</v>
      </c>
      <c r="N11" s="141"/>
      <c r="O11" s="140" t="str">
        <f>"Annual take-up of "&amp;INDEX($AK$12:$AK$19,MATCH(O9,$AJ$12:$AJ$20,0))&amp;" for "&amp;O8</f>
        <v>Annual take-up of properties for Commercial</v>
      </c>
      <c r="P11" s="141" t="s">
        <v>22</v>
      </c>
      <c r="Q11" s="141"/>
      <c r="R11" s="140" t="str">
        <f>"Annual take-up of "&amp;INDEX($AK$12:$AK$19,MATCH(R9,$AJ$12:$AJ$20,0))&amp;" for "&amp;R8</f>
        <v>Annual take-up of hectares for Light industrial</v>
      </c>
      <c r="S11" s="141" t="s">
        <v>22</v>
      </c>
      <c r="T11" s="141"/>
      <c r="U11" s="140" t="str">
        <f>"Annual take-up of "&amp;INDEX($AK$12:$AK$19,MATCH(U9,$AJ$12:$AJ$20,0))&amp;" for "&amp;U8</f>
        <v>Annual take-up of properties for Non-res 4</v>
      </c>
      <c r="V11" s="141" t="s">
        <v>22</v>
      </c>
      <c r="W11" s="141"/>
      <c r="X11" s="140" t="str">
        <f>"Annual take-up of "&amp;INDEX($AK$12:$AK$19,MATCH(X9,$AJ$12:$AJ$20,0))&amp;" for "&amp;X8</f>
        <v>Annual take-up of hectares for Non-res 5</v>
      </c>
      <c r="Y11" s="141" t="s">
        <v>22</v>
      </c>
      <c r="Z11" s="141"/>
      <c r="AA11" s="140" t="str">
        <f>"Annual take-up of "&amp;INDEX($AK$12:$AK$19,MATCH(AA9,$AJ$12:$AJ$20,0))&amp;" for "&amp;AA8</f>
        <v>Annual take-up of properties for Non-res 6</v>
      </c>
      <c r="AB11" s="141" t="s">
        <v>22</v>
      </c>
      <c r="AC11" s="141"/>
      <c r="AD11" s="140" t="str">
        <f>"Annual take-up of "&amp;INDEX($AK$12:$AK$19,MATCH(AD9,$AJ$12:$AJ$20,0))&amp;" for "&amp;AD8</f>
        <v>Annual take-up of hectares for Non-res 7</v>
      </c>
      <c r="AE11" s="141" t="s">
        <v>22</v>
      </c>
      <c r="AF11" s="141"/>
      <c r="AG11" s="140" t="str">
        <f>"Annual take-up of "&amp;INDEX($AK$12:$AK$19,MATCH(AG9,$AJ$12:$AJ$20,0))&amp;" for "&amp;AG8</f>
        <v>Annual take-up of properties for Non-res 8</v>
      </c>
      <c r="AH11" s="141" t="s">
        <v>22</v>
      </c>
      <c r="AI11" s="94"/>
      <c r="AJ11" s="142" t="s">
        <v>39</v>
      </c>
      <c r="AK11" s="102"/>
      <c r="AL11" s="94"/>
      <c r="AM11" s="180"/>
      <c r="AN11" s="102"/>
      <c r="AO11" s="257" t="str">
        <f>"Total ET in "&amp;'General inputs'!H7</f>
        <v>Total ET in Potts Hill Drinking Water</v>
      </c>
      <c r="AR11" s="372"/>
      <c r="AS11" s="372"/>
      <c r="AT11" s="372"/>
      <c r="AU11" s="372"/>
      <c r="AV11" s="372"/>
      <c r="AW11" s="372"/>
      <c r="AX11" s="372"/>
      <c r="AY11" s="372"/>
      <c r="AZ11" s="372"/>
      <c r="BB11" s="373"/>
      <c r="BC11" s="374"/>
    </row>
    <row r="12" spans="3:55" ht="12" customHeight="1" x14ac:dyDescent="0.25">
      <c r="C12" s="102" t="str">
        <f>'MP Calculations'!D39</f>
        <v>1995-96</v>
      </c>
      <c r="D12" s="294">
        <f>IF(LEFT($C12,4)*1&lt;LEFT('General inputs'!$I$16,4)+'General inputs'!$H$38,SUM(G12,J12,M12,P12,S12,V12,Y12,AB12,AE12,AH12),"")</f>
        <v>5310.7201897019977</v>
      </c>
      <c r="E12" s="295"/>
      <c r="F12" s="296"/>
      <c r="G12" s="294">
        <v>298</v>
      </c>
      <c r="H12" s="297"/>
      <c r="I12" s="338"/>
      <c r="J12" s="294">
        <v>2978.3593044263775</v>
      </c>
      <c r="K12" s="297"/>
      <c r="L12" s="341"/>
      <c r="M12" s="294">
        <v>2034.3608852756204</v>
      </c>
      <c r="N12" s="94"/>
      <c r="O12" s="61"/>
      <c r="P12" s="143">
        <f t="shared" ref="P12:P43" si="0">O12*$P$9/$F$6</f>
        <v>0</v>
      </c>
      <c r="Q12" s="94"/>
      <c r="R12" s="61"/>
      <c r="S12" s="143">
        <f t="shared" ref="S12:S43" si="1">R12*$S$9/$F$6</f>
        <v>0</v>
      </c>
      <c r="T12" s="94"/>
      <c r="U12" s="61"/>
      <c r="V12" s="143">
        <f t="shared" ref="V12:V43" si="2">U12*$V$9/$F$6</f>
        <v>0</v>
      </c>
      <c r="W12" s="94"/>
      <c r="X12" s="61"/>
      <c r="Y12" s="143">
        <f t="shared" ref="Y12:Y43" si="3">X12*$Y$9/$F$6</f>
        <v>0</v>
      </c>
      <c r="Z12" s="94"/>
      <c r="AA12" s="61"/>
      <c r="AB12" s="143">
        <f t="shared" ref="AB12:AB43" si="4">AA12*$AB$9/$F$6</f>
        <v>0</v>
      </c>
      <c r="AC12" s="94"/>
      <c r="AD12" s="61"/>
      <c r="AE12" s="143">
        <f t="shared" ref="AE12:AE43" si="5">AD12*$AE$9/$F$6</f>
        <v>0</v>
      </c>
      <c r="AF12" s="94"/>
      <c r="AG12" s="61"/>
      <c r="AH12" s="143">
        <f t="shared" ref="AH12:AH43" si="6">AG12*$AH$9/$F$6</f>
        <v>0</v>
      </c>
      <c r="AI12" s="144">
        <v>1</v>
      </c>
      <c r="AJ12" s="77" t="s">
        <v>37</v>
      </c>
      <c r="AK12" s="77" t="s">
        <v>95</v>
      </c>
      <c r="AO12" t="s">
        <v>1273</v>
      </c>
      <c r="AP12" s="258">
        <v>3377.1741934294841</v>
      </c>
      <c r="AR12" s="375"/>
      <c r="AS12" s="375"/>
      <c r="AT12" s="375"/>
      <c r="AU12" s="375"/>
      <c r="AV12" s="375"/>
      <c r="AW12" s="375"/>
      <c r="AX12" s="375"/>
      <c r="AY12" s="375"/>
      <c r="AZ12" s="375"/>
      <c r="BB12" s="376"/>
      <c r="BC12" s="377"/>
    </row>
    <row r="13" spans="3:55" x14ac:dyDescent="0.25">
      <c r="C13" s="102" t="str">
        <f>'MP Calculations'!D40</f>
        <v>1996-97</v>
      </c>
      <c r="D13" s="298">
        <f>IF(LEFT($C13,4)*1&lt;LEFT('General inputs'!$I$16,4)+'General inputs'!$H$38,SUM(G13,J13,M13,P13,S13,V13,Y13,AB13,AE13,AH13),"")</f>
        <v>6199.1174345076779</v>
      </c>
      <c r="E13" s="297"/>
      <c r="F13" s="299"/>
      <c r="G13" s="298">
        <v>639</v>
      </c>
      <c r="H13" s="297"/>
      <c r="I13" s="339"/>
      <c r="J13" s="298">
        <v>5560.1174345076779</v>
      </c>
      <c r="K13" s="297"/>
      <c r="L13" s="342"/>
      <c r="M13" s="298">
        <v>0</v>
      </c>
      <c r="N13" s="94"/>
      <c r="O13" s="50"/>
      <c r="P13" s="117">
        <f t="shared" si="0"/>
        <v>0</v>
      </c>
      <c r="Q13" s="94"/>
      <c r="R13" s="50"/>
      <c r="S13" s="117">
        <f t="shared" si="1"/>
        <v>0</v>
      </c>
      <c r="T13" s="94"/>
      <c r="U13" s="50"/>
      <c r="V13" s="117">
        <f t="shared" si="2"/>
        <v>0</v>
      </c>
      <c r="W13" s="94"/>
      <c r="X13" s="50"/>
      <c r="Y13" s="117">
        <f t="shared" si="3"/>
        <v>0</v>
      </c>
      <c r="Z13" s="94"/>
      <c r="AA13" s="50"/>
      <c r="AB13" s="117">
        <f t="shared" si="4"/>
        <v>0</v>
      </c>
      <c r="AC13" s="94"/>
      <c r="AD13" s="50"/>
      <c r="AE13" s="117">
        <f t="shared" si="5"/>
        <v>0</v>
      </c>
      <c r="AF13" s="94"/>
      <c r="AG13" s="50"/>
      <c r="AH13" s="117">
        <f t="shared" si="6"/>
        <v>0</v>
      </c>
      <c r="AI13" s="94">
        <f>AI12+1</f>
        <v>2</v>
      </c>
      <c r="AJ13" s="38" t="s">
        <v>38</v>
      </c>
      <c r="AK13" s="38" t="s">
        <v>96</v>
      </c>
      <c r="AO13" t="s">
        <v>1274</v>
      </c>
      <c r="AP13" s="258">
        <v>710471.8425925927</v>
      </c>
      <c r="AR13" s="375"/>
      <c r="AS13" s="375"/>
      <c r="AT13" s="375"/>
      <c r="AU13" s="375"/>
      <c r="AV13" s="375"/>
      <c r="AW13" s="375"/>
      <c r="AX13" s="375"/>
      <c r="AY13" s="375"/>
      <c r="AZ13" s="375"/>
      <c r="BB13" s="376"/>
      <c r="BC13" s="377"/>
    </row>
    <row r="14" spans="3:55" x14ac:dyDescent="0.25">
      <c r="C14" s="102" t="str">
        <f>'MP Calculations'!D41</f>
        <v>1997-98</v>
      </c>
      <c r="D14" s="298">
        <f>IF(LEFT($C14,4)*1&lt;LEFT('General inputs'!$I$16,4)+'General inputs'!$H$38,SUM(G14,J14,M14,P14,S14,V14,Y14,AB14,AE14,AH14),"")</f>
        <v>17103.921860885275</v>
      </c>
      <c r="E14" s="297"/>
      <c r="F14" s="299"/>
      <c r="G14" s="298">
        <v>277</v>
      </c>
      <c r="H14" s="297"/>
      <c r="I14" s="339"/>
      <c r="J14" s="298">
        <v>6176.9670280036134</v>
      </c>
      <c r="K14" s="297"/>
      <c r="L14" s="342"/>
      <c r="M14" s="298">
        <v>10649.954832881662</v>
      </c>
      <c r="N14" s="94"/>
      <c r="O14" s="50"/>
      <c r="P14" s="117">
        <f t="shared" si="0"/>
        <v>0</v>
      </c>
      <c r="Q14" s="94"/>
      <c r="R14" s="50"/>
      <c r="S14" s="117">
        <f t="shared" si="1"/>
        <v>0</v>
      </c>
      <c r="T14" s="94"/>
      <c r="U14" s="50"/>
      <c r="V14" s="117">
        <f t="shared" si="2"/>
        <v>0</v>
      </c>
      <c r="W14" s="94"/>
      <c r="X14" s="50"/>
      <c r="Y14" s="117">
        <f t="shared" si="3"/>
        <v>0</v>
      </c>
      <c r="Z14" s="94"/>
      <c r="AA14" s="50"/>
      <c r="AB14" s="117">
        <f t="shared" si="4"/>
        <v>0</v>
      </c>
      <c r="AC14" s="94"/>
      <c r="AD14" s="50"/>
      <c r="AE14" s="117">
        <f t="shared" si="5"/>
        <v>0</v>
      </c>
      <c r="AF14" s="94"/>
      <c r="AG14" s="50"/>
      <c r="AH14" s="117">
        <f t="shared" si="6"/>
        <v>0</v>
      </c>
      <c r="AI14" s="94">
        <f t="shared" ref="AI14:AI18" si="7">AI13+1</f>
        <v>3</v>
      </c>
      <c r="AJ14" s="38"/>
      <c r="AK14" s="38"/>
      <c r="AO14" t="s">
        <v>1275</v>
      </c>
      <c r="AP14" s="259">
        <f>SUM(AP13,D12:D102)</f>
        <v>1281554.9495349198</v>
      </c>
      <c r="AR14" s="375"/>
      <c r="AS14" s="375"/>
      <c r="AT14" s="375"/>
      <c r="AU14" s="375"/>
      <c r="AV14" s="375"/>
      <c r="AW14" s="375"/>
      <c r="AX14" s="375"/>
      <c r="AY14" s="375"/>
      <c r="AZ14" s="375"/>
      <c r="BB14" s="376"/>
      <c r="BC14" s="377"/>
    </row>
    <row r="15" spans="3:55" x14ac:dyDescent="0.25">
      <c r="C15" s="102" t="str">
        <f>'MP Calculations'!D42</f>
        <v>1998-99</v>
      </c>
      <c r="D15" s="298">
        <f>IF(LEFT($C15,4)*1&lt;LEFT('General inputs'!$I$16,4)+'General inputs'!$H$38,SUM(G15,J15,M15,P15,S15,V15,Y15,AB15,AE15,AH15),"")</f>
        <v>13778.436314363009</v>
      </c>
      <c r="E15" s="297"/>
      <c r="F15" s="299"/>
      <c r="G15" s="298">
        <v>647</v>
      </c>
      <c r="H15" s="297"/>
      <c r="I15" s="339"/>
      <c r="J15" s="298">
        <v>8662.0776874435414</v>
      </c>
      <c r="K15" s="297"/>
      <c r="L15" s="342"/>
      <c r="M15" s="298">
        <v>4469.3586269194675</v>
      </c>
      <c r="N15" s="94"/>
      <c r="O15" s="50"/>
      <c r="P15" s="117">
        <f t="shared" si="0"/>
        <v>0</v>
      </c>
      <c r="Q15" s="94"/>
      <c r="R15" s="50"/>
      <c r="S15" s="117">
        <f t="shared" si="1"/>
        <v>0</v>
      </c>
      <c r="T15" s="94"/>
      <c r="U15" s="50"/>
      <c r="V15" s="117">
        <f t="shared" si="2"/>
        <v>0</v>
      </c>
      <c r="W15" s="94"/>
      <c r="X15" s="50"/>
      <c r="Y15" s="117">
        <f t="shared" si="3"/>
        <v>0</v>
      </c>
      <c r="Z15" s="94"/>
      <c r="AA15" s="50"/>
      <c r="AB15" s="117">
        <f t="shared" si="4"/>
        <v>0</v>
      </c>
      <c r="AC15" s="94"/>
      <c r="AD15" s="50"/>
      <c r="AE15" s="117">
        <f t="shared" si="5"/>
        <v>0</v>
      </c>
      <c r="AF15" s="94"/>
      <c r="AG15" s="50"/>
      <c r="AH15" s="117">
        <f t="shared" si="6"/>
        <v>0</v>
      </c>
      <c r="AI15" s="94">
        <f t="shared" si="7"/>
        <v>4</v>
      </c>
      <c r="AJ15" s="38"/>
      <c r="AK15" s="38"/>
      <c r="AL15" s="181" t="str">
        <f>"Provide plural notation for the units of measure entered at "&amp;ADDRESS(ROW($AJ$12),COLUMN($AJ$12))&amp;" to "&amp;ADDRESS(ROW($AJ$18),COLUMN($AJ$18))&amp;"."</f>
        <v>Provide plural notation for the units of measure entered at $AJ$12 to $AJ$18.</v>
      </c>
      <c r="AM15" s="94"/>
      <c r="AN15" s="94"/>
      <c r="AR15" s="375"/>
      <c r="AS15" s="375"/>
      <c r="AT15" s="375"/>
      <c r="AU15" s="375"/>
      <c r="AV15" s="375"/>
      <c r="AW15" s="375"/>
      <c r="AX15" s="375"/>
      <c r="AY15" s="375"/>
      <c r="AZ15" s="375"/>
      <c r="BB15" s="376"/>
      <c r="BC15" s="377"/>
    </row>
    <row r="16" spans="3:55" x14ac:dyDescent="0.25">
      <c r="C16" s="102" t="str">
        <f>'MP Calculations'!D43</f>
        <v>1999-00</v>
      </c>
      <c r="D16" s="298">
        <f>IF(LEFT($C16,4)*1&lt;LEFT('General inputs'!$I$16,4)+'General inputs'!$H$38,SUM(G16,J16,M16,P16,S16,V16,Y16,AB16,AE16,AH16),"")</f>
        <v>14117.072719060423</v>
      </c>
      <c r="E16" s="297"/>
      <c r="F16" s="299"/>
      <c r="G16" s="298">
        <v>701</v>
      </c>
      <c r="H16" s="297"/>
      <c r="I16" s="339"/>
      <c r="J16" s="298">
        <v>9038.6562782294495</v>
      </c>
      <c r="K16" s="297"/>
      <c r="L16" s="342"/>
      <c r="M16" s="298">
        <v>4377.4164408309744</v>
      </c>
      <c r="N16" s="94"/>
      <c r="O16" s="50"/>
      <c r="P16" s="117">
        <f t="shared" si="0"/>
        <v>0</v>
      </c>
      <c r="Q16" s="94"/>
      <c r="R16" s="50"/>
      <c r="S16" s="117">
        <f t="shared" si="1"/>
        <v>0</v>
      </c>
      <c r="T16" s="94"/>
      <c r="U16" s="50"/>
      <c r="V16" s="117">
        <f t="shared" si="2"/>
        <v>0</v>
      </c>
      <c r="W16" s="94"/>
      <c r="X16" s="50"/>
      <c r="Y16" s="117">
        <f t="shared" si="3"/>
        <v>0</v>
      </c>
      <c r="Z16" s="94"/>
      <c r="AA16" s="50"/>
      <c r="AB16" s="117">
        <f t="shared" si="4"/>
        <v>0</v>
      </c>
      <c r="AC16" s="94"/>
      <c r="AD16" s="50"/>
      <c r="AE16" s="117">
        <f t="shared" si="5"/>
        <v>0</v>
      </c>
      <c r="AF16" s="94"/>
      <c r="AG16" s="50"/>
      <c r="AH16" s="117">
        <f t="shared" si="6"/>
        <v>0</v>
      </c>
      <c r="AI16" s="94">
        <f t="shared" si="7"/>
        <v>5</v>
      </c>
      <c r="AJ16" s="188"/>
      <c r="AK16" s="188"/>
      <c r="AL16" s="181" t="s">
        <v>115</v>
      </c>
      <c r="AM16" s="94"/>
      <c r="AN16" s="94"/>
      <c r="AR16" s="375"/>
      <c r="AS16" s="375"/>
      <c r="AT16" s="375"/>
      <c r="AU16" s="375"/>
      <c r="AV16" s="375"/>
      <c r="AW16" s="375"/>
      <c r="AX16" s="375"/>
      <c r="AY16" s="375"/>
      <c r="AZ16" s="375"/>
      <c r="BB16" s="376"/>
      <c r="BC16" s="377"/>
    </row>
    <row r="17" spans="3:55" x14ac:dyDescent="0.25">
      <c r="C17" s="102" t="str">
        <f>'MP Calculations'!D44</f>
        <v>2000-01</v>
      </c>
      <c r="D17" s="298">
        <f>IF(LEFT($C17,4)*1&lt;LEFT('General inputs'!$I$16,4)+'General inputs'!$H$38,SUM(G17,J17,M17,P17,S17,V17,Y17,AB17,AE17,AH17),"")</f>
        <v>23118.089882565626</v>
      </c>
      <c r="E17" s="297"/>
      <c r="F17" s="299"/>
      <c r="G17" s="298">
        <v>844</v>
      </c>
      <c r="H17" s="297"/>
      <c r="I17" s="339"/>
      <c r="J17" s="298">
        <v>8434.8983739837404</v>
      </c>
      <c r="K17" s="297"/>
      <c r="L17" s="342"/>
      <c r="M17" s="298">
        <v>13839.191508581887</v>
      </c>
      <c r="N17" s="94"/>
      <c r="O17" s="50"/>
      <c r="P17" s="117">
        <f t="shared" si="0"/>
        <v>0</v>
      </c>
      <c r="Q17" s="94"/>
      <c r="R17" s="50"/>
      <c r="S17" s="117">
        <f t="shared" si="1"/>
        <v>0</v>
      </c>
      <c r="T17" s="94"/>
      <c r="U17" s="50"/>
      <c r="V17" s="117">
        <f t="shared" si="2"/>
        <v>0</v>
      </c>
      <c r="W17" s="94"/>
      <c r="X17" s="50"/>
      <c r="Y17" s="117">
        <f t="shared" si="3"/>
        <v>0</v>
      </c>
      <c r="Z17" s="94"/>
      <c r="AA17" s="50"/>
      <c r="AB17" s="117">
        <f t="shared" si="4"/>
        <v>0</v>
      </c>
      <c r="AC17" s="94"/>
      <c r="AD17" s="50"/>
      <c r="AE17" s="117">
        <f t="shared" si="5"/>
        <v>0</v>
      </c>
      <c r="AF17" s="94"/>
      <c r="AG17" s="50"/>
      <c r="AH17" s="117">
        <f t="shared" si="6"/>
        <v>0</v>
      </c>
      <c r="AI17" s="94">
        <f t="shared" si="7"/>
        <v>6</v>
      </c>
      <c r="AJ17" s="38"/>
      <c r="AK17" s="38"/>
      <c r="AL17" s="94"/>
      <c r="AM17" s="94"/>
      <c r="AN17" s="94"/>
      <c r="AO17" s="257" t="s">
        <v>1276</v>
      </c>
      <c r="AR17" s="375"/>
      <c r="AS17" s="375"/>
      <c r="AT17" s="375"/>
      <c r="AU17" s="375"/>
      <c r="AV17" s="375"/>
      <c r="AW17" s="375"/>
      <c r="AX17" s="375"/>
      <c r="AY17" s="375"/>
      <c r="AZ17" s="375"/>
      <c r="BB17" s="376"/>
      <c r="BC17" s="377"/>
    </row>
    <row r="18" spans="3:55" x14ac:dyDescent="0.25">
      <c r="C18" s="102" t="str">
        <f>'MP Calculations'!D45</f>
        <v>2001-02</v>
      </c>
      <c r="D18" s="298">
        <f>IF(LEFT($C18,4)*1&lt;LEFT('General inputs'!$I$16,4)+'General inputs'!$H$38,SUM(G18,J18,M18,P18,S18,V18,Y18,AB18,AE18,AH18),"")</f>
        <v>8208.889340560072</v>
      </c>
      <c r="E18" s="297"/>
      <c r="F18" s="299"/>
      <c r="G18" s="298">
        <v>464</v>
      </c>
      <c r="H18" s="297"/>
      <c r="I18" s="339"/>
      <c r="J18" s="298">
        <v>7744.889340560072</v>
      </c>
      <c r="K18" s="297"/>
      <c r="L18" s="342"/>
      <c r="M18" s="298">
        <v>0</v>
      </c>
      <c r="N18" s="94"/>
      <c r="O18" s="50"/>
      <c r="P18" s="117">
        <f t="shared" si="0"/>
        <v>0</v>
      </c>
      <c r="Q18" s="94"/>
      <c r="R18" s="50"/>
      <c r="S18" s="117">
        <f t="shared" si="1"/>
        <v>0</v>
      </c>
      <c r="T18" s="94"/>
      <c r="U18" s="50"/>
      <c r="V18" s="117">
        <f t="shared" si="2"/>
        <v>0</v>
      </c>
      <c r="W18" s="94"/>
      <c r="X18" s="50"/>
      <c r="Y18" s="117">
        <f t="shared" si="3"/>
        <v>0</v>
      </c>
      <c r="Z18" s="94"/>
      <c r="AA18" s="50"/>
      <c r="AB18" s="117">
        <f t="shared" si="4"/>
        <v>0</v>
      </c>
      <c r="AC18" s="94"/>
      <c r="AD18" s="50"/>
      <c r="AE18" s="117">
        <f t="shared" si="5"/>
        <v>0</v>
      </c>
      <c r="AF18" s="94"/>
      <c r="AG18" s="50"/>
      <c r="AH18" s="117">
        <f t="shared" si="6"/>
        <v>0</v>
      </c>
      <c r="AI18" s="94">
        <f t="shared" si="7"/>
        <v>7</v>
      </c>
      <c r="AJ18" s="38"/>
      <c r="AK18" s="38"/>
      <c r="AL18" s="94"/>
      <c r="AM18" s="94"/>
      <c r="AN18" s="94"/>
      <c r="AO18" t="s">
        <v>1277</v>
      </c>
      <c r="AP18" s="259">
        <f>AP13-AP12</f>
        <v>707094.66839916317</v>
      </c>
      <c r="AR18" s="375"/>
      <c r="AS18" s="375"/>
      <c r="AT18" s="375"/>
      <c r="AU18" s="375"/>
      <c r="AV18" s="375"/>
      <c r="AW18" s="375"/>
      <c r="AX18" s="375"/>
      <c r="AY18" s="375"/>
      <c r="AZ18" s="375"/>
      <c r="BB18" s="376"/>
      <c r="BC18" s="377"/>
    </row>
    <row r="19" spans="3:55" x14ac:dyDescent="0.25">
      <c r="C19" s="102" t="str">
        <f>'MP Calculations'!D46</f>
        <v>2002-03</v>
      </c>
      <c r="D19" s="298">
        <f>IF(LEFT($C19,4)*1&lt;LEFT('General inputs'!$I$16,4)+'General inputs'!$H$38,SUM(G19,J19,M19,P19,S19,V19,Y19,AB19,AE19,AH19),"")</f>
        <v>15243.68247515785</v>
      </c>
      <c r="E19" s="297"/>
      <c r="F19" s="299"/>
      <c r="G19" s="298">
        <v>727</v>
      </c>
      <c r="H19" s="297"/>
      <c r="I19" s="339"/>
      <c r="J19" s="298">
        <v>7201.1991869918702</v>
      </c>
      <c r="K19" s="297"/>
      <c r="L19" s="342"/>
      <c r="M19" s="298">
        <v>7315.4832881659795</v>
      </c>
      <c r="N19" s="94"/>
      <c r="O19" s="50"/>
      <c r="P19" s="117">
        <f t="shared" si="0"/>
        <v>0</v>
      </c>
      <c r="Q19" s="94"/>
      <c r="R19" s="50"/>
      <c r="S19" s="117">
        <f t="shared" si="1"/>
        <v>0</v>
      </c>
      <c r="T19" s="94"/>
      <c r="U19" s="50"/>
      <c r="V19" s="117">
        <f t="shared" si="2"/>
        <v>0</v>
      </c>
      <c r="W19" s="94"/>
      <c r="X19" s="50"/>
      <c r="Y19" s="117">
        <f t="shared" si="3"/>
        <v>0</v>
      </c>
      <c r="Z19" s="94"/>
      <c r="AA19" s="50"/>
      <c r="AB19" s="117">
        <f t="shared" si="4"/>
        <v>0</v>
      </c>
      <c r="AC19" s="94"/>
      <c r="AD19" s="50"/>
      <c r="AE19" s="117">
        <f t="shared" si="5"/>
        <v>0</v>
      </c>
      <c r="AF19" s="94"/>
      <c r="AG19" s="50"/>
      <c r="AH19" s="117">
        <f t="shared" si="6"/>
        <v>0</v>
      </c>
      <c r="AI19" s="94"/>
      <c r="AJ19" s="145" t="str">
        <f>"add alternatives at "&amp;ADDRESS(ROW(AJ18),COLUMN(AJ18))&amp;":"&amp;ADDRESS(ROW(AJ23),COLUMN(AJ23))</f>
        <v>add alternatives at $AJ$18:$AJ$23</v>
      </c>
      <c r="AK19" s="182"/>
      <c r="AL19" s="94"/>
      <c r="AM19" s="94"/>
      <c r="AN19" s="94"/>
      <c r="AO19" t="s">
        <v>1278</v>
      </c>
      <c r="AP19" s="259">
        <f>SUM(D12:D38)</f>
        <v>281601.85490289063</v>
      </c>
      <c r="AR19" s="375"/>
      <c r="AS19" s="375"/>
      <c r="AT19" s="375"/>
      <c r="AU19" s="375"/>
      <c r="AV19" s="375"/>
      <c r="AW19" s="375"/>
      <c r="AX19" s="375"/>
      <c r="AY19" s="375"/>
      <c r="AZ19" s="375"/>
      <c r="BB19" s="376"/>
      <c r="BC19" s="377"/>
    </row>
    <row r="20" spans="3:55" x14ac:dyDescent="0.25">
      <c r="C20" s="102" t="str">
        <f>'MP Calculations'!D47</f>
        <v>2003-04</v>
      </c>
      <c r="D20" s="298">
        <f>IF(LEFT($C20,4)*1&lt;LEFT('General inputs'!$I$16,4)+'General inputs'!$H$38,SUM(G20,J20,M20,P20,S20,V20,Y20,AB20,AE20,AH20),"")</f>
        <v>8784.0700090334249</v>
      </c>
      <c r="E20" s="297"/>
      <c r="F20" s="299"/>
      <c r="G20" s="298">
        <v>879</v>
      </c>
      <c r="H20" s="297"/>
      <c r="I20" s="339"/>
      <c r="J20" s="298">
        <v>7905.070009033424</v>
      </c>
      <c r="K20" s="297"/>
      <c r="L20" s="342"/>
      <c r="M20" s="298">
        <v>0</v>
      </c>
      <c r="N20" s="94"/>
      <c r="O20" s="50"/>
      <c r="P20" s="117">
        <f t="shared" si="0"/>
        <v>0</v>
      </c>
      <c r="Q20" s="94"/>
      <c r="R20" s="50"/>
      <c r="S20" s="117">
        <f t="shared" si="1"/>
        <v>0</v>
      </c>
      <c r="T20" s="94"/>
      <c r="U20" s="50"/>
      <c r="V20" s="117">
        <f t="shared" si="2"/>
        <v>0</v>
      </c>
      <c r="W20" s="94"/>
      <c r="X20" s="50"/>
      <c r="Y20" s="117">
        <f t="shared" si="3"/>
        <v>0</v>
      </c>
      <c r="Z20" s="94"/>
      <c r="AA20" s="50"/>
      <c r="AB20" s="117">
        <f t="shared" si="4"/>
        <v>0</v>
      </c>
      <c r="AC20" s="94"/>
      <c r="AD20" s="50"/>
      <c r="AE20" s="117">
        <f t="shared" si="5"/>
        <v>0</v>
      </c>
      <c r="AF20" s="94"/>
      <c r="AG20" s="50"/>
      <c r="AH20" s="117">
        <f t="shared" si="6"/>
        <v>0</v>
      </c>
      <c r="AI20" s="94"/>
      <c r="AL20" s="94"/>
      <c r="AM20" s="94"/>
      <c r="AN20" s="94"/>
      <c r="AO20" t="s">
        <v>1279</v>
      </c>
      <c r="AP20" s="345">
        <f>1-(AP18+AP19)/(AP14-AP12)</f>
        <v>0.2264796475295433</v>
      </c>
      <c r="AR20" s="375"/>
      <c r="AS20" s="375"/>
      <c r="AT20" s="375"/>
      <c r="AU20" s="375"/>
      <c r="AV20" s="375"/>
      <c r="AW20" s="375"/>
      <c r="AX20" s="375"/>
      <c r="AY20" s="375"/>
      <c r="AZ20" s="375"/>
      <c r="BB20" s="376"/>
      <c r="BC20" s="377"/>
    </row>
    <row r="21" spans="3:55" x14ac:dyDescent="0.25">
      <c r="C21" s="102" t="str">
        <f>'MP Calculations'!D48</f>
        <v>2004-05</v>
      </c>
      <c r="D21" s="298">
        <f>IF(LEFT($C21,4)*1&lt;LEFT('General inputs'!$I$16,4)+'General inputs'!$H$38,SUM(G21,J21,M21,P21,S21,V21,Y21,AB21,AE21,AH21),"")</f>
        <v>7892.778681120144</v>
      </c>
      <c r="E21" s="297"/>
      <c r="F21" s="299"/>
      <c r="G21" s="298">
        <v>928</v>
      </c>
      <c r="H21" s="297"/>
      <c r="I21" s="339"/>
      <c r="J21" s="298">
        <v>6964.778681120144</v>
      </c>
      <c r="K21" s="297"/>
      <c r="L21" s="342"/>
      <c r="M21" s="298">
        <v>0</v>
      </c>
      <c r="N21" s="94"/>
      <c r="O21" s="50"/>
      <c r="P21" s="117">
        <f t="shared" si="0"/>
        <v>0</v>
      </c>
      <c r="Q21" s="94"/>
      <c r="R21" s="50"/>
      <c r="S21" s="117">
        <f t="shared" si="1"/>
        <v>0</v>
      </c>
      <c r="T21" s="94"/>
      <c r="U21" s="50"/>
      <c r="V21" s="117">
        <f t="shared" si="2"/>
        <v>0</v>
      </c>
      <c r="W21" s="94"/>
      <c r="X21" s="50"/>
      <c r="Y21" s="117">
        <f t="shared" si="3"/>
        <v>0</v>
      </c>
      <c r="Z21" s="94"/>
      <c r="AA21" s="50"/>
      <c r="AB21" s="117">
        <f t="shared" si="4"/>
        <v>0</v>
      </c>
      <c r="AC21" s="94"/>
      <c r="AD21" s="50"/>
      <c r="AE21" s="117">
        <f t="shared" si="5"/>
        <v>0</v>
      </c>
      <c r="AF21" s="94"/>
      <c r="AG21" s="50"/>
      <c r="AH21" s="117">
        <f t="shared" si="6"/>
        <v>0</v>
      </c>
      <c r="AI21" s="94"/>
      <c r="AL21" s="94"/>
      <c r="AM21" s="94"/>
      <c r="AN21" s="94"/>
      <c r="AO21" t="s">
        <v>132</v>
      </c>
      <c r="AP21" s="345">
        <f>1-AP19/(AP14-AP12)</f>
        <v>0.77968490742404351</v>
      </c>
      <c r="AR21" s="375"/>
      <c r="AS21" s="375"/>
      <c r="AT21" s="375"/>
      <c r="AU21" s="375"/>
      <c r="AV21" s="375"/>
      <c r="AW21" s="375"/>
      <c r="AX21" s="375"/>
      <c r="AY21" s="375"/>
      <c r="AZ21" s="375"/>
      <c r="BB21" s="376"/>
      <c r="BC21" s="377"/>
    </row>
    <row r="22" spans="3:55" x14ac:dyDescent="0.25">
      <c r="C22" s="102" t="str">
        <f>'MP Calculations'!D49</f>
        <v>2005-06</v>
      </c>
      <c r="D22" s="298">
        <f>IF(LEFT($C22,4)*1&lt;LEFT('General inputs'!$I$16,4)+'General inputs'!$H$38,SUM(G22,J22,M22,P22,S22,V22,Y22,AB22,AE22,AH22),"")</f>
        <v>7059.2592592592591</v>
      </c>
      <c r="E22" s="297"/>
      <c r="F22" s="299"/>
      <c r="G22" s="298">
        <v>555</v>
      </c>
      <c r="H22" s="297"/>
      <c r="I22" s="339"/>
      <c r="J22" s="298">
        <v>6504.2592592592591</v>
      </c>
      <c r="K22" s="297"/>
      <c r="L22" s="342"/>
      <c r="M22" s="298">
        <v>0</v>
      </c>
      <c r="N22" s="94"/>
      <c r="O22" s="50"/>
      <c r="P22" s="117">
        <f t="shared" si="0"/>
        <v>0</v>
      </c>
      <c r="Q22" s="94"/>
      <c r="R22" s="50"/>
      <c r="S22" s="117">
        <f t="shared" si="1"/>
        <v>0</v>
      </c>
      <c r="T22" s="94"/>
      <c r="U22" s="50"/>
      <c r="V22" s="117">
        <f t="shared" si="2"/>
        <v>0</v>
      </c>
      <c r="W22" s="94"/>
      <c r="X22" s="50"/>
      <c r="Y22" s="117">
        <f t="shared" si="3"/>
        <v>0</v>
      </c>
      <c r="Z22" s="94"/>
      <c r="AA22" s="50"/>
      <c r="AB22" s="117">
        <f t="shared" si="4"/>
        <v>0</v>
      </c>
      <c r="AC22" s="94"/>
      <c r="AD22" s="50"/>
      <c r="AE22" s="117">
        <f t="shared" si="5"/>
        <v>0</v>
      </c>
      <c r="AF22" s="94"/>
      <c r="AG22" s="50"/>
      <c r="AH22" s="117">
        <f t="shared" si="6"/>
        <v>0</v>
      </c>
      <c r="AI22" s="94"/>
      <c r="AL22" s="94"/>
      <c r="AM22" s="94"/>
      <c r="AN22" s="94"/>
      <c r="AR22" s="375"/>
      <c r="AS22" s="375"/>
      <c r="AT22" s="375"/>
      <c r="AU22" s="375"/>
      <c r="AV22" s="375"/>
      <c r="AW22" s="375"/>
      <c r="AX22" s="375"/>
      <c r="AY22" s="375"/>
      <c r="AZ22" s="375"/>
      <c r="BB22" s="376"/>
      <c r="BC22" s="377"/>
    </row>
    <row r="23" spans="3:55" x14ac:dyDescent="0.25">
      <c r="C23" s="102" t="str">
        <f>'MP Calculations'!D50</f>
        <v>2006-07</v>
      </c>
      <c r="D23" s="298">
        <f>IF(LEFT($C23,4)*1&lt;LEFT('General inputs'!$I$16,4)+'General inputs'!$H$38,SUM(G23,J23,M23,P23,S23,V23,Y23,AB23,AE23,AH23),"")</f>
        <v>3934.6332429990966</v>
      </c>
      <c r="E23" s="297"/>
      <c r="F23" s="299"/>
      <c r="G23" s="298">
        <v>577</v>
      </c>
      <c r="H23" s="297"/>
      <c r="I23" s="339"/>
      <c r="J23" s="298">
        <v>3357.6332429990966</v>
      </c>
      <c r="K23" s="297"/>
      <c r="L23" s="342"/>
      <c r="M23" s="298">
        <v>0</v>
      </c>
      <c r="N23" s="94"/>
      <c r="O23" s="50"/>
      <c r="P23" s="117">
        <f t="shared" si="0"/>
        <v>0</v>
      </c>
      <c r="Q23" s="94"/>
      <c r="R23" s="50"/>
      <c r="S23" s="117">
        <f t="shared" si="1"/>
        <v>0</v>
      </c>
      <c r="T23" s="94"/>
      <c r="U23" s="50"/>
      <c r="V23" s="117">
        <f t="shared" si="2"/>
        <v>0</v>
      </c>
      <c r="W23" s="94"/>
      <c r="X23" s="50"/>
      <c r="Y23" s="117">
        <f t="shared" si="3"/>
        <v>0</v>
      </c>
      <c r="Z23" s="94"/>
      <c r="AA23" s="50"/>
      <c r="AB23" s="117">
        <f t="shared" si="4"/>
        <v>0</v>
      </c>
      <c r="AC23" s="94"/>
      <c r="AD23" s="50"/>
      <c r="AE23" s="117">
        <f t="shared" si="5"/>
        <v>0</v>
      </c>
      <c r="AF23" s="94"/>
      <c r="AG23" s="50"/>
      <c r="AH23" s="117">
        <f t="shared" si="6"/>
        <v>0</v>
      </c>
      <c r="AI23" s="94"/>
      <c r="AL23" s="94"/>
      <c r="AM23" s="94"/>
      <c r="AN23" s="94"/>
      <c r="AR23" s="375"/>
      <c r="AS23" s="375"/>
      <c r="AT23" s="375"/>
      <c r="AU23" s="375"/>
      <c r="AV23" s="375"/>
      <c r="AW23" s="375"/>
      <c r="AX23" s="375"/>
      <c r="AY23" s="375"/>
      <c r="AZ23" s="375"/>
      <c r="BB23" s="376"/>
      <c r="BC23" s="377"/>
    </row>
    <row r="24" spans="3:55" x14ac:dyDescent="0.25">
      <c r="C24" s="102" t="str">
        <f>'MP Calculations'!D51</f>
        <v>2007-08</v>
      </c>
      <c r="D24" s="298">
        <f>IF(LEFT($C24,4)*1&lt;LEFT('General inputs'!$I$16,4)+'General inputs'!$H$38,SUM(G24,J24,M24,P24,S24,V24,Y24,AB24,AE24,AH24),"")</f>
        <v>5028.4141824751578</v>
      </c>
      <c r="E24" s="297"/>
      <c r="F24" s="299"/>
      <c r="G24" s="298">
        <v>501</v>
      </c>
      <c r="H24" s="297"/>
      <c r="I24" s="339"/>
      <c r="J24" s="298">
        <v>4527.4141824751578</v>
      </c>
      <c r="K24" s="297"/>
      <c r="L24" s="342"/>
      <c r="M24" s="298">
        <v>0</v>
      </c>
      <c r="N24" s="94"/>
      <c r="O24" s="50"/>
      <c r="P24" s="117">
        <f t="shared" si="0"/>
        <v>0</v>
      </c>
      <c r="Q24" s="94"/>
      <c r="R24" s="50"/>
      <c r="S24" s="117">
        <f t="shared" si="1"/>
        <v>0</v>
      </c>
      <c r="T24" s="94"/>
      <c r="U24" s="50"/>
      <c r="V24" s="117">
        <f t="shared" si="2"/>
        <v>0</v>
      </c>
      <c r="W24" s="94"/>
      <c r="X24" s="50"/>
      <c r="Y24" s="117">
        <f t="shared" si="3"/>
        <v>0</v>
      </c>
      <c r="Z24" s="94"/>
      <c r="AA24" s="50"/>
      <c r="AB24" s="117">
        <f t="shared" si="4"/>
        <v>0</v>
      </c>
      <c r="AC24" s="94"/>
      <c r="AD24" s="50"/>
      <c r="AE24" s="117">
        <f t="shared" si="5"/>
        <v>0</v>
      </c>
      <c r="AF24" s="94"/>
      <c r="AG24" s="50"/>
      <c r="AH24" s="117">
        <f t="shared" si="6"/>
        <v>0</v>
      </c>
      <c r="AI24" s="94"/>
      <c r="AL24" s="94"/>
      <c r="AM24" s="94"/>
      <c r="AN24" s="94"/>
      <c r="AR24" s="375"/>
      <c r="AS24" s="375"/>
      <c r="AT24" s="375"/>
      <c r="AU24" s="375"/>
      <c r="AV24" s="375"/>
      <c r="AW24" s="375"/>
      <c r="AX24" s="375"/>
      <c r="AY24" s="375"/>
      <c r="AZ24" s="375"/>
      <c r="BB24" s="376"/>
      <c r="BC24" s="377"/>
    </row>
    <row r="25" spans="3:55" x14ac:dyDescent="0.25">
      <c r="C25" s="102" t="str">
        <f>'MP Calculations'!D52</f>
        <v>2008-09</v>
      </c>
      <c r="D25" s="298">
        <f>IF(LEFT($C25,4)*1&lt;LEFT('General inputs'!$I$16,4)+'General inputs'!$H$38,SUM(G25,J25,M25,P25,S25,V25,Y25,AB25,AE25,AH25),"")</f>
        <v>9946.3062330624653</v>
      </c>
      <c r="E25" s="297"/>
      <c r="F25" s="299"/>
      <c r="G25" s="298">
        <v>1088</v>
      </c>
      <c r="H25" s="297"/>
      <c r="I25" s="339"/>
      <c r="J25" s="298">
        <v>3804.2908762420957</v>
      </c>
      <c r="K25" s="297"/>
      <c r="L25" s="342"/>
      <c r="M25" s="298">
        <v>5054.0153568203696</v>
      </c>
      <c r="N25" s="94"/>
      <c r="O25" s="50"/>
      <c r="P25" s="117">
        <f t="shared" si="0"/>
        <v>0</v>
      </c>
      <c r="Q25" s="94"/>
      <c r="R25" s="50"/>
      <c r="S25" s="117">
        <f t="shared" si="1"/>
        <v>0</v>
      </c>
      <c r="T25" s="94"/>
      <c r="U25" s="50"/>
      <c r="V25" s="117">
        <f t="shared" si="2"/>
        <v>0</v>
      </c>
      <c r="W25" s="94"/>
      <c r="X25" s="50"/>
      <c r="Y25" s="117">
        <f t="shared" si="3"/>
        <v>0</v>
      </c>
      <c r="Z25" s="94"/>
      <c r="AA25" s="50"/>
      <c r="AB25" s="117">
        <f t="shared" si="4"/>
        <v>0</v>
      </c>
      <c r="AC25" s="94"/>
      <c r="AD25" s="50"/>
      <c r="AE25" s="117">
        <f t="shared" si="5"/>
        <v>0</v>
      </c>
      <c r="AF25" s="94"/>
      <c r="AG25" s="50"/>
      <c r="AH25" s="117">
        <f t="shared" si="6"/>
        <v>0</v>
      </c>
      <c r="AI25" s="94"/>
      <c r="AL25" s="94"/>
      <c r="AM25" s="94"/>
      <c r="AN25" s="94"/>
      <c r="AR25" s="375"/>
      <c r="AS25" s="375"/>
      <c r="AT25" s="375"/>
      <c r="AU25" s="375"/>
      <c r="AV25" s="375"/>
      <c r="AW25" s="375"/>
      <c r="AX25" s="375"/>
      <c r="AY25" s="375"/>
      <c r="AZ25" s="375"/>
      <c r="BB25" s="376"/>
      <c r="BC25" s="377"/>
    </row>
    <row r="26" spans="3:55" x14ac:dyDescent="0.25">
      <c r="C26" s="102" t="str">
        <f>'MP Calculations'!D53</f>
        <v>2009-10</v>
      </c>
      <c r="D26" s="298">
        <f>IF(LEFT($C26,4)*1&lt;LEFT('General inputs'!$I$16,4)+'General inputs'!$H$38,SUM(G26,J26,M26,P26,S26,V26,Y26,AB26,AE26,AH26),"")</f>
        <v>6438.6770551037498</v>
      </c>
      <c r="E26" s="297"/>
      <c r="F26" s="299"/>
      <c r="G26" s="298">
        <v>909</v>
      </c>
      <c r="H26" s="297"/>
      <c r="I26" s="339"/>
      <c r="J26" s="298">
        <v>2831.655374887082</v>
      </c>
      <c r="K26" s="297"/>
      <c r="L26" s="342"/>
      <c r="M26" s="298">
        <v>2698.0216802166674</v>
      </c>
      <c r="N26" s="94"/>
      <c r="O26" s="50"/>
      <c r="P26" s="117">
        <f t="shared" si="0"/>
        <v>0</v>
      </c>
      <c r="Q26" s="94"/>
      <c r="R26" s="50"/>
      <c r="S26" s="117">
        <f t="shared" si="1"/>
        <v>0</v>
      </c>
      <c r="T26" s="94"/>
      <c r="U26" s="50"/>
      <c r="V26" s="117">
        <f t="shared" si="2"/>
        <v>0</v>
      </c>
      <c r="W26" s="94"/>
      <c r="X26" s="50"/>
      <c r="Y26" s="117">
        <f t="shared" si="3"/>
        <v>0</v>
      </c>
      <c r="Z26" s="94"/>
      <c r="AA26" s="50"/>
      <c r="AB26" s="117">
        <f t="shared" si="4"/>
        <v>0</v>
      </c>
      <c r="AC26" s="94"/>
      <c r="AD26" s="50"/>
      <c r="AE26" s="117">
        <f t="shared" si="5"/>
        <v>0</v>
      </c>
      <c r="AF26" s="94"/>
      <c r="AG26" s="50"/>
      <c r="AH26" s="117">
        <f t="shared" si="6"/>
        <v>0</v>
      </c>
      <c r="AI26" s="94"/>
      <c r="AL26" s="94"/>
      <c r="AM26" s="94"/>
      <c r="AN26" s="94"/>
      <c r="AR26" s="375"/>
      <c r="AS26" s="375"/>
      <c r="AT26" s="375"/>
      <c r="AU26" s="375"/>
      <c r="AV26" s="375"/>
      <c r="AW26" s="375"/>
      <c r="AX26" s="375"/>
      <c r="AY26" s="375"/>
      <c r="AZ26" s="375"/>
      <c r="BB26" s="376"/>
      <c r="BC26" s="377"/>
    </row>
    <row r="27" spans="3:55" x14ac:dyDescent="0.25">
      <c r="C27" s="102" t="str">
        <f>'MP Calculations'!D54</f>
        <v>2010-11</v>
      </c>
      <c r="D27" s="298">
        <f>IF(LEFT($C27,4)*1&lt;LEFT('General inputs'!$I$16,4)+'General inputs'!$H$38,SUM(G27,J27,M27,P27,S27,V27,Y27,AB27,AE27,AH27),"")</f>
        <v>4213.0916892502264</v>
      </c>
      <c r="E27" s="297"/>
      <c r="F27" s="299"/>
      <c r="G27" s="298">
        <v>790</v>
      </c>
      <c r="H27" s="297"/>
      <c r="I27" s="339"/>
      <c r="J27" s="298">
        <v>3423.091689250226</v>
      </c>
      <c r="K27" s="297"/>
      <c r="L27" s="342"/>
      <c r="M27" s="298">
        <v>0</v>
      </c>
      <c r="N27" s="94"/>
      <c r="O27" s="50"/>
      <c r="P27" s="117">
        <f t="shared" si="0"/>
        <v>0</v>
      </c>
      <c r="Q27" s="94"/>
      <c r="R27" s="50"/>
      <c r="S27" s="117">
        <f t="shared" si="1"/>
        <v>0</v>
      </c>
      <c r="T27" s="94"/>
      <c r="U27" s="50"/>
      <c r="V27" s="117">
        <f t="shared" si="2"/>
        <v>0</v>
      </c>
      <c r="W27" s="94"/>
      <c r="X27" s="50"/>
      <c r="Y27" s="117">
        <f t="shared" si="3"/>
        <v>0</v>
      </c>
      <c r="Z27" s="94"/>
      <c r="AA27" s="50"/>
      <c r="AB27" s="117">
        <f t="shared" si="4"/>
        <v>0</v>
      </c>
      <c r="AC27" s="94"/>
      <c r="AD27" s="50"/>
      <c r="AE27" s="117">
        <f t="shared" si="5"/>
        <v>0</v>
      </c>
      <c r="AF27" s="94"/>
      <c r="AG27" s="50"/>
      <c r="AH27" s="117">
        <f t="shared" si="6"/>
        <v>0</v>
      </c>
      <c r="AI27" s="94"/>
      <c r="AL27" s="94"/>
      <c r="AM27" s="94"/>
      <c r="AN27" s="94"/>
      <c r="AR27" s="375"/>
      <c r="AS27" s="375"/>
      <c r="AT27" s="375"/>
      <c r="AU27" s="375"/>
      <c r="AV27" s="375"/>
      <c r="AW27" s="375"/>
      <c r="AX27" s="375"/>
      <c r="AY27" s="375"/>
      <c r="AZ27" s="375"/>
      <c r="BB27" s="376"/>
      <c r="BC27" s="377"/>
    </row>
    <row r="28" spans="3:55" x14ac:dyDescent="0.25">
      <c r="C28" s="102" t="str">
        <f>'MP Calculations'!D55</f>
        <v>2011-12</v>
      </c>
      <c r="D28" s="298">
        <f>IF(LEFT($C28,4)*1&lt;LEFT('General inputs'!$I$16,4)+'General inputs'!$H$38,SUM(G28,J28,M28,P28,S28,V28,Y28,AB28,AE28,AH28),"")</f>
        <v>12374.993676603433</v>
      </c>
      <c r="E28" s="297"/>
      <c r="F28" s="299"/>
      <c r="G28" s="298">
        <v>1264</v>
      </c>
      <c r="H28" s="297"/>
      <c r="I28" s="339"/>
      <c r="J28" s="298">
        <v>11110.993676603433</v>
      </c>
      <c r="K28" s="297"/>
      <c r="L28" s="342"/>
      <c r="M28" s="298">
        <v>0</v>
      </c>
      <c r="N28" s="94"/>
      <c r="O28" s="50"/>
      <c r="P28" s="117">
        <f t="shared" si="0"/>
        <v>0</v>
      </c>
      <c r="Q28" s="94"/>
      <c r="R28" s="50"/>
      <c r="S28" s="117">
        <f t="shared" si="1"/>
        <v>0</v>
      </c>
      <c r="T28" s="94"/>
      <c r="U28" s="50"/>
      <c r="V28" s="117">
        <f t="shared" si="2"/>
        <v>0</v>
      </c>
      <c r="W28" s="94"/>
      <c r="X28" s="50"/>
      <c r="Y28" s="117">
        <f t="shared" si="3"/>
        <v>0</v>
      </c>
      <c r="Z28" s="94"/>
      <c r="AA28" s="50"/>
      <c r="AB28" s="117">
        <f t="shared" si="4"/>
        <v>0</v>
      </c>
      <c r="AC28" s="94"/>
      <c r="AD28" s="50"/>
      <c r="AE28" s="117">
        <f t="shared" si="5"/>
        <v>0</v>
      </c>
      <c r="AF28" s="94"/>
      <c r="AG28" s="50"/>
      <c r="AH28" s="117">
        <f t="shared" si="6"/>
        <v>0</v>
      </c>
      <c r="AI28" s="94"/>
      <c r="AL28" s="94"/>
      <c r="AM28" s="94"/>
      <c r="AN28" s="94"/>
      <c r="AR28" s="375"/>
      <c r="AS28" s="375"/>
      <c r="AT28" s="375"/>
      <c r="AU28" s="375"/>
      <c r="AV28" s="375"/>
      <c r="AW28" s="375"/>
      <c r="AX28" s="375"/>
      <c r="AY28" s="375"/>
      <c r="AZ28" s="375"/>
      <c r="BB28" s="376"/>
      <c r="BC28" s="377"/>
    </row>
    <row r="29" spans="3:55" x14ac:dyDescent="0.25">
      <c r="C29" s="102" t="str">
        <f>'MP Calculations'!D56</f>
        <v>2012-13</v>
      </c>
      <c r="D29" s="298">
        <f>IF(LEFT($C29,4)*1&lt;LEFT('General inputs'!$I$16,4)+'General inputs'!$H$38,SUM(G29,J29,M29,P29,S29,V29,Y29,AB29,AE29,AH29),"")</f>
        <v>9712.2484191508574</v>
      </c>
      <c r="E29" s="297"/>
      <c r="F29" s="299"/>
      <c r="G29" s="298">
        <v>817</v>
      </c>
      <c r="H29" s="297"/>
      <c r="I29" s="339"/>
      <c r="J29" s="298">
        <v>4863.9476061427276</v>
      </c>
      <c r="K29" s="297"/>
      <c r="L29" s="342"/>
      <c r="M29" s="298">
        <v>4031.3008130081298</v>
      </c>
      <c r="N29" s="94"/>
      <c r="O29" s="50"/>
      <c r="P29" s="117">
        <f t="shared" si="0"/>
        <v>0</v>
      </c>
      <c r="Q29" s="94"/>
      <c r="R29" s="50"/>
      <c r="S29" s="117">
        <f t="shared" si="1"/>
        <v>0</v>
      </c>
      <c r="T29" s="94"/>
      <c r="U29" s="50"/>
      <c r="V29" s="117">
        <f t="shared" si="2"/>
        <v>0</v>
      </c>
      <c r="W29" s="94"/>
      <c r="X29" s="50"/>
      <c r="Y29" s="117">
        <f t="shared" si="3"/>
        <v>0</v>
      </c>
      <c r="Z29" s="94"/>
      <c r="AA29" s="50"/>
      <c r="AB29" s="117">
        <f t="shared" si="4"/>
        <v>0</v>
      </c>
      <c r="AC29" s="94"/>
      <c r="AD29" s="50"/>
      <c r="AE29" s="117">
        <f t="shared" si="5"/>
        <v>0</v>
      </c>
      <c r="AF29" s="94"/>
      <c r="AG29" s="50"/>
      <c r="AH29" s="117">
        <f t="shared" si="6"/>
        <v>0</v>
      </c>
      <c r="AI29" s="94"/>
      <c r="AL29" s="94"/>
      <c r="AM29" s="94"/>
      <c r="AN29" s="94"/>
      <c r="AR29" s="375"/>
      <c r="AS29" s="375"/>
      <c r="AT29" s="375"/>
      <c r="AU29" s="375"/>
      <c r="AV29" s="375"/>
      <c r="AW29" s="375"/>
      <c r="AX29" s="375"/>
      <c r="AY29" s="375"/>
      <c r="AZ29" s="375"/>
      <c r="BB29" s="376"/>
      <c r="BC29" s="377"/>
    </row>
    <row r="30" spans="3:55" x14ac:dyDescent="0.25">
      <c r="C30" s="102" t="str">
        <f>'MP Calculations'!D57</f>
        <v>2013-14</v>
      </c>
      <c r="D30" s="298">
        <f>IF(LEFT($C30,4)*1&lt;LEFT('General inputs'!$I$16,4)+'General inputs'!$H$38,SUM(G30,J30,M30,P30,S30,V30,Y30,AB30,AE30,AH30),"")</f>
        <v>9393.8233965674335</v>
      </c>
      <c r="E30" s="297"/>
      <c r="F30" s="299"/>
      <c r="G30" s="298">
        <v>1045</v>
      </c>
      <c r="H30" s="297"/>
      <c r="I30" s="339"/>
      <c r="J30" s="298">
        <v>6485.0067750677508</v>
      </c>
      <c r="K30" s="297"/>
      <c r="L30" s="342"/>
      <c r="M30" s="298">
        <v>1863.8166214996829</v>
      </c>
      <c r="N30" s="94"/>
      <c r="O30" s="50"/>
      <c r="P30" s="117">
        <f t="shared" si="0"/>
        <v>0</v>
      </c>
      <c r="Q30" s="94"/>
      <c r="R30" s="50"/>
      <c r="S30" s="117">
        <f t="shared" si="1"/>
        <v>0</v>
      </c>
      <c r="T30" s="94"/>
      <c r="U30" s="50"/>
      <c r="V30" s="117">
        <f t="shared" si="2"/>
        <v>0</v>
      </c>
      <c r="W30" s="94"/>
      <c r="X30" s="50"/>
      <c r="Y30" s="117">
        <f t="shared" si="3"/>
        <v>0</v>
      </c>
      <c r="Z30" s="94"/>
      <c r="AA30" s="50"/>
      <c r="AB30" s="117">
        <f t="shared" si="4"/>
        <v>0</v>
      </c>
      <c r="AC30" s="94"/>
      <c r="AD30" s="50"/>
      <c r="AE30" s="117">
        <f t="shared" si="5"/>
        <v>0</v>
      </c>
      <c r="AF30" s="94"/>
      <c r="AG30" s="50"/>
      <c r="AH30" s="117">
        <f t="shared" si="6"/>
        <v>0</v>
      </c>
      <c r="AI30" s="94"/>
      <c r="AL30" s="94"/>
      <c r="AM30" s="94"/>
      <c r="AN30" s="94"/>
      <c r="AR30" s="375"/>
      <c r="AS30" s="375"/>
      <c r="AT30" s="375"/>
      <c r="AU30" s="375"/>
      <c r="AV30" s="375"/>
      <c r="AW30" s="375"/>
      <c r="AX30" s="375"/>
      <c r="AY30" s="375"/>
      <c r="AZ30" s="375"/>
      <c r="BB30" s="376"/>
      <c r="BC30" s="377"/>
    </row>
    <row r="31" spans="3:55" x14ac:dyDescent="0.25">
      <c r="C31" s="102" t="str">
        <f>'MP Calculations'!D58</f>
        <v>2014-15</v>
      </c>
      <c r="D31" s="298">
        <f>IF(LEFT($C31,4)*1&lt;LEFT('General inputs'!$I$16,4)+'General inputs'!$H$38,SUM(G31,J31,M31,P31,S31,V31,Y31,AB31,AE31,AH31),"")</f>
        <v>10026.015808491418</v>
      </c>
      <c r="E31" s="297"/>
      <c r="F31" s="299"/>
      <c r="G31" s="298">
        <v>1146</v>
      </c>
      <c r="H31" s="297"/>
      <c r="I31" s="339"/>
      <c r="J31" s="298">
        <v>8880.0158084914183</v>
      </c>
      <c r="K31" s="297"/>
      <c r="L31" s="342"/>
      <c r="M31" s="298">
        <v>0</v>
      </c>
      <c r="N31" s="94"/>
      <c r="O31" s="50"/>
      <c r="P31" s="117">
        <f t="shared" si="0"/>
        <v>0</v>
      </c>
      <c r="Q31" s="94"/>
      <c r="R31" s="50"/>
      <c r="S31" s="117">
        <f t="shared" si="1"/>
        <v>0</v>
      </c>
      <c r="T31" s="94"/>
      <c r="U31" s="50"/>
      <c r="V31" s="117">
        <f t="shared" si="2"/>
        <v>0</v>
      </c>
      <c r="W31" s="94"/>
      <c r="X31" s="50"/>
      <c r="Y31" s="117">
        <f t="shared" si="3"/>
        <v>0</v>
      </c>
      <c r="Z31" s="94"/>
      <c r="AA31" s="50"/>
      <c r="AB31" s="117">
        <f t="shared" si="4"/>
        <v>0</v>
      </c>
      <c r="AC31" s="94"/>
      <c r="AD31" s="50"/>
      <c r="AE31" s="117">
        <f t="shared" si="5"/>
        <v>0</v>
      </c>
      <c r="AF31" s="94"/>
      <c r="AG31" s="50"/>
      <c r="AH31" s="117">
        <f t="shared" si="6"/>
        <v>0</v>
      </c>
      <c r="AI31" s="94"/>
      <c r="AL31" s="94"/>
      <c r="AM31" s="94"/>
      <c r="AN31" s="94"/>
      <c r="AR31" s="375"/>
      <c r="AS31" s="375"/>
      <c r="AT31" s="375"/>
      <c r="AU31" s="375"/>
      <c r="AV31" s="375"/>
      <c r="AW31" s="375"/>
      <c r="AX31" s="375"/>
      <c r="AY31" s="375"/>
      <c r="AZ31" s="375"/>
      <c r="BB31" s="376"/>
      <c r="BC31" s="377"/>
    </row>
    <row r="32" spans="3:55" x14ac:dyDescent="0.25">
      <c r="C32" s="102" t="str">
        <f>'MP Calculations'!D59</f>
        <v>2015-16</v>
      </c>
      <c r="D32" s="298">
        <f>IF(LEFT($C32,4)*1&lt;LEFT('General inputs'!$I$16,4)+'General inputs'!$H$38,SUM(G32,J32,M32,P32,S32,V32,Y32,AB32,AE32,AH32),"")</f>
        <v>9127.8297199638</v>
      </c>
      <c r="E32" s="297"/>
      <c r="F32" s="299"/>
      <c r="G32" s="298">
        <v>3870</v>
      </c>
      <c r="H32" s="297"/>
      <c r="I32" s="339"/>
      <c r="J32" s="298">
        <v>4567.459349593496</v>
      </c>
      <c r="K32" s="297"/>
      <c r="L32" s="342"/>
      <c r="M32" s="298">
        <v>690.37037037030302</v>
      </c>
      <c r="N32" s="94"/>
      <c r="O32" s="50"/>
      <c r="P32" s="117">
        <f t="shared" si="0"/>
        <v>0</v>
      </c>
      <c r="Q32" s="94"/>
      <c r="R32" s="50"/>
      <c r="S32" s="117">
        <f t="shared" si="1"/>
        <v>0</v>
      </c>
      <c r="T32" s="94"/>
      <c r="U32" s="50"/>
      <c r="V32" s="117">
        <f t="shared" si="2"/>
        <v>0</v>
      </c>
      <c r="W32" s="94"/>
      <c r="X32" s="50"/>
      <c r="Y32" s="117">
        <f t="shared" si="3"/>
        <v>0</v>
      </c>
      <c r="Z32" s="94"/>
      <c r="AA32" s="50"/>
      <c r="AB32" s="117">
        <f t="shared" si="4"/>
        <v>0</v>
      </c>
      <c r="AC32" s="94"/>
      <c r="AD32" s="50"/>
      <c r="AE32" s="117">
        <f t="shared" si="5"/>
        <v>0</v>
      </c>
      <c r="AF32" s="94"/>
      <c r="AG32" s="50"/>
      <c r="AH32" s="117">
        <f t="shared" si="6"/>
        <v>0</v>
      </c>
      <c r="AI32" s="94"/>
      <c r="AL32" s="94"/>
      <c r="AM32" s="94"/>
      <c r="AN32" s="94"/>
      <c r="AR32" s="375"/>
      <c r="AS32" s="375"/>
      <c r="AT32" s="375"/>
      <c r="AU32" s="375"/>
      <c r="AV32" s="375"/>
      <c r="AW32" s="375"/>
      <c r="AX32" s="375"/>
      <c r="AY32" s="375"/>
      <c r="AZ32" s="375"/>
      <c r="BB32" s="376"/>
      <c r="BC32" s="377"/>
    </row>
    <row r="33" spans="3:55" x14ac:dyDescent="0.25">
      <c r="C33" s="102" t="str">
        <f>'MP Calculations'!D60</f>
        <v>2016-17</v>
      </c>
      <c r="D33" s="298">
        <f>IF(LEFT($C33,4)*1&lt;LEFT('General inputs'!$I$16,4)+'General inputs'!$H$38,SUM(G33,J33,M33,P33,S33,V33,Y33,AB33,AE33,AH33),"")</f>
        <v>18749.756097561007</v>
      </c>
      <c r="E33" s="297"/>
      <c r="F33" s="299"/>
      <c r="G33" s="298">
        <v>1920</v>
      </c>
      <c r="H33" s="297"/>
      <c r="I33" s="339"/>
      <c r="J33" s="298">
        <v>8920.8310749774155</v>
      </c>
      <c r="K33" s="297"/>
      <c r="L33" s="342"/>
      <c r="M33" s="298">
        <v>7908.9250225835922</v>
      </c>
      <c r="N33" s="94"/>
      <c r="O33" s="50"/>
      <c r="P33" s="117">
        <f t="shared" si="0"/>
        <v>0</v>
      </c>
      <c r="Q33" s="94"/>
      <c r="R33" s="50"/>
      <c r="S33" s="117">
        <f t="shared" si="1"/>
        <v>0</v>
      </c>
      <c r="T33" s="94"/>
      <c r="U33" s="50"/>
      <c r="V33" s="117">
        <f t="shared" si="2"/>
        <v>0</v>
      </c>
      <c r="W33" s="94"/>
      <c r="X33" s="50"/>
      <c r="Y33" s="117">
        <f t="shared" si="3"/>
        <v>0</v>
      </c>
      <c r="Z33" s="94"/>
      <c r="AA33" s="50"/>
      <c r="AB33" s="117">
        <f t="shared" si="4"/>
        <v>0</v>
      </c>
      <c r="AC33" s="94"/>
      <c r="AD33" s="50"/>
      <c r="AE33" s="117">
        <f t="shared" si="5"/>
        <v>0</v>
      </c>
      <c r="AF33" s="94"/>
      <c r="AG33" s="50"/>
      <c r="AH33" s="117">
        <f t="shared" si="6"/>
        <v>0</v>
      </c>
      <c r="AI33" s="94"/>
      <c r="AL33" s="94"/>
      <c r="AM33" s="94"/>
      <c r="AN33" s="94"/>
      <c r="AR33" s="375"/>
      <c r="AS33" s="375"/>
      <c r="AT33" s="375"/>
      <c r="AU33" s="375"/>
      <c r="AV33" s="375"/>
      <c r="AW33" s="375"/>
      <c r="AX33" s="375"/>
      <c r="AY33" s="375"/>
      <c r="AZ33" s="375"/>
      <c r="BB33" s="376"/>
      <c r="BC33" s="377"/>
    </row>
    <row r="34" spans="3:55" x14ac:dyDescent="0.25">
      <c r="C34" s="102" t="str">
        <f>'MP Calculations'!D61</f>
        <v>2017-18</v>
      </c>
      <c r="D34" s="298">
        <f>IF(LEFT($C34,4)*1&lt;LEFT('General inputs'!$I$16,4)+'General inputs'!$H$38,SUM(G34,J34,M34,P34,S34,V34,Y34,AB34,AE34,AH34),"")</f>
        <v>16634.003613369434</v>
      </c>
      <c r="E34" s="297"/>
      <c r="F34" s="299"/>
      <c r="G34" s="298">
        <v>1026</v>
      </c>
      <c r="H34" s="297"/>
      <c r="I34" s="339"/>
      <c r="J34" s="298">
        <v>11958.10298102981</v>
      </c>
      <c r="K34" s="297"/>
      <c r="L34" s="342"/>
      <c r="M34" s="298">
        <v>3649.9006323396229</v>
      </c>
      <c r="N34" s="94"/>
      <c r="O34" s="50"/>
      <c r="P34" s="117">
        <f t="shared" si="0"/>
        <v>0</v>
      </c>
      <c r="Q34" s="94"/>
      <c r="R34" s="50"/>
      <c r="S34" s="117">
        <f t="shared" si="1"/>
        <v>0</v>
      </c>
      <c r="T34" s="94"/>
      <c r="U34" s="50"/>
      <c r="V34" s="117">
        <f t="shared" si="2"/>
        <v>0</v>
      </c>
      <c r="W34" s="94"/>
      <c r="X34" s="50"/>
      <c r="Y34" s="117">
        <f t="shared" si="3"/>
        <v>0</v>
      </c>
      <c r="Z34" s="94"/>
      <c r="AA34" s="50"/>
      <c r="AB34" s="117">
        <f t="shared" si="4"/>
        <v>0</v>
      </c>
      <c r="AC34" s="94"/>
      <c r="AD34" s="50"/>
      <c r="AE34" s="117">
        <f t="shared" si="5"/>
        <v>0</v>
      </c>
      <c r="AF34" s="94"/>
      <c r="AG34" s="50"/>
      <c r="AH34" s="117">
        <f t="shared" si="6"/>
        <v>0</v>
      </c>
      <c r="AI34" s="94"/>
      <c r="AL34" s="94"/>
      <c r="AM34" s="94"/>
      <c r="AN34" s="94"/>
      <c r="AR34" s="375"/>
      <c r="AS34" s="375"/>
      <c r="AT34" s="375"/>
      <c r="AU34" s="375"/>
      <c r="AV34" s="375"/>
      <c r="AW34" s="375"/>
      <c r="AX34" s="375"/>
      <c r="AY34" s="375"/>
      <c r="AZ34" s="375"/>
      <c r="BB34" s="376"/>
      <c r="BC34" s="377"/>
    </row>
    <row r="35" spans="3:55" x14ac:dyDescent="0.25">
      <c r="C35" s="102" t="str">
        <f>'MP Calculations'!D62</f>
        <v>2018-19</v>
      </c>
      <c r="D35" s="298">
        <f>IF(LEFT($C35,4)*1&lt;LEFT('General inputs'!$I$16,4)+'General inputs'!$H$38,SUM(G35,J35,M35,P35,S35,V35,Y35,AB35,AE35,AH35),"")</f>
        <v>11104.832429990967</v>
      </c>
      <c r="E35" s="297"/>
      <c r="F35" s="299"/>
      <c r="G35" s="298">
        <v>546</v>
      </c>
      <c r="H35" s="297"/>
      <c r="I35" s="339"/>
      <c r="J35" s="298">
        <v>10558.832429990967</v>
      </c>
      <c r="K35" s="297"/>
      <c r="L35" s="342"/>
      <c r="M35" s="298">
        <v>0</v>
      </c>
      <c r="N35" s="94"/>
      <c r="O35" s="50"/>
      <c r="P35" s="117">
        <f t="shared" si="0"/>
        <v>0</v>
      </c>
      <c r="Q35" s="94"/>
      <c r="R35" s="50"/>
      <c r="S35" s="117">
        <f t="shared" si="1"/>
        <v>0</v>
      </c>
      <c r="T35" s="94"/>
      <c r="U35" s="50"/>
      <c r="V35" s="117">
        <f t="shared" si="2"/>
        <v>0</v>
      </c>
      <c r="W35" s="94"/>
      <c r="X35" s="50"/>
      <c r="Y35" s="117">
        <f t="shared" si="3"/>
        <v>0</v>
      </c>
      <c r="Z35" s="94"/>
      <c r="AA35" s="50"/>
      <c r="AB35" s="117">
        <f t="shared" si="4"/>
        <v>0</v>
      </c>
      <c r="AC35" s="94"/>
      <c r="AD35" s="50"/>
      <c r="AE35" s="117">
        <f t="shared" si="5"/>
        <v>0</v>
      </c>
      <c r="AF35" s="94"/>
      <c r="AG35" s="50"/>
      <c r="AH35" s="117">
        <f t="shared" si="6"/>
        <v>0</v>
      </c>
      <c r="AI35" s="94"/>
      <c r="AL35" s="94"/>
      <c r="AM35" s="94"/>
      <c r="AN35" s="94"/>
      <c r="AR35" s="375"/>
      <c r="AS35" s="375"/>
      <c r="AT35" s="375"/>
      <c r="AU35" s="375"/>
      <c r="AV35" s="375"/>
      <c r="AW35" s="375"/>
      <c r="AX35" s="375"/>
      <c r="AY35" s="375"/>
      <c r="AZ35" s="375"/>
      <c r="BB35" s="376"/>
      <c r="BC35" s="377"/>
    </row>
    <row r="36" spans="3:55" x14ac:dyDescent="0.25">
      <c r="C36" s="102" t="str">
        <f>'MP Calculations'!D63</f>
        <v>2019-20</v>
      </c>
      <c r="D36" s="298">
        <f>IF(LEFT($C36,4)*1&lt;LEFT('General inputs'!$I$16,4)+'General inputs'!$H$38,SUM(G36,J36,M36,P36,S36,V36,Y36,AB36,AE36,AH36),"")</f>
        <v>13033.327913279132</v>
      </c>
      <c r="E36" s="297"/>
      <c r="F36" s="339"/>
      <c r="G36" s="298">
        <v>1967</v>
      </c>
      <c r="H36" s="297"/>
      <c r="I36" s="339"/>
      <c r="J36" s="298">
        <v>11066.327913279132</v>
      </c>
      <c r="K36" s="297"/>
      <c r="L36" s="342"/>
      <c r="M36" s="298">
        <v>0</v>
      </c>
      <c r="N36" s="94"/>
      <c r="O36" s="50"/>
      <c r="P36" s="117">
        <f t="shared" si="0"/>
        <v>0</v>
      </c>
      <c r="Q36" s="94"/>
      <c r="R36" s="50"/>
      <c r="S36" s="117">
        <f t="shared" si="1"/>
        <v>0</v>
      </c>
      <c r="T36" s="94"/>
      <c r="U36" s="50"/>
      <c r="V36" s="117">
        <f t="shared" si="2"/>
        <v>0</v>
      </c>
      <c r="W36" s="94"/>
      <c r="X36" s="50"/>
      <c r="Y36" s="117">
        <f t="shared" si="3"/>
        <v>0</v>
      </c>
      <c r="Z36" s="94"/>
      <c r="AA36" s="50"/>
      <c r="AB36" s="117">
        <f t="shared" si="4"/>
        <v>0</v>
      </c>
      <c r="AC36" s="94"/>
      <c r="AD36" s="50"/>
      <c r="AE36" s="117">
        <f t="shared" si="5"/>
        <v>0</v>
      </c>
      <c r="AF36" s="94"/>
      <c r="AG36" s="50"/>
      <c r="AH36" s="117">
        <f t="shared" si="6"/>
        <v>0</v>
      </c>
      <c r="AI36" s="94"/>
      <c r="AL36" s="94"/>
      <c r="AM36" s="94"/>
      <c r="AN36" s="94"/>
      <c r="AR36" s="375"/>
      <c r="AS36" s="375"/>
      <c r="AT36" s="375"/>
      <c r="AU36" s="375"/>
      <c r="AV36" s="375"/>
      <c r="AW36" s="375"/>
      <c r="AX36" s="375"/>
      <c r="AY36" s="375"/>
      <c r="AZ36" s="375"/>
      <c r="BB36" s="376"/>
      <c r="BC36" s="377"/>
    </row>
    <row r="37" spans="3:55" x14ac:dyDescent="0.25">
      <c r="C37" s="102" t="str">
        <f>'MP Calculations'!D64</f>
        <v>2020-21</v>
      </c>
      <c r="D37" s="298">
        <f>IF(LEFT($C37,4)*1&lt;LEFT('General inputs'!$I$16,4)+'General inputs'!$H$38,SUM(G37,J37,M37,P37,S37,V37,Y37,AB37,AE37,AH37),"")</f>
        <v>8917.0394105692048</v>
      </c>
      <c r="E37" s="297"/>
      <c r="F37" s="339"/>
      <c r="G37" s="298">
        <v>995</v>
      </c>
      <c r="H37" s="297"/>
      <c r="I37" s="339"/>
      <c r="J37" s="298">
        <v>7074.1327913279129</v>
      </c>
      <c r="K37" s="297"/>
      <c r="L37" s="342"/>
      <c r="M37" s="298">
        <v>847.9066192412912</v>
      </c>
      <c r="N37" s="94"/>
      <c r="O37" s="50"/>
      <c r="P37" s="117">
        <f t="shared" si="0"/>
        <v>0</v>
      </c>
      <c r="Q37" s="94"/>
      <c r="R37" s="50"/>
      <c r="S37" s="117">
        <f t="shared" si="1"/>
        <v>0</v>
      </c>
      <c r="T37" s="94"/>
      <c r="U37" s="50"/>
      <c r="V37" s="117">
        <f t="shared" si="2"/>
        <v>0</v>
      </c>
      <c r="W37" s="94"/>
      <c r="X37" s="50"/>
      <c r="Y37" s="117">
        <f t="shared" si="3"/>
        <v>0</v>
      </c>
      <c r="Z37" s="94"/>
      <c r="AA37" s="50"/>
      <c r="AB37" s="117">
        <f t="shared" si="4"/>
        <v>0</v>
      </c>
      <c r="AC37" s="94"/>
      <c r="AD37" s="50"/>
      <c r="AE37" s="117">
        <f t="shared" si="5"/>
        <v>0</v>
      </c>
      <c r="AF37" s="94"/>
      <c r="AG37" s="50"/>
      <c r="AH37" s="117">
        <f t="shared" si="6"/>
        <v>0</v>
      </c>
      <c r="AI37" s="94"/>
      <c r="AL37" s="94"/>
      <c r="AM37" s="94"/>
      <c r="AN37" s="94"/>
      <c r="AR37" s="375"/>
      <c r="AS37" s="375"/>
      <c r="AT37" s="375"/>
      <c r="AU37" s="375"/>
      <c r="AV37" s="375"/>
      <c r="AW37" s="375"/>
      <c r="AX37" s="375"/>
      <c r="AY37" s="375"/>
      <c r="AZ37" s="375"/>
      <c r="BB37" s="376"/>
      <c r="BC37" s="377"/>
    </row>
    <row r="38" spans="3:55" ht="12" thickBot="1" x14ac:dyDescent="0.3">
      <c r="C38" s="301" t="str">
        <f>'MP Calculations'!D65</f>
        <v>2021-22</v>
      </c>
      <c r="D38" s="302">
        <f>IF(LEFT($C38,4)*1&lt;LEFT('General inputs'!$I$16,4)+'General inputs'!$H$38,SUM(G38,J38,M38,P38,S38,V38,Y38,AB38,AE38,AH38),"")</f>
        <v>6150.8238482384822</v>
      </c>
      <c r="E38" s="303"/>
      <c r="F38" s="340"/>
      <c r="G38" s="302">
        <v>851</v>
      </c>
      <c r="H38" s="303"/>
      <c r="I38" s="340"/>
      <c r="J38" s="302">
        <v>5299.8238482384822</v>
      </c>
      <c r="K38" s="303"/>
      <c r="L38" s="343"/>
      <c r="M38" s="302">
        <v>0</v>
      </c>
      <c r="N38" s="94"/>
      <c r="O38" s="50"/>
      <c r="P38" s="117">
        <f t="shared" si="0"/>
        <v>0</v>
      </c>
      <c r="Q38" s="94"/>
      <c r="R38" s="50"/>
      <c r="S38" s="117">
        <f t="shared" si="1"/>
        <v>0</v>
      </c>
      <c r="T38" s="94"/>
      <c r="U38" s="50"/>
      <c r="V38" s="117">
        <f t="shared" si="2"/>
        <v>0</v>
      </c>
      <c r="W38" s="94"/>
      <c r="X38" s="50"/>
      <c r="Y38" s="117">
        <f t="shared" si="3"/>
        <v>0</v>
      </c>
      <c r="Z38" s="94"/>
      <c r="AA38" s="50"/>
      <c r="AB38" s="117">
        <f t="shared" si="4"/>
        <v>0</v>
      </c>
      <c r="AC38" s="94"/>
      <c r="AD38" s="50"/>
      <c r="AE38" s="117">
        <f t="shared" si="5"/>
        <v>0</v>
      </c>
      <c r="AF38" s="94"/>
      <c r="AG38" s="50"/>
      <c r="AH38" s="117">
        <f t="shared" si="6"/>
        <v>0</v>
      </c>
      <c r="AI38" s="94"/>
      <c r="AL38" s="94"/>
      <c r="AM38" s="94"/>
      <c r="AN38" s="94"/>
      <c r="AR38" s="375"/>
      <c r="AS38" s="375"/>
      <c r="AT38" s="375"/>
      <c r="AU38" s="375"/>
      <c r="AV38" s="375"/>
      <c r="AW38" s="375"/>
      <c r="AX38" s="375"/>
      <c r="AY38" s="375"/>
      <c r="AZ38" s="375"/>
      <c r="BB38" s="376"/>
      <c r="BC38" s="377"/>
    </row>
    <row r="39" spans="3:55" x14ac:dyDescent="0.25">
      <c r="C39" s="102" t="str">
        <f>'MP Calculations'!D66</f>
        <v>2022-23</v>
      </c>
      <c r="D39" s="298">
        <f>IF(LEFT($C39,4)*1&lt;LEFT('General inputs'!$I$16,4)+'General inputs'!$H$38,SUM(G39,J39,M39,P39,S39,V39,Y39,AB39,AE39,AH39),"")</f>
        <v>14743.904760497819</v>
      </c>
      <c r="E39" s="297"/>
      <c r="F39" s="299"/>
      <c r="G39" s="298">
        <v>2369.8290226596473</v>
      </c>
      <c r="H39" s="297"/>
      <c r="I39" s="339"/>
      <c r="J39" s="298">
        <v>9803.9477194414994</v>
      </c>
      <c r="K39" s="297"/>
      <c r="L39" s="342"/>
      <c r="M39" s="298">
        <v>2570.128018396671</v>
      </c>
      <c r="N39" s="94"/>
      <c r="O39" s="50"/>
      <c r="P39" s="117">
        <f t="shared" si="0"/>
        <v>0</v>
      </c>
      <c r="Q39" s="94"/>
      <c r="R39" s="50"/>
      <c r="S39" s="117">
        <f t="shared" si="1"/>
        <v>0</v>
      </c>
      <c r="T39" s="94"/>
      <c r="U39" s="50"/>
      <c r="V39" s="117">
        <f t="shared" si="2"/>
        <v>0</v>
      </c>
      <c r="W39" s="94"/>
      <c r="X39" s="50"/>
      <c r="Y39" s="117">
        <f t="shared" si="3"/>
        <v>0</v>
      </c>
      <c r="Z39" s="94"/>
      <c r="AA39" s="50"/>
      <c r="AB39" s="117">
        <f t="shared" si="4"/>
        <v>0</v>
      </c>
      <c r="AC39" s="94"/>
      <c r="AD39" s="50"/>
      <c r="AE39" s="117">
        <f t="shared" si="5"/>
        <v>0</v>
      </c>
      <c r="AF39" s="94"/>
      <c r="AG39" s="50"/>
      <c r="AH39" s="117">
        <f t="shared" si="6"/>
        <v>0</v>
      </c>
      <c r="AI39" s="94"/>
      <c r="AL39" s="94"/>
      <c r="AM39" s="94"/>
      <c r="AN39" s="94"/>
      <c r="AR39" s="375"/>
      <c r="AS39" s="375"/>
      <c r="AT39" s="375"/>
      <c r="AU39" s="375"/>
      <c r="AV39" s="375"/>
      <c r="AW39" s="375"/>
      <c r="AX39" s="375"/>
      <c r="AY39" s="375"/>
      <c r="AZ39" s="375"/>
      <c r="BB39" s="376"/>
      <c r="BC39" s="377"/>
    </row>
    <row r="40" spans="3:55" x14ac:dyDescent="0.25">
      <c r="C40" s="102" t="str">
        <f>'MP Calculations'!D67</f>
        <v>2023-24</v>
      </c>
      <c r="D40" s="298">
        <f>IF(LEFT($C40,4)*1&lt;LEFT('General inputs'!$I$16,4)+'General inputs'!$H$38,SUM(G40,J40,M40,P40,S40,V40,Y40,AB40,AE40,AH40),"")</f>
        <v>16128.287260330411</v>
      </c>
      <c r="E40" s="297"/>
      <c r="F40" s="299"/>
      <c r="G40" s="298">
        <v>2179.872053101396</v>
      </c>
      <c r="H40" s="297"/>
      <c r="I40" s="339"/>
      <c r="J40" s="298">
        <v>11095.736117042434</v>
      </c>
      <c r="K40" s="297"/>
      <c r="L40" s="342"/>
      <c r="M40" s="298">
        <v>2852.6790901865802</v>
      </c>
      <c r="N40" s="94"/>
      <c r="O40" s="50"/>
      <c r="P40" s="117">
        <f t="shared" si="0"/>
        <v>0</v>
      </c>
      <c r="Q40" s="94"/>
      <c r="R40" s="50"/>
      <c r="S40" s="117">
        <f t="shared" si="1"/>
        <v>0</v>
      </c>
      <c r="T40" s="94"/>
      <c r="U40" s="50"/>
      <c r="V40" s="117">
        <f t="shared" si="2"/>
        <v>0</v>
      </c>
      <c r="W40" s="94"/>
      <c r="X40" s="50"/>
      <c r="Y40" s="117">
        <f t="shared" si="3"/>
        <v>0</v>
      </c>
      <c r="Z40" s="94"/>
      <c r="AA40" s="50"/>
      <c r="AB40" s="117">
        <f t="shared" si="4"/>
        <v>0</v>
      </c>
      <c r="AC40" s="94"/>
      <c r="AD40" s="50"/>
      <c r="AE40" s="117">
        <f t="shared" si="5"/>
        <v>0</v>
      </c>
      <c r="AF40" s="94"/>
      <c r="AG40" s="50"/>
      <c r="AH40" s="117">
        <f t="shared" si="6"/>
        <v>0</v>
      </c>
      <c r="AI40" s="94"/>
      <c r="AL40" s="94"/>
      <c r="AM40" s="94"/>
      <c r="AN40" s="94"/>
      <c r="AR40" s="375"/>
      <c r="AS40" s="375"/>
      <c r="AT40" s="375"/>
      <c r="AU40" s="375"/>
      <c r="AV40" s="375"/>
      <c r="AW40" s="375"/>
      <c r="AX40" s="375"/>
      <c r="AY40" s="375"/>
      <c r="AZ40" s="375"/>
      <c r="BB40" s="376"/>
      <c r="BC40" s="377"/>
    </row>
    <row r="41" spans="3:55" x14ac:dyDescent="0.25">
      <c r="C41" s="102" t="str">
        <f>'MP Calculations'!D68</f>
        <v>2024-25</v>
      </c>
      <c r="D41" s="298">
        <f>IF(LEFT($C41,4)*1&lt;LEFT('General inputs'!$I$16,4)+'General inputs'!$H$38,SUM(G41,J41,M41,P41,S41,V41,Y41,AB41,AE41,AH41),"")</f>
        <v>15700.896050410603</v>
      </c>
      <c r="E41" s="297"/>
      <c r="F41" s="299"/>
      <c r="G41" s="298">
        <v>2212.303730830854</v>
      </c>
      <c r="H41" s="297"/>
      <c r="I41" s="339"/>
      <c r="J41" s="298">
        <v>10720.523303088499</v>
      </c>
      <c r="K41" s="297"/>
      <c r="L41" s="342"/>
      <c r="M41" s="298">
        <v>2768.0690164912503</v>
      </c>
      <c r="N41" s="94"/>
      <c r="O41" s="50"/>
      <c r="P41" s="117">
        <f t="shared" si="0"/>
        <v>0</v>
      </c>
      <c r="Q41" s="94"/>
      <c r="R41" s="50"/>
      <c r="S41" s="117">
        <f t="shared" si="1"/>
        <v>0</v>
      </c>
      <c r="T41" s="94"/>
      <c r="U41" s="50"/>
      <c r="V41" s="117">
        <f t="shared" si="2"/>
        <v>0</v>
      </c>
      <c r="W41" s="94"/>
      <c r="X41" s="50"/>
      <c r="Y41" s="117">
        <f t="shared" si="3"/>
        <v>0</v>
      </c>
      <c r="Z41" s="94"/>
      <c r="AA41" s="50"/>
      <c r="AB41" s="117">
        <f t="shared" si="4"/>
        <v>0</v>
      </c>
      <c r="AC41" s="94"/>
      <c r="AD41" s="50"/>
      <c r="AE41" s="117">
        <f t="shared" si="5"/>
        <v>0</v>
      </c>
      <c r="AF41" s="94"/>
      <c r="AG41" s="50"/>
      <c r="AH41" s="117">
        <f t="shared" si="6"/>
        <v>0</v>
      </c>
      <c r="AI41" s="94"/>
      <c r="AL41" s="94"/>
      <c r="AM41" s="94"/>
      <c r="AN41" s="94"/>
      <c r="AR41" s="375"/>
      <c r="AS41" s="375"/>
      <c r="AT41" s="375"/>
      <c r="AU41" s="375"/>
      <c r="AV41" s="375"/>
      <c r="AW41" s="375"/>
      <c r="AX41" s="375"/>
      <c r="AY41" s="375"/>
      <c r="AZ41" s="375"/>
      <c r="BB41" s="376"/>
      <c r="BC41" s="377"/>
    </row>
    <row r="42" spans="3:55" x14ac:dyDescent="0.25">
      <c r="C42" s="102" t="str">
        <f>'MP Calculations'!D69</f>
        <v>2025-26</v>
      </c>
      <c r="D42" s="298">
        <f>IF(LEFT($C42,4)*1&lt;LEFT('General inputs'!$I$16,4)+'General inputs'!$H$38,SUM(G42,J42,M42,P42,S42,V42,Y42,AB42,AE42,AH42),"")</f>
        <v>18100.49704004289</v>
      </c>
      <c r="E42" s="297"/>
      <c r="F42" s="299"/>
      <c r="G42" s="298">
        <v>2705.7285420004578</v>
      </c>
      <c r="H42" s="297"/>
      <c r="I42" s="339"/>
      <c r="J42" s="298">
        <v>12219.173897238816</v>
      </c>
      <c r="K42" s="297"/>
      <c r="L42" s="342"/>
      <c r="M42" s="298">
        <v>3175.5946008036185</v>
      </c>
      <c r="N42" s="94"/>
      <c r="O42" s="50"/>
      <c r="P42" s="117">
        <f t="shared" si="0"/>
        <v>0</v>
      </c>
      <c r="Q42" s="94"/>
      <c r="R42" s="50"/>
      <c r="S42" s="117">
        <f t="shared" si="1"/>
        <v>0</v>
      </c>
      <c r="T42" s="94"/>
      <c r="U42" s="50"/>
      <c r="V42" s="117">
        <f t="shared" si="2"/>
        <v>0</v>
      </c>
      <c r="W42" s="94"/>
      <c r="X42" s="50"/>
      <c r="Y42" s="117">
        <f t="shared" si="3"/>
        <v>0</v>
      </c>
      <c r="Z42" s="94"/>
      <c r="AA42" s="50"/>
      <c r="AB42" s="117">
        <f t="shared" si="4"/>
        <v>0</v>
      </c>
      <c r="AC42" s="94"/>
      <c r="AD42" s="50"/>
      <c r="AE42" s="117">
        <f t="shared" si="5"/>
        <v>0</v>
      </c>
      <c r="AF42" s="94"/>
      <c r="AG42" s="50"/>
      <c r="AH42" s="117">
        <f t="shared" si="6"/>
        <v>0</v>
      </c>
      <c r="AI42" s="94"/>
      <c r="AL42" s="94"/>
      <c r="AM42" s="94"/>
      <c r="AN42" s="94"/>
      <c r="AR42" s="375"/>
      <c r="AS42" s="375"/>
      <c r="AT42" s="375"/>
      <c r="AU42" s="375"/>
      <c r="AV42" s="375"/>
      <c r="AW42" s="375"/>
      <c r="AX42" s="375"/>
      <c r="AY42" s="375"/>
      <c r="AZ42" s="375"/>
      <c r="BB42" s="376"/>
      <c r="BC42" s="377"/>
    </row>
    <row r="43" spans="3:55" x14ac:dyDescent="0.25">
      <c r="C43" s="102" t="str">
        <f>'MP Calculations'!D70</f>
        <v>2026-27</v>
      </c>
      <c r="D43" s="298">
        <f>IF(LEFT($C43,4)*1&lt;LEFT('General inputs'!$I$16,4)+'General inputs'!$H$38,SUM(G43,J43,M43,P43,S43,V43,Y43,AB43,AE43,AH43),"")</f>
        <v>16180.272150142468</v>
      </c>
      <c r="E43" s="297"/>
      <c r="F43" s="299"/>
      <c r="G43" s="298">
        <v>1976.015793087663</v>
      </c>
      <c r="H43" s="297"/>
      <c r="I43" s="339"/>
      <c r="J43" s="298">
        <v>11321.303937747878</v>
      </c>
      <c r="K43" s="297"/>
      <c r="L43" s="342"/>
      <c r="M43" s="298">
        <v>2882.9524193069274</v>
      </c>
      <c r="N43" s="94"/>
      <c r="O43" s="50"/>
      <c r="P43" s="117">
        <f t="shared" si="0"/>
        <v>0</v>
      </c>
      <c r="Q43" s="94"/>
      <c r="R43" s="50"/>
      <c r="S43" s="117">
        <f t="shared" si="1"/>
        <v>0</v>
      </c>
      <c r="T43" s="94"/>
      <c r="U43" s="50"/>
      <c r="V43" s="117">
        <f t="shared" si="2"/>
        <v>0</v>
      </c>
      <c r="W43" s="94"/>
      <c r="X43" s="50"/>
      <c r="Y43" s="117">
        <f t="shared" si="3"/>
        <v>0</v>
      </c>
      <c r="Z43" s="94"/>
      <c r="AA43" s="50"/>
      <c r="AB43" s="117">
        <f t="shared" si="4"/>
        <v>0</v>
      </c>
      <c r="AC43" s="94"/>
      <c r="AD43" s="50"/>
      <c r="AE43" s="117">
        <f t="shared" si="5"/>
        <v>0</v>
      </c>
      <c r="AF43" s="94"/>
      <c r="AG43" s="50"/>
      <c r="AH43" s="117">
        <f t="shared" si="6"/>
        <v>0</v>
      </c>
      <c r="AI43" s="94"/>
      <c r="AL43" s="94"/>
      <c r="AM43" s="94"/>
      <c r="AN43" s="94"/>
      <c r="AR43" s="375"/>
      <c r="AS43" s="375"/>
      <c r="AT43" s="375"/>
      <c r="AU43" s="375"/>
      <c r="AV43" s="375"/>
      <c r="AW43" s="375"/>
      <c r="AX43" s="375"/>
      <c r="AY43" s="375"/>
      <c r="AZ43" s="375"/>
      <c r="BB43" s="376"/>
      <c r="BC43" s="377"/>
    </row>
    <row r="44" spans="3:55" x14ac:dyDescent="0.25">
      <c r="C44" s="102" t="str">
        <f>'MP Calculations'!D71</f>
        <v>2027-28</v>
      </c>
      <c r="D44" s="298">
        <f>IF(LEFT($C44,4)*1&lt;LEFT('General inputs'!$I$16,4)+'General inputs'!$H$38,SUM(G44,J44,M44,P44,S44,V44,Y44,AB44,AE44,AH44),"")</f>
        <v>14529.769484818755</v>
      </c>
      <c r="E44" s="297"/>
      <c r="F44" s="299"/>
      <c r="G44" s="298">
        <v>1853.2387273975737</v>
      </c>
      <c r="H44" s="297"/>
      <c r="I44" s="339"/>
      <c r="J44" s="298">
        <v>10095.535390109513</v>
      </c>
      <c r="K44" s="297"/>
      <c r="L44" s="342"/>
      <c r="M44" s="298">
        <v>2580.9953673116675</v>
      </c>
      <c r="N44" s="94"/>
      <c r="O44" s="50"/>
      <c r="P44" s="117">
        <f t="shared" ref="P44:P75" si="8">O44*$P$9/$F$6</f>
        <v>0</v>
      </c>
      <c r="Q44" s="94"/>
      <c r="R44" s="50"/>
      <c r="S44" s="117">
        <f t="shared" ref="S44:S75" si="9">R44*$S$9/$F$6</f>
        <v>0</v>
      </c>
      <c r="T44" s="94"/>
      <c r="U44" s="50"/>
      <c r="V44" s="117">
        <f t="shared" ref="V44:V75" si="10">U44*$V$9/$F$6</f>
        <v>0</v>
      </c>
      <c r="W44" s="94"/>
      <c r="X44" s="50"/>
      <c r="Y44" s="117">
        <f t="shared" ref="Y44:Y75" si="11">X44*$Y$9/$F$6</f>
        <v>0</v>
      </c>
      <c r="Z44" s="94"/>
      <c r="AA44" s="50"/>
      <c r="AB44" s="117">
        <f t="shared" ref="AB44:AB75" si="12">AA44*$AB$9/$F$6</f>
        <v>0</v>
      </c>
      <c r="AC44" s="94"/>
      <c r="AD44" s="50"/>
      <c r="AE44" s="117">
        <f t="shared" ref="AE44:AE75" si="13">AD44*$AE$9/$F$6</f>
        <v>0</v>
      </c>
      <c r="AF44" s="94"/>
      <c r="AG44" s="50"/>
      <c r="AH44" s="117">
        <f t="shared" ref="AH44:AH75" si="14">AG44*$AH$9/$F$6</f>
        <v>0</v>
      </c>
      <c r="AI44" s="94"/>
      <c r="AL44" s="94"/>
      <c r="AM44" s="94"/>
      <c r="AN44" s="94"/>
      <c r="AR44" s="375"/>
      <c r="AS44" s="375"/>
      <c r="AT44" s="375"/>
      <c r="AU44" s="375"/>
      <c r="AV44" s="375"/>
      <c r="AW44" s="375"/>
      <c r="AX44" s="375"/>
      <c r="AY44" s="375"/>
      <c r="AZ44" s="375"/>
      <c r="BB44" s="376"/>
      <c r="BC44" s="377"/>
    </row>
    <row r="45" spans="3:55" x14ac:dyDescent="0.25">
      <c r="C45" s="102" t="str">
        <f>'MP Calculations'!D72</f>
        <v>2028-29</v>
      </c>
      <c r="D45" s="298">
        <f>IF(LEFT($C45,4)*1&lt;LEFT('General inputs'!$I$16,4)+'General inputs'!$H$38,SUM(G45,J45,M45,P45,S45,V45,Y45,AB45,AE45,AH45),"")</f>
        <v>13043.139905396942</v>
      </c>
      <c r="E45" s="297"/>
      <c r="F45" s="299"/>
      <c r="G45" s="298">
        <v>1695.7134355687801</v>
      </c>
      <c r="H45" s="297"/>
      <c r="I45" s="339"/>
      <c r="J45" s="298">
        <v>9033.716136544861</v>
      </c>
      <c r="K45" s="297"/>
      <c r="L45" s="342"/>
      <c r="M45" s="298">
        <v>2313.7103332833012</v>
      </c>
      <c r="N45" s="94"/>
      <c r="O45" s="50"/>
      <c r="P45" s="117">
        <f t="shared" si="8"/>
        <v>0</v>
      </c>
      <c r="Q45" s="94"/>
      <c r="R45" s="50"/>
      <c r="S45" s="117">
        <f t="shared" si="9"/>
        <v>0</v>
      </c>
      <c r="T45" s="94"/>
      <c r="U45" s="50"/>
      <c r="V45" s="117">
        <f t="shared" si="10"/>
        <v>0</v>
      </c>
      <c r="W45" s="94"/>
      <c r="X45" s="50"/>
      <c r="Y45" s="117">
        <f t="shared" si="11"/>
        <v>0</v>
      </c>
      <c r="Z45" s="94"/>
      <c r="AA45" s="50"/>
      <c r="AB45" s="117">
        <f t="shared" si="12"/>
        <v>0</v>
      </c>
      <c r="AC45" s="94"/>
      <c r="AD45" s="50"/>
      <c r="AE45" s="117">
        <f t="shared" si="13"/>
        <v>0</v>
      </c>
      <c r="AF45" s="94"/>
      <c r="AG45" s="50"/>
      <c r="AH45" s="117">
        <f t="shared" si="14"/>
        <v>0</v>
      </c>
      <c r="AI45" s="94"/>
      <c r="AL45" s="94"/>
      <c r="AM45" s="94"/>
      <c r="AN45" s="94"/>
      <c r="AR45" s="375"/>
      <c r="AS45" s="375"/>
      <c r="AT45" s="375"/>
      <c r="AU45" s="375"/>
      <c r="AV45" s="375"/>
      <c r="AW45" s="375"/>
      <c r="AX45" s="375"/>
      <c r="AY45" s="375"/>
      <c r="AZ45" s="375"/>
      <c r="BB45" s="376"/>
      <c r="BC45" s="377"/>
    </row>
    <row r="46" spans="3:55" x14ac:dyDescent="0.25">
      <c r="C46" s="102" t="str">
        <f>'MP Calculations'!D73</f>
        <v>2029-30</v>
      </c>
      <c r="D46" s="298">
        <f>IF(LEFT($C46,4)*1&lt;LEFT('General inputs'!$I$16,4)+'General inputs'!$H$38,SUM(G46,J46,M46,P46,S46,V46,Y46,AB46,AE46,AH46),"")</f>
        <v>12291.145436169354</v>
      </c>
      <c r="E46" s="297"/>
      <c r="F46" s="299"/>
      <c r="G46" s="298">
        <v>1746.6775005722134</v>
      </c>
      <c r="H46" s="297"/>
      <c r="I46" s="339"/>
      <c r="J46" s="298">
        <v>8379.0192910827191</v>
      </c>
      <c r="K46" s="297"/>
      <c r="L46" s="342"/>
      <c r="M46" s="298">
        <v>2165.4486445144207</v>
      </c>
      <c r="N46" s="94"/>
      <c r="O46" s="50"/>
      <c r="P46" s="117">
        <f t="shared" si="8"/>
        <v>0</v>
      </c>
      <c r="Q46" s="94"/>
      <c r="R46" s="50"/>
      <c r="S46" s="117">
        <f t="shared" si="9"/>
        <v>0</v>
      </c>
      <c r="T46" s="94"/>
      <c r="U46" s="50"/>
      <c r="V46" s="117">
        <f t="shared" si="10"/>
        <v>0</v>
      </c>
      <c r="W46" s="94"/>
      <c r="X46" s="50"/>
      <c r="Y46" s="117">
        <f t="shared" si="11"/>
        <v>0</v>
      </c>
      <c r="Z46" s="94"/>
      <c r="AA46" s="50"/>
      <c r="AB46" s="117">
        <f t="shared" si="12"/>
        <v>0</v>
      </c>
      <c r="AC46" s="94"/>
      <c r="AD46" s="50"/>
      <c r="AE46" s="117">
        <f t="shared" si="13"/>
        <v>0</v>
      </c>
      <c r="AF46" s="94"/>
      <c r="AG46" s="50"/>
      <c r="AH46" s="117">
        <f t="shared" si="14"/>
        <v>0</v>
      </c>
      <c r="AI46" s="94"/>
      <c r="AL46" s="94"/>
      <c r="AM46" s="94"/>
      <c r="AN46" s="94"/>
      <c r="AR46" s="375"/>
      <c r="AS46" s="375"/>
      <c r="AT46" s="375"/>
      <c r="AU46" s="375"/>
      <c r="AV46" s="375"/>
      <c r="AW46" s="375"/>
      <c r="AX46" s="375"/>
      <c r="AY46" s="375"/>
      <c r="AZ46" s="375"/>
      <c r="BB46" s="376"/>
      <c r="BC46" s="377"/>
    </row>
    <row r="47" spans="3:55" x14ac:dyDescent="0.25">
      <c r="C47" s="102" t="str">
        <f>'MP Calculations'!D74</f>
        <v>2030-31</v>
      </c>
      <c r="D47" s="298">
        <f>IF(LEFT($C47,4)*1&lt;LEFT('General inputs'!$I$16,4)+'General inputs'!$H$38,SUM(G47,J47,M47,P47,S47,V47,Y47,AB47,AE47,AH47),"")</f>
        <v>11496.861429177561</v>
      </c>
      <c r="E47" s="297"/>
      <c r="F47" s="299"/>
      <c r="G47" s="298">
        <v>1623.900434882124</v>
      </c>
      <c r="H47" s="297"/>
      <c r="I47" s="339"/>
      <c r="J47" s="298">
        <v>7846.4591680513286</v>
      </c>
      <c r="K47" s="297"/>
      <c r="L47" s="342"/>
      <c r="M47" s="298">
        <v>2026.5018262441081</v>
      </c>
      <c r="N47" s="94"/>
      <c r="O47" s="50"/>
      <c r="P47" s="117">
        <f t="shared" si="8"/>
        <v>0</v>
      </c>
      <c r="Q47" s="94"/>
      <c r="R47" s="50"/>
      <c r="S47" s="117">
        <f t="shared" si="9"/>
        <v>0</v>
      </c>
      <c r="T47" s="94"/>
      <c r="U47" s="50"/>
      <c r="V47" s="117">
        <f t="shared" si="10"/>
        <v>0</v>
      </c>
      <c r="W47" s="94"/>
      <c r="X47" s="50"/>
      <c r="Y47" s="117">
        <f t="shared" si="11"/>
        <v>0</v>
      </c>
      <c r="Z47" s="94"/>
      <c r="AA47" s="50"/>
      <c r="AB47" s="117">
        <f t="shared" si="12"/>
        <v>0</v>
      </c>
      <c r="AC47" s="94"/>
      <c r="AD47" s="50"/>
      <c r="AE47" s="117">
        <f t="shared" si="13"/>
        <v>0</v>
      </c>
      <c r="AF47" s="94"/>
      <c r="AG47" s="50"/>
      <c r="AH47" s="117">
        <f t="shared" si="14"/>
        <v>0</v>
      </c>
      <c r="AI47" s="94"/>
      <c r="AL47" s="94"/>
      <c r="AM47" s="94"/>
      <c r="AN47" s="94"/>
      <c r="AR47" s="375"/>
      <c r="AS47" s="375"/>
      <c r="AT47" s="375"/>
      <c r="AU47" s="375"/>
      <c r="AV47" s="375"/>
      <c r="AW47" s="375"/>
      <c r="AX47" s="375"/>
      <c r="AY47" s="375"/>
      <c r="AZ47" s="375"/>
      <c r="BB47" s="376"/>
      <c r="BC47" s="377"/>
    </row>
    <row r="48" spans="3:55" x14ac:dyDescent="0.25">
      <c r="C48" s="102" t="str">
        <f>'MP Calculations'!D75</f>
        <v>2031-32</v>
      </c>
      <c r="D48" s="298">
        <f>IF(LEFT($C48,4)*1&lt;LEFT('General inputs'!$I$16,4)+'General inputs'!$H$38,SUM(G48,J48,M48,P48,S48,V48,Y48,AB48,AE48,AH48),"")</f>
        <v>11678.363567399465</v>
      </c>
      <c r="E48" s="297"/>
      <c r="F48" s="299"/>
      <c r="G48" s="298">
        <v>1964.4330510414281</v>
      </c>
      <c r="H48" s="297"/>
      <c r="I48" s="339"/>
      <c r="J48" s="298">
        <v>7686.9111973084528</v>
      </c>
      <c r="K48" s="297"/>
      <c r="L48" s="342"/>
      <c r="M48" s="298">
        <v>2027.0193190495843</v>
      </c>
      <c r="N48" s="94"/>
      <c r="O48" s="50"/>
      <c r="P48" s="117">
        <f t="shared" si="8"/>
        <v>0</v>
      </c>
      <c r="Q48" s="94"/>
      <c r="R48" s="50"/>
      <c r="S48" s="117">
        <f t="shared" si="9"/>
        <v>0</v>
      </c>
      <c r="T48" s="94"/>
      <c r="U48" s="50"/>
      <c r="V48" s="117">
        <f t="shared" si="10"/>
        <v>0</v>
      </c>
      <c r="W48" s="94"/>
      <c r="X48" s="50"/>
      <c r="Y48" s="117">
        <f t="shared" si="11"/>
        <v>0</v>
      </c>
      <c r="Z48" s="94"/>
      <c r="AA48" s="50"/>
      <c r="AB48" s="117">
        <f t="shared" si="12"/>
        <v>0</v>
      </c>
      <c r="AC48" s="94"/>
      <c r="AD48" s="50"/>
      <c r="AE48" s="117">
        <f t="shared" si="13"/>
        <v>0</v>
      </c>
      <c r="AF48" s="94"/>
      <c r="AG48" s="50"/>
      <c r="AH48" s="117">
        <f t="shared" si="14"/>
        <v>0</v>
      </c>
      <c r="AI48" s="94"/>
      <c r="AL48" s="94"/>
      <c r="AM48" s="94"/>
      <c r="AN48" s="94"/>
      <c r="AR48" s="375"/>
      <c r="AS48" s="375"/>
      <c r="AT48" s="375"/>
      <c r="AU48" s="375"/>
      <c r="AV48" s="375"/>
      <c r="AW48" s="375"/>
      <c r="AX48" s="375"/>
      <c r="AY48" s="375"/>
      <c r="AZ48" s="375"/>
      <c r="BB48" s="376"/>
      <c r="BC48" s="377"/>
    </row>
    <row r="49" spans="3:55" x14ac:dyDescent="0.25">
      <c r="C49" s="102" t="str">
        <f>'MP Calculations'!D76</f>
        <v>2032-33</v>
      </c>
      <c r="D49" s="298">
        <f>IF(LEFT($C49,4)*1&lt;LEFT('General inputs'!$I$16,4)+'General inputs'!$H$38,SUM(G49,J49,M49,P49,S49,V49,Y49,AB49,AE49,AH49),"")</f>
        <v>11623.545152343604</v>
      </c>
      <c r="E49" s="297"/>
      <c r="F49" s="299"/>
      <c r="G49" s="298">
        <v>1663.2817578393226</v>
      </c>
      <c r="H49" s="297"/>
      <c r="I49" s="339"/>
      <c r="J49" s="298">
        <v>7913.579348846607</v>
      </c>
      <c r="K49" s="297"/>
      <c r="L49" s="342"/>
      <c r="M49" s="298">
        <v>2046.6840456576733</v>
      </c>
      <c r="N49" s="94"/>
      <c r="O49" s="50"/>
      <c r="P49" s="117">
        <f t="shared" si="8"/>
        <v>0</v>
      </c>
      <c r="Q49" s="94"/>
      <c r="R49" s="50"/>
      <c r="S49" s="117">
        <f t="shared" si="9"/>
        <v>0</v>
      </c>
      <c r="T49" s="94"/>
      <c r="U49" s="50"/>
      <c r="V49" s="117">
        <f t="shared" si="10"/>
        <v>0</v>
      </c>
      <c r="W49" s="94"/>
      <c r="X49" s="50"/>
      <c r="Y49" s="117">
        <f t="shared" si="11"/>
        <v>0</v>
      </c>
      <c r="Z49" s="94"/>
      <c r="AA49" s="50"/>
      <c r="AB49" s="117">
        <f t="shared" si="12"/>
        <v>0</v>
      </c>
      <c r="AC49" s="94"/>
      <c r="AD49" s="50"/>
      <c r="AE49" s="117">
        <f t="shared" si="13"/>
        <v>0</v>
      </c>
      <c r="AF49" s="94"/>
      <c r="AG49" s="50"/>
      <c r="AH49" s="117">
        <f t="shared" si="14"/>
        <v>0</v>
      </c>
      <c r="AI49" s="94"/>
      <c r="AL49" s="94"/>
      <c r="AM49" s="94"/>
      <c r="AN49" s="94"/>
      <c r="AR49" s="375"/>
      <c r="AS49" s="375"/>
      <c r="AT49" s="375"/>
      <c r="AU49" s="375"/>
      <c r="AV49" s="375"/>
      <c r="AW49" s="375"/>
      <c r="AX49" s="375"/>
      <c r="AY49" s="375"/>
      <c r="AZ49" s="375"/>
      <c r="BB49" s="376"/>
      <c r="BC49" s="377"/>
    </row>
    <row r="50" spans="3:55" x14ac:dyDescent="0.25">
      <c r="C50" s="102" t="str">
        <f>'MP Calculations'!D77</f>
        <v>2033-34</v>
      </c>
      <c r="D50" s="298">
        <f>IF(LEFT($C50,4)*1&lt;LEFT('General inputs'!$I$16,4)+'General inputs'!$H$38,SUM(G50,J50,M50,P50,S50,V50,Y50,AB50,AE50,AH50),"")</f>
        <v>11285.629198095952</v>
      </c>
      <c r="E50" s="297"/>
      <c r="F50" s="299"/>
      <c r="G50" s="298">
        <v>1589.1522087434196</v>
      </c>
      <c r="H50" s="297"/>
      <c r="I50" s="339"/>
      <c r="J50" s="298">
        <v>7706.717152297223</v>
      </c>
      <c r="K50" s="297"/>
      <c r="L50" s="342"/>
      <c r="M50" s="298">
        <v>1989.7598370553103</v>
      </c>
      <c r="N50" s="94"/>
      <c r="O50" s="50"/>
      <c r="P50" s="117">
        <f t="shared" si="8"/>
        <v>0</v>
      </c>
      <c r="Q50" s="94"/>
      <c r="R50" s="50"/>
      <c r="S50" s="117">
        <f t="shared" si="9"/>
        <v>0</v>
      </c>
      <c r="T50" s="94"/>
      <c r="U50" s="50"/>
      <c r="V50" s="117">
        <f t="shared" si="10"/>
        <v>0</v>
      </c>
      <c r="W50" s="94"/>
      <c r="X50" s="50"/>
      <c r="Y50" s="117">
        <f t="shared" si="11"/>
        <v>0</v>
      </c>
      <c r="Z50" s="94"/>
      <c r="AA50" s="50"/>
      <c r="AB50" s="117">
        <f t="shared" si="12"/>
        <v>0</v>
      </c>
      <c r="AC50" s="94"/>
      <c r="AD50" s="50"/>
      <c r="AE50" s="117">
        <f t="shared" si="13"/>
        <v>0</v>
      </c>
      <c r="AF50" s="94"/>
      <c r="AG50" s="50"/>
      <c r="AH50" s="117">
        <f t="shared" si="14"/>
        <v>0</v>
      </c>
      <c r="AI50" s="94"/>
      <c r="AL50" s="94"/>
      <c r="AM50" s="94"/>
      <c r="AN50" s="94"/>
      <c r="AR50" s="375"/>
      <c r="AS50" s="375"/>
      <c r="AT50" s="375"/>
      <c r="AU50" s="375"/>
      <c r="AV50" s="375"/>
      <c r="AW50" s="375"/>
      <c r="AX50" s="375"/>
      <c r="AY50" s="375"/>
      <c r="AZ50" s="375"/>
      <c r="BB50" s="376"/>
      <c r="BC50" s="377"/>
    </row>
    <row r="51" spans="3:55" x14ac:dyDescent="0.25">
      <c r="C51" s="102" t="str">
        <f>'MP Calculations'!D78</f>
        <v>2034-35</v>
      </c>
      <c r="D51" s="298">
        <f>IF(LEFT($C51,4)*1&lt;LEFT('General inputs'!$I$16,4)+'General inputs'!$H$38,SUM(G51,J51,M51,P51,S51,V51,Y51,AB51,AE51,AH51),"")</f>
        <v>11378.046450106383</v>
      </c>
      <c r="E51" s="297"/>
      <c r="F51" s="299"/>
      <c r="G51" s="298">
        <v>1589.1522087434196</v>
      </c>
      <c r="H51" s="297"/>
      <c r="I51" s="339"/>
      <c r="J51" s="298">
        <v>7781.5396489214681</v>
      </c>
      <c r="K51" s="297"/>
      <c r="L51" s="342"/>
      <c r="M51" s="298">
        <v>2007.3545924414955</v>
      </c>
      <c r="N51" s="94"/>
      <c r="O51" s="50"/>
      <c r="P51" s="117">
        <f t="shared" si="8"/>
        <v>0</v>
      </c>
      <c r="Q51" s="94"/>
      <c r="R51" s="50"/>
      <c r="S51" s="117">
        <f t="shared" si="9"/>
        <v>0</v>
      </c>
      <c r="T51" s="94"/>
      <c r="U51" s="50"/>
      <c r="V51" s="117">
        <f t="shared" si="10"/>
        <v>0</v>
      </c>
      <c r="W51" s="94"/>
      <c r="X51" s="50"/>
      <c r="Y51" s="117">
        <f t="shared" si="11"/>
        <v>0</v>
      </c>
      <c r="Z51" s="94"/>
      <c r="AA51" s="50"/>
      <c r="AB51" s="117">
        <f t="shared" si="12"/>
        <v>0</v>
      </c>
      <c r="AC51" s="94"/>
      <c r="AD51" s="50"/>
      <c r="AE51" s="117">
        <f t="shared" si="13"/>
        <v>0</v>
      </c>
      <c r="AF51" s="94"/>
      <c r="AG51" s="50"/>
      <c r="AH51" s="117">
        <f t="shared" si="14"/>
        <v>0</v>
      </c>
      <c r="AI51" s="94"/>
      <c r="AL51" s="94"/>
      <c r="AM51" s="94"/>
      <c r="AN51" s="94"/>
      <c r="AR51" s="375"/>
      <c r="AS51" s="375"/>
      <c r="AT51" s="375"/>
      <c r="AU51" s="375"/>
      <c r="AV51" s="375"/>
      <c r="AW51" s="375"/>
      <c r="AX51" s="375"/>
      <c r="AY51" s="375"/>
      <c r="AZ51" s="375"/>
      <c r="BB51" s="376"/>
      <c r="BC51" s="377"/>
    </row>
    <row r="52" spans="3:55" x14ac:dyDescent="0.25">
      <c r="C52" s="102" t="str">
        <f>'MP Calculations'!D79</f>
        <v>2035-36</v>
      </c>
      <c r="D52" s="298">
        <f>IF(LEFT($C52,4)*1&lt;LEFT('General inputs'!$I$16,4)+'General inputs'!$H$38,SUM(G52,J52,M52,P52,S52,V52,Y52,AB52,AE52,AH52),"")</f>
        <v>11364.030919726782</v>
      </c>
      <c r="E52" s="297"/>
      <c r="F52" s="299"/>
      <c r="G52" s="298">
        <v>1640.1162737468528</v>
      </c>
      <c r="H52" s="297"/>
      <c r="I52" s="339"/>
      <c r="J52" s="298">
        <v>7724.3224456205744</v>
      </c>
      <c r="K52" s="297"/>
      <c r="L52" s="342"/>
      <c r="M52" s="298">
        <v>1999.592200359355</v>
      </c>
      <c r="N52" s="94"/>
      <c r="O52" s="50"/>
      <c r="P52" s="117">
        <f t="shared" si="8"/>
        <v>0</v>
      </c>
      <c r="Q52" s="94"/>
      <c r="R52" s="50"/>
      <c r="S52" s="117">
        <f t="shared" si="9"/>
        <v>0</v>
      </c>
      <c r="T52" s="94"/>
      <c r="U52" s="50"/>
      <c r="V52" s="117">
        <f t="shared" si="10"/>
        <v>0</v>
      </c>
      <c r="W52" s="94"/>
      <c r="X52" s="50"/>
      <c r="Y52" s="117">
        <f t="shared" si="11"/>
        <v>0</v>
      </c>
      <c r="Z52" s="94"/>
      <c r="AA52" s="50"/>
      <c r="AB52" s="117">
        <f t="shared" si="12"/>
        <v>0</v>
      </c>
      <c r="AC52" s="94"/>
      <c r="AD52" s="50"/>
      <c r="AE52" s="117">
        <f t="shared" si="13"/>
        <v>0</v>
      </c>
      <c r="AF52" s="94"/>
      <c r="AG52" s="50"/>
      <c r="AH52" s="117">
        <f t="shared" si="14"/>
        <v>0</v>
      </c>
      <c r="AI52" s="94"/>
      <c r="AL52" s="94"/>
      <c r="AM52" s="94"/>
      <c r="AN52" s="94"/>
      <c r="AR52" s="375"/>
      <c r="AS52" s="375"/>
      <c r="AT52" s="375"/>
      <c r="AU52" s="375"/>
      <c r="AV52" s="375"/>
      <c r="AW52" s="375"/>
      <c r="AX52" s="375"/>
      <c r="AY52" s="375"/>
      <c r="AZ52" s="375"/>
      <c r="BB52" s="376"/>
      <c r="BC52" s="377"/>
    </row>
    <row r="53" spans="3:55" x14ac:dyDescent="0.25">
      <c r="C53" s="102" t="str">
        <f>'MP Calculations'!D80</f>
        <v>2036-37</v>
      </c>
      <c r="D53" s="298">
        <f>IF(LEFT($C53,4)*1&lt;LEFT('General inputs'!$I$16,4)+'General inputs'!$H$38,SUM(G53,J53,M53,P53,S53,V53,Y53,AB53,AE53,AH53),"")</f>
        <v>11053.153650529175</v>
      </c>
      <c r="E53" s="297"/>
      <c r="F53" s="299"/>
      <c r="G53" s="298">
        <v>1568.3032730601969</v>
      </c>
      <c r="H53" s="297"/>
      <c r="I53" s="339"/>
      <c r="J53" s="298">
        <v>7537.2662040599625</v>
      </c>
      <c r="K53" s="297"/>
      <c r="L53" s="342"/>
      <c r="M53" s="298">
        <v>1947.5841734090147</v>
      </c>
      <c r="N53" s="94"/>
      <c r="O53" s="50"/>
      <c r="P53" s="117">
        <f t="shared" si="8"/>
        <v>0</v>
      </c>
      <c r="Q53" s="94"/>
      <c r="R53" s="50"/>
      <c r="S53" s="117">
        <f t="shared" si="9"/>
        <v>0</v>
      </c>
      <c r="T53" s="94"/>
      <c r="U53" s="50"/>
      <c r="V53" s="117">
        <f t="shared" si="10"/>
        <v>0</v>
      </c>
      <c r="W53" s="94"/>
      <c r="X53" s="50"/>
      <c r="Y53" s="117">
        <f t="shared" si="11"/>
        <v>0</v>
      </c>
      <c r="Z53" s="94"/>
      <c r="AA53" s="50"/>
      <c r="AB53" s="117">
        <f t="shared" si="12"/>
        <v>0</v>
      </c>
      <c r="AC53" s="94"/>
      <c r="AD53" s="50"/>
      <c r="AE53" s="117">
        <f t="shared" si="13"/>
        <v>0</v>
      </c>
      <c r="AF53" s="94"/>
      <c r="AG53" s="50"/>
      <c r="AH53" s="117">
        <f t="shared" si="14"/>
        <v>0</v>
      </c>
      <c r="AI53" s="94"/>
      <c r="AL53" s="94"/>
      <c r="AM53" s="94"/>
      <c r="AN53" s="94"/>
      <c r="AR53" s="375"/>
      <c r="AS53" s="375"/>
      <c r="AT53" s="375"/>
      <c r="AU53" s="375"/>
      <c r="AV53" s="375"/>
      <c r="AW53" s="375"/>
      <c r="AX53" s="375"/>
      <c r="AY53" s="375"/>
      <c r="AZ53" s="375"/>
      <c r="BB53" s="376"/>
      <c r="BC53" s="377"/>
    </row>
    <row r="54" spans="3:55" x14ac:dyDescent="0.25">
      <c r="C54" s="102" t="str">
        <f>'MP Calculations'!D81</f>
        <v>2037-38</v>
      </c>
      <c r="D54" s="298">
        <f>IF(LEFT($C54,4)*1&lt;LEFT('General inputs'!$I$16,4)+'General inputs'!$H$38,SUM(G54,J54,M54,P54,S54,V54,Y54,AB54,AE54,AH54),"")</f>
        <v>10703.936499421216</v>
      </c>
      <c r="E54" s="297"/>
      <c r="F54" s="299"/>
      <c r="G54" s="298">
        <v>1501.1233691920347</v>
      </c>
      <c r="H54" s="297"/>
      <c r="I54" s="339"/>
      <c r="J54" s="298">
        <v>7314.999375852648</v>
      </c>
      <c r="K54" s="297"/>
      <c r="L54" s="342"/>
      <c r="M54" s="298">
        <v>1887.813754376534</v>
      </c>
      <c r="N54" s="94"/>
      <c r="O54" s="50"/>
      <c r="P54" s="117">
        <f t="shared" si="8"/>
        <v>0</v>
      </c>
      <c r="Q54" s="94"/>
      <c r="R54" s="50"/>
      <c r="S54" s="117">
        <f t="shared" si="9"/>
        <v>0</v>
      </c>
      <c r="T54" s="94"/>
      <c r="U54" s="50"/>
      <c r="V54" s="117">
        <f t="shared" si="10"/>
        <v>0</v>
      </c>
      <c r="W54" s="94"/>
      <c r="X54" s="50"/>
      <c r="Y54" s="117">
        <f t="shared" si="11"/>
        <v>0</v>
      </c>
      <c r="Z54" s="94"/>
      <c r="AA54" s="50"/>
      <c r="AB54" s="117">
        <f t="shared" si="12"/>
        <v>0</v>
      </c>
      <c r="AC54" s="94"/>
      <c r="AD54" s="50"/>
      <c r="AE54" s="117">
        <f t="shared" si="13"/>
        <v>0</v>
      </c>
      <c r="AF54" s="94"/>
      <c r="AG54" s="50"/>
      <c r="AH54" s="117">
        <f t="shared" si="14"/>
        <v>0</v>
      </c>
      <c r="AI54" s="94"/>
      <c r="AL54" s="94"/>
      <c r="AM54" s="94"/>
      <c r="AN54" s="94"/>
      <c r="AR54" s="375"/>
      <c r="AS54" s="375"/>
      <c r="AT54" s="375"/>
      <c r="AU54" s="375"/>
      <c r="AV54" s="375"/>
      <c r="AW54" s="375"/>
      <c r="AX54" s="375"/>
      <c r="AY54" s="375"/>
      <c r="AZ54" s="375"/>
      <c r="BB54" s="376"/>
      <c r="BC54" s="377"/>
    </row>
    <row r="55" spans="3:55" x14ac:dyDescent="0.25">
      <c r="C55" s="102" t="str">
        <f>'MP Calculations'!D82</f>
        <v>2038-39</v>
      </c>
      <c r="D55" s="298">
        <f>IF(LEFT($C55,4)*1&lt;LEFT('General inputs'!$I$16,4)+'General inputs'!$H$38,SUM(G55,J55,M55,P55,S55,V55,Y55,AB55,AE55,AH55),"")</f>
        <v>10917.454485045382</v>
      </c>
      <c r="E55" s="297"/>
      <c r="F55" s="299"/>
      <c r="G55" s="298">
        <v>1498.8068207827878</v>
      </c>
      <c r="H55" s="297"/>
      <c r="I55" s="339"/>
      <c r="J55" s="298">
        <v>7489.9519782534553</v>
      </c>
      <c r="K55" s="297"/>
      <c r="L55" s="342"/>
      <c r="M55" s="298">
        <v>1928.6956860091398</v>
      </c>
      <c r="N55" s="94"/>
      <c r="O55" s="50"/>
      <c r="P55" s="117">
        <f t="shared" si="8"/>
        <v>0</v>
      </c>
      <c r="Q55" s="94"/>
      <c r="R55" s="50"/>
      <c r="S55" s="117">
        <f t="shared" si="9"/>
        <v>0</v>
      </c>
      <c r="T55" s="94"/>
      <c r="U55" s="50"/>
      <c r="V55" s="117">
        <f t="shared" si="10"/>
        <v>0</v>
      </c>
      <c r="W55" s="94"/>
      <c r="X55" s="50"/>
      <c r="Y55" s="117">
        <f t="shared" si="11"/>
        <v>0</v>
      </c>
      <c r="Z55" s="94"/>
      <c r="AA55" s="50"/>
      <c r="AB55" s="117">
        <f t="shared" si="12"/>
        <v>0</v>
      </c>
      <c r="AC55" s="94"/>
      <c r="AD55" s="50"/>
      <c r="AE55" s="117">
        <f t="shared" si="13"/>
        <v>0</v>
      </c>
      <c r="AF55" s="94"/>
      <c r="AG55" s="50"/>
      <c r="AH55" s="117">
        <f t="shared" si="14"/>
        <v>0</v>
      </c>
      <c r="AI55" s="94"/>
      <c r="AL55" s="94"/>
      <c r="AM55" s="94"/>
      <c r="AN55" s="94"/>
      <c r="AR55" s="375"/>
      <c r="AS55" s="375"/>
      <c r="AT55" s="375"/>
      <c r="AU55" s="375"/>
      <c r="AV55" s="375"/>
      <c r="AW55" s="375"/>
      <c r="AX55" s="375"/>
      <c r="AY55" s="375"/>
      <c r="AZ55" s="375"/>
      <c r="BB55" s="376"/>
      <c r="BC55" s="377"/>
    </row>
    <row r="56" spans="3:55" x14ac:dyDescent="0.25">
      <c r="C56" s="102" t="str">
        <f>'MP Calculations'!D83</f>
        <v>2039-40</v>
      </c>
      <c r="D56" s="298">
        <f>IF(LEFT($C56,4)*1&lt;LEFT('General inputs'!$I$16,4)+'General inputs'!$H$38,SUM(G56,J56,M56,P56,S56,V56,Y56,AB56,AE56,AH56),"")</f>
        <v>11047.431622269565</v>
      </c>
      <c r="E56" s="297"/>
      <c r="F56" s="299"/>
      <c r="G56" s="298">
        <v>1572.9363698786908</v>
      </c>
      <c r="H56" s="297"/>
      <c r="I56" s="339"/>
      <c r="J56" s="298">
        <v>7528.4635573982878</v>
      </c>
      <c r="K56" s="297"/>
      <c r="L56" s="342"/>
      <c r="M56" s="298">
        <v>1946.0316949925866</v>
      </c>
      <c r="N56" s="94"/>
      <c r="O56" s="50"/>
      <c r="P56" s="117">
        <f t="shared" si="8"/>
        <v>0</v>
      </c>
      <c r="Q56" s="94"/>
      <c r="R56" s="50"/>
      <c r="S56" s="117">
        <f t="shared" si="9"/>
        <v>0</v>
      </c>
      <c r="T56" s="94"/>
      <c r="U56" s="50"/>
      <c r="V56" s="117">
        <f t="shared" si="10"/>
        <v>0</v>
      </c>
      <c r="W56" s="94"/>
      <c r="X56" s="50"/>
      <c r="Y56" s="117">
        <f t="shared" si="11"/>
        <v>0</v>
      </c>
      <c r="Z56" s="94"/>
      <c r="AA56" s="50"/>
      <c r="AB56" s="117">
        <f t="shared" si="12"/>
        <v>0</v>
      </c>
      <c r="AC56" s="94"/>
      <c r="AD56" s="50"/>
      <c r="AE56" s="117">
        <f t="shared" si="13"/>
        <v>0</v>
      </c>
      <c r="AF56" s="94"/>
      <c r="AG56" s="50"/>
      <c r="AH56" s="117">
        <f t="shared" si="14"/>
        <v>0</v>
      </c>
      <c r="AI56" s="94"/>
      <c r="AL56" s="94"/>
      <c r="AM56" s="94"/>
      <c r="AN56" s="94"/>
      <c r="AR56" s="375"/>
      <c r="AS56" s="375"/>
      <c r="AT56" s="375"/>
      <c r="AU56" s="375"/>
      <c r="AV56" s="375"/>
      <c r="AW56" s="375"/>
      <c r="AX56" s="375"/>
      <c r="AY56" s="375"/>
      <c r="AZ56" s="375"/>
      <c r="BB56" s="376"/>
      <c r="BC56" s="377"/>
    </row>
    <row r="57" spans="3:55" x14ac:dyDescent="0.25">
      <c r="C57" s="102" t="str">
        <f>'MP Calculations'!D84</f>
        <v>2040-41</v>
      </c>
      <c r="D57" s="298">
        <f>IF(LEFT($C57,4)*1&lt;LEFT('General inputs'!$I$16,4)+'General inputs'!$H$38,SUM(G57,J57,M57,P57,S57,V57,Y57,AB57,AE57,AH57),"")</f>
        <v>11155.582541518121</v>
      </c>
      <c r="E57" s="297"/>
      <c r="F57" s="299"/>
      <c r="G57" s="298">
        <v>1538.1881437399863</v>
      </c>
      <c r="H57" s="297"/>
      <c r="I57" s="339"/>
      <c r="J57" s="298">
        <v>7647.2992873309113</v>
      </c>
      <c r="K57" s="297"/>
      <c r="L57" s="342"/>
      <c r="M57" s="298">
        <v>1970.0951104472217</v>
      </c>
      <c r="N57" s="94"/>
      <c r="O57" s="50"/>
      <c r="P57" s="117">
        <f t="shared" si="8"/>
        <v>0</v>
      </c>
      <c r="Q57" s="94"/>
      <c r="R57" s="50"/>
      <c r="S57" s="117">
        <f t="shared" si="9"/>
        <v>0</v>
      </c>
      <c r="T57" s="94"/>
      <c r="U57" s="50"/>
      <c r="V57" s="117">
        <f t="shared" si="10"/>
        <v>0</v>
      </c>
      <c r="W57" s="94"/>
      <c r="X57" s="50"/>
      <c r="Y57" s="117">
        <f t="shared" si="11"/>
        <v>0</v>
      </c>
      <c r="Z57" s="94"/>
      <c r="AA57" s="50"/>
      <c r="AB57" s="117">
        <f t="shared" si="12"/>
        <v>0</v>
      </c>
      <c r="AC57" s="94"/>
      <c r="AD57" s="50"/>
      <c r="AE57" s="117">
        <f t="shared" si="13"/>
        <v>0</v>
      </c>
      <c r="AF57" s="94"/>
      <c r="AG57" s="50"/>
      <c r="AH57" s="117">
        <f t="shared" si="14"/>
        <v>0</v>
      </c>
      <c r="AI57" s="94"/>
      <c r="AL57" s="94"/>
      <c r="AM57" s="94"/>
      <c r="AN57" s="94"/>
      <c r="AR57" s="375"/>
      <c r="AS57" s="375"/>
      <c r="AT57" s="375"/>
      <c r="AU57" s="375"/>
      <c r="AV57" s="375"/>
      <c r="AW57" s="375"/>
      <c r="AX57" s="375"/>
      <c r="AY57" s="375"/>
      <c r="AZ57" s="375"/>
      <c r="BB57" s="376"/>
      <c r="BC57" s="377"/>
    </row>
    <row r="58" spans="3:55" x14ac:dyDescent="0.25">
      <c r="C58" s="102" t="str">
        <f>'MP Calculations'!D85</f>
        <v>2041-42</v>
      </c>
      <c r="D58" s="298">
        <f>IF(LEFT($C58,4)*1&lt;LEFT('General inputs'!$I$16,4)+'General inputs'!$H$38,SUM(G58,J58,M58,P58,S58,V58,Y58,AB58,AE58,AH58),"")</f>
        <v>11282.621503355633</v>
      </c>
      <c r="E58" s="297"/>
      <c r="F58" s="299"/>
      <c r="G58" s="298">
        <v>1549.770885786221</v>
      </c>
      <c r="H58" s="297"/>
      <c r="I58" s="339"/>
      <c r="J58" s="298">
        <v>7739.7270772785077</v>
      </c>
      <c r="K58" s="297"/>
      <c r="L58" s="342"/>
      <c r="M58" s="298">
        <v>1993.1235402909049</v>
      </c>
      <c r="N58" s="94"/>
      <c r="O58" s="50"/>
      <c r="P58" s="117">
        <f t="shared" si="8"/>
        <v>0</v>
      </c>
      <c r="Q58" s="94"/>
      <c r="R58" s="50"/>
      <c r="S58" s="117">
        <f t="shared" si="9"/>
        <v>0</v>
      </c>
      <c r="T58" s="94"/>
      <c r="U58" s="50"/>
      <c r="V58" s="117">
        <f t="shared" si="10"/>
        <v>0</v>
      </c>
      <c r="W58" s="94"/>
      <c r="X58" s="50"/>
      <c r="Y58" s="117">
        <f t="shared" si="11"/>
        <v>0</v>
      </c>
      <c r="Z58" s="94"/>
      <c r="AA58" s="50"/>
      <c r="AB58" s="117">
        <f t="shared" si="12"/>
        <v>0</v>
      </c>
      <c r="AC58" s="94"/>
      <c r="AD58" s="50"/>
      <c r="AE58" s="117">
        <f t="shared" si="13"/>
        <v>0</v>
      </c>
      <c r="AF58" s="94"/>
      <c r="AG58" s="50"/>
      <c r="AH58" s="117">
        <f t="shared" si="14"/>
        <v>0</v>
      </c>
      <c r="AI58" s="94"/>
      <c r="AL58" s="94"/>
      <c r="AM58" s="94"/>
      <c r="AN58" s="94"/>
      <c r="AR58" s="375"/>
      <c r="AS58" s="375"/>
      <c r="AT58" s="375"/>
      <c r="AU58" s="375"/>
      <c r="AV58" s="375"/>
      <c r="AW58" s="375"/>
      <c r="AX58" s="375"/>
      <c r="AY58" s="375"/>
      <c r="AZ58" s="375"/>
      <c r="BB58" s="376"/>
      <c r="BC58" s="377"/>
    </row>
    <row r="59" spans="3:55" x14ac:dyDescent="0.25">
      <c r="C59" s="102" t="str">
        <f>'MP Calculations'!D86</f>
        <v>2042-43</v>
      </c>
      <c r="D59" s="298">
        <f>IF(LEFT($C59,4)*1&lt;LEFT('General inputs'!$I$16,4)+'General inputs'!$H$38,SUM(G59,J59,M59,P59,S59,V59,Y59,AB59,AE59,AH59),"")</f>
        <v>11272.748903084423</v>
      </c>
      <c r="E59" s="297"/>
      <c r="F59" s="299"/>
      <c r="G59" s="298">
        <v>1533.5550469214922</v>
      </c>
      <c r="H59" s="297"/>
      <c r="I59" s="339"/>
      <c r="J59" s="298">
        <v>7746.3290622747645</v>
      </c>
      <c r="K59" s="297"/>
      <c r="L59" s="342"/>
      <c r="M59" s="298">
        <v>1992.8647938881668</v>
      </c>
      <c r="N59" s="94"/>
      <c r="O59" s="50"/>
      <c r="P59" s="117">
        <f t="shared" si="8"/>
        <v>0</v>
      </c>
      <c r="Q59" s="94"/>
      <c r="R59" s="50"/>
      <c r="S59" s="117">
        <f t="shared" si="9"/>
        <v>0</v>
      </c>
      <c r="T59" s="94"/>
      <c r="U59" s="50"/>
      <c r="V59" s="117">
        <f t="shared" si="10"/>
        <v>0</v>
      </c>
      <c r="W59" s="94"/>
      <c r="X59" s="50"/>
      <c r="Y59" s="117">
        <f t="shared" si="11"/>
        <v>0</v>
      </c>
      <c r="Z59" s="94"/>
      <c r="AA59" s="50"/>
      <c r="AB59" s="117">
        <f t="shared" si="12"/>
        <v>0</v>
      </c>
      <c r="AC59" s="94"/>
      <c r="AD59" s="50"/>
      <c r="AE59" s="117">
        <f t="shared" si="13"/>
        <v>0</v>
      </c>
      <c r="AF59" s="94"/>
      <c r="AG59" s="50"/>
      <c r="AH59" s="117">
        <f t="shared" si="14"/>
        <v>0</v>
      </c>
      <c r="AI59" s="94"/>
      <c r="AL59" s="94"/>
      <c r="AM59" s="94"/>
      <c r="AN59" s="94"/>
      <c r="AR59" s="375"/>
      <c r="AS59" s="375"/>
      <c r="AT59" s="375"/>
      <c r="AU59" s="375"/>
      <c r="AV59" s="375"/>
      <c r="AW59" s="375"/>
      <c r="AX59" s="375"/>
      <c r="AY59" s="375"/>
      <c r="AZ59" s="375"/>
      <c r="BB59" s="376"/>
      <c r="BC59" s="377"/>
    </row>
    <row r="60" spans="3:55" x14ac:dyDescent="0.25">
      <c r="C60" s="102" t="str">
        <f>'MP Calculations'!D87</f>
        <v>2043-44</v>
      </c>
      <c r="D60" s="298">
        <f>IF(LEFT($C60,4)*1&lt;LEFT('General inputs'!$I$16,4)+'General inputs'!$H$38,SUM(G60,J60,M60,P60,S60,V60,Y60,AB60,AE60,AH60),"")</f>
        <v>11258.941930765781</v>
      </c>
      <c r="E60" s="297"/>
      <c r="F60" s="299"/>
      <c r="G60" s="298">
        <v>1515.0226596475165</v>
      </c>
      <c r="H60" s="297"/>
      <c r="I60" s="339"/>
      <c r="J60" s="298">
        <v>7751.8307164383123</v>
      </c>
      <c r="K60" s="297"/>
      <c r="L60" s="342"/>
      <c r="M60" s="298">
        <v>1992.0885546799525</v>
      </c>
      <c r="N60" s="94"/>
      <c r="O60" s="50"/>
      <c r="P60" s="117">
        <f t="shared" si="8"/>
        <v>0</v>
      </c>
      <c r="Q60" s="94"/>
      <c r="R60" s="50"/>
      <c r="S60" s="117">
        <f t="shared" si="9"/>
        <v>0</v>
      </c>
      <c r="T60" s="94"/>
      <c r="U60" s="50"/>
      <c r="V60" s="117">
        <f t="shared" si="10"/>
        <v>0</v>
      </c>
      <c r="W60" s="94"/>
      <c r="X60" s="50"/>
      <c r="Y60" s="117">
        <f t="shared" si="11"/>
        <v>0</v>
      </c>
      <c r="Z60" s="94"/>
      <c r="AA60" s="50"/>
      <c r="AB60" s="117">
        <f t="shared" si="12"/>
        <v>0</v>
      </c>
      <c r="AC60" s="94"/>
      <c r="AD60" s="50"/>
      <c r="AE60" s="117">
        <f t="shared" si="13"/>
        <v>0</v>
      </c>
      <c r="AF60" s="94"/>
      <c r="AG60" s="50"/>
      <c r="AH60" s="117">
        <f t="shared" si="14"/>
        <v>0</v>
      </c>
      <c r="AI60" s="94"/>
      <c r="AL60" s="94"/>
      <c r="AM60" s="94"/>
      <c r="AN60" s="94"/>
      <c r="AR60" s="375"/>
      <c r="AS60" s="375"/>
      <c r="AT60" s="375"/>
      <c r="AU60" s="375"/>
      <c r="AV60" s="375"/>
      <c r="AW60" s="375"/>
      <c r="AX60" s="375"/>
      <c r="AY60" s="375"/>
      <c r="AZ60" s="375"/>
      <c r="BB60" s="376"/>
      <c r="BC60" s="377"/>
    </row>
    <row r="61" spans="3:55" x14ac:dyDescent="0.25">
      <c r="C61" s="102" t="str">
        <f>'MP Calculations'!D88</f>
        <v>2044-45</v>
      </c>
      <c r="D61" s="298">
        <f>IF(LEFT($C61,4)*1&lt;LEFT('General inputs'!$I$16,4)+'General inputs'!$H$38,SUM(G61,J61,M61,P61,S61,V61,Y61,AB61,AE61,AH61),"")</f>
        <v>11244.992098788229</v>
      </c>
      <c r="E61" s="297"/>
      <c r="F61" s="299"/>
      <c r="G61" s="298">
        <v>1498.8068207827878</v>
      </c>
      <c r="H61" s="297"/>
      <c r="I61" s="339"/>
      <c r="J61" s="298">
        <v>7755.1317089364402</v>
      </c>
      <c r="K61" s="297"/>
      <c r="L61" s="342"/>
      <c r="M61" s="298">
        <v>1991.0535690690006</v>
      </c>
      <c r="N61" s="94"/>
      <c r="O61" s="50"/>
      <c r="P61" s="117">
        <f t="shared" si="8"/>
        <v>0</v>
      </c>
      <c r="Q61" s="94"/>
      <c r="R61" s="50"/>
      <c r="S61" s="117">
        <f t="shared" si="9"/>
        <v>0</v>
      </c>
      <c r="T61" s="94"/>
      <c r="U61" s="50"/>
      <c r="V61" s="117">
        <f t="shared" si="10"/>
        <v>0</v>
      </c>
      <c r="W61" s="94"/>
      <c r="X61" s="50"/>
      <c r="Y61" s="117">
        <f t="shared" si="11"/>
        <v>0</v>
      </c>
      <c r="Z61" s="94"/>
      <c r="AA61" s="50"/>
      <c r="AB61" s="117">
        <f t="shared" si="12"/>
        <v>0</v>
      </c>
      <c r="AC61" s="94"/>
      <c r="AD61" s="50"/>
      <c r="AE61" s="117">
        <f t="shared" si="13"/>
        <v>0</v>
      </c>
      <c r="AF61" s="94"/>
      <c r="AG61" s="50"/>
      <c r="AH61" s="117">
        <f t="shared" si="14"/>
        <v>0</v>
      </c>
      <c r="AI61" s="94"/>
      <c r="AL61" s="94"/>
      <c r="AM61" s="94"/>
      <c r="AN61" s="94"/>
      <c r="AR61" s="375"/>
      <c r="AS61" s="375"/>
      <c r="AT61" s="375"/>
      <c r="AU61" s="375"/>
      <c r="AV61" s="375"/>
      <c r="AW61" s="375"/>
      <c r="AX61" s="375"/>
      <c r="AY61" s="375"/>
      <c r="AZ61" s="375"/>
      <c r="BB61" s="376"/>
      <c r="BC61" s="377"/>
    </row>
    <row r="62" spans="3:55" x14ac:dyDescent="0.25">
      <c r="C62" s="102" t="str">
        <f>'MP Calculations'!D89</f>
        <v>2045-46</v>
      </c>
      <c r="D62" s="298">
        <f>IF(LEFT($C62,4)*1&lt;LEFT('General inputs'!$I$16,4)+'General inputs'!$H$38,SUM(G62,J62,M62,P62,S62,V62,Y62,AB62,AE62,AH62),"")</f>
        <v>0</v>
      </c>
      <c r="E62" s="297"/>
      <c r="F62" s="299"/>
      <c r="G62" s="298"/>
      <c r="H62" s="297"/>
      <c r="I62" s="339"/>
      <c r="J62" s="298"/>
      <c r="K62" s="297"/>
      <c r="L62" s="342"/>
      <c r="M62" s="298"/>
      <c r="N62" s="94"/>
      <c r="O62" s="50"/>
      <c r="P62" s="117">
        <f t="shared" si="8"/>
        <v>0</v>
      </c>
      <c r="Q62" s="94"/>
      <c r="R62" s="50"/>
      <c r="S62" s="117">
        <f t="shared" si="9"/>
        <v>0</v>
      </c>
      <c r="T62" s="94"/>
      <c r="U62" s="50"/>
      <c r="V62" s="117">
        <f t="shared" si="10"/>
        <v>0</v>
      </c>
      <c r="W62" s="94"/>
      <c r="X62" s="50"/>
      <c r="Y62" s="117">
        <f t="shared" si="11"/>
        <v>0</v>
      </c>
      <c r="Z62" s="94"/>
      <c r="AA62" s="50"/>
      <c r="AB62" s="117">
        <f t="shared" si="12"/>
        <v>0</v>
      </c>
      <c r="AC62" s="94"/>
      <c r="AD62" s="50"/>
      <c r="AE62" s="117">
        <f t="shared" si="13"/>
        <v>0</v>
      </c>
      <c r="AF62" s="94"/>
      <c r="AG62" s="50"/>
      <c r="AH62" s="117">
        <f t="shared" si="14"/>
        <v>0</v>
      </c>
      <c r="AI62" s="94"/>
      <c r="AL62" s="94"/>
      <c r="AM62" s="94"/>
      <c r="AN62" s="94"/>
      <c r="AR62" s="375"/>
      <c r="AS62" s="375"/>
      <c r="AT62" s="375"/>
      <c r="AU62" s="375"/>
      <c r="AV62" s="375"/>
      <c r="AW62" s="375"/>
      <c r="AX62" s="375"/>
      <c r="AY62" s="375"/>
      <c r="AZ62" s="375"/>
      <c r="BB62" s="376"/>
      <c r="BC62" s="377"/>
    </row>
    <row r="63" spans="3:55" x14ac:dyDescent="0.25">
      <c r="C63" s="102" t="str">
        <f>'MP Calculations'!D90</f>
        <v>2046-47</v>
      </c>
      <c r="D63" s="298">
        <f>IF(LEFT($C63,4)*1&lt;LEFT('General inputs'!$I$16,4)+'General inputs'!$H$38,SUM(G63,J63,M63,P63,S63,V63,Y63,AB63,AE63,AH63),"")</f>
        <v>0</v>
      </c>
      <c r="E63" s="297"/>
      <c r="F63" s="299"/>
      <c r="G63" s="298"/>
      <c r="H63" s="297"/>
      <c r="I63" s="339"/>
      <c r="J63" s="298"/>
      <c r="K63" s="297"/>
      <c r="L63" s="342"/>
      <c r="M63" s="298"/>
      <c r="N63" s="94"/>
      <c r="O63" s="50"/>
      <c r="P63" s="117">
        <f t="shared" si="8"/>
        <v>0</v>
      </c>
      <c r="Q63" s="94"/>
      <c r="R63" s="50"/>
      <c r="S63" s="117">
        <f t="shared" si="9"/>
        <v>0</v>
      </c>
      <c r="T63" s="94"/>
      <c r="U63" s="50"/>
      <c r="V63" s="117">
        <f t="shared" si="10"/>
        <v>0</v>
      </c>
      <c r="W63" s="94"/>
      <c r="X63" s="50"/>
      <c r="Y63" s="117">
        <f t="shared" si="11"/>
        <v>0</v>
      </c>
      <c r="Z63" s="94"/>
      <c r="AA63" s="50"/>
      <c r="AB63" s="117">
        <f t="shared" si="12"/>
        <v>0</v>
      </c>
      <c r="AC63" s="94"/>
      <c r="AD63" s="50"/>
      <c r="AE63" s="117">
        <f t="shared" si="13"/>
        <v>0</v>
      </c>
      <c r="AF63" s="94"/>
      <c r="AG63" s="50"/>
      <c r="AH63" s="117">
        <f t="shared" si="14"/>
        <v>0</v>
      </c>
      <c r="AI63" s="94"/>
      <c r="AL63" s="94"/>
      <c r="AM63" s="94"/>
      <c r="AN63" s="94"/>
      <c r="AR63" s="375"/>
      <c r="AS63" s="375"/>
      <c r="AT63" s="375"/>
      <c r="AU63" s="375"/>
      <c r="AV63" s="375"/>
      <c r="AW63" s="375"/>
      <c r="AX63" s="375"/>
      <c r="AY63" s="375"/>
      <c r="AZ63" s="375"/>
      <c r="BB63" s="376"/>
      <c r="BC63" s="377"/>
    </row>
    <row r="64" spans="3:55" x14ac:dyDescent="0.25">
      <c r="C64" s="102" t="str">
        <f>'MP Calculations'!D91</f>
        <v>2047-48</v>
      </c>
      <c r="D64" s="298">
        <f>IF(LEFT($C64,4)*1&lt;LEFT('General inputs'!$I$16,4)+'General inputs'!$H$38,SUM(G64,J64,M64,P64,S64,V64,Y64,AB64,AE64,AH64),"")</f>
        <v>0</v>
      </c>
      <c r="E64" s="297"/>
      <c r="F64" s="299"/>
      <c r="G64" s="298"/>
      <c r="H64" s="297"/>
      <c r="I64" s="339"/>
      <c r="J64" s="298"/>
      <c r="K64" s="297"/>
      <c r="L64" s="342"/>
      <c r="M64" s="298"/>
      <c r="N64" s="94"/>
      <c r="O64" s="50"/>
      <c r="P64" s="117">
        <f t="shared" si="8"/>
        <v>0</v>
      </c>
      <c r="Q64" s="94"/>
      <c r="R64" s="50"/>
      <c r="S64" s="117">
        <f t="shared" si="9"/>
        <v>0</v>
      </c>
      <c r="T64" s="94"/>
      <c r="U64" s="50"/>
      <c r="V64" s="117">
        <f t="shared" si="10"/>
        <v>0</v>
      </c>
      <c r="W64" s="94"/>
      <c r="X64" s="50"/>
      <c r="Y64" s="117">
        <f t="shared" si="11"/>
        <v>0</v>
      </c>
      <c r="Z64" s="94"/>
      <c r="AA64" s="50"/>
      <c r="AB64" s="117">
        <f t="shared" si="12"/>
        <v>0</v>
      </c>
      <c r="AC64" s="94"/>
      <c r="AD64" s="50"/>
      <c r="AE64" s="117">
        <f t="shared" si="13"/>
        <v>0</v>
      </c>
      <c r="AF64" s="94"/>
      <c r="AG64" s="50"/>
      <c r="AH64" s="117">
        <f t="shared" si="14"/>
        <v>0</v>
      </c>
      <c r="AI64" s="94"/>
      <c r="AL64" s="94"/>
      <c r="AM64" s="94"/>
      <c r="AN64" s="94"/>
      <c r="AR64" s="375"/>
      <c r="AS64" s="375"/>
      <c r="AT64" s="375"/>
      <c r="AU64" s="375"/>
      <c r="AV64" s="375"/>
      <c r="AW64" s="375"/>
      <c r="AX64" s="375"/>
      <c r="AY64" s="375"/>
      <c r="AZ64" s="375"/>
      <c r="BB64" s="376"/>
      <c r="BC64" s="377"/>
    </row>
    <row r="65" spans="3:55" x14ac:dyDescent="0.25">
      <c r="C65" s="102" t="str">
        <f>'MP Calculations'!D92</f>
        <v>2048-49</v>
      </c>
      <c r="D65" s="298">
        <f>IF(LEFT($C65,4)*1&lt;LEFT('General inputs'!$I$16,4)+'General inputs'!$H$38,SUM(G65,J65,M65,P65,S65,V65,Y65,AB65,AE65,AH65),"")</f>
        <v>0</v>
      </c>
      <c r="E65" s="297"/>
      <c r="F65" s="299"/>
      <c r="G65" s="298"/>
      <c r="H65" s="297"/>
      <c r="I65" s="339"/>
      <c r="J65" s="298"/>
      <c r="K65" s="297"/>
      <c r="L65" s="342"/>
      <c r="M65" s="298"/>
      <c r="N65" s="94"/>
      <c r="O65" s="50"/>
      <c r="P65" s="117">
        <f t="shared" si="8"/>
        <v>0</v>
      </c>
      <c r="Q65" s="94"/>
      <c r="R65" s="50"/>
      <c r="S65" s="117">
        <f t="shared" si="9"/>
        <v>0</v>
      </c>
      <c r="T65" s="94"/>
      <c r="U65" s="50"/>
      <c r="V65" s="117">
        <f t="shared" si="10"/>
        <v>0</v>
      </c>
      <c r="W65" s="94"/>
      <c r="X65" s="50"/>
      <c r="Y65" s="117">
        <f t="shared" si="11"/>
        <v>0</v>
      </c>
      <c r="Z65" s="94"/>
      <c r="AA65" s="50"/>
      <c r="AB65" s="117">
        <f t="shared" si="12"/>
        <v>0</v>
      </c>
      <c r="AC65" s="94"/>
      <c r="AD65" s="50"/>
      <c r="AE65" s="117">
        <f t="shared" si="13"/>
        <v>0</v>
      </c>
      <c r="AF65" s="94"/>
      <c r="AG65" s="50"/>
      <c r="AH65" s="117">
        <f t="shared" si="14"/>
        <v>0</v>
      </c>
      <c r="AI65" s="94"/>
      <c r="AL65" s="94"/>
      <c r="AM65" s="94"/>
      <c r="AN65" s="94"/>
      <c r="AR65" s="375"/>
      <c r="AS65" s="375"/>
      <c r="AT65" s="375"/>
      <c r="AU65" s="375"/>
      <c r="AV65" s="375"/>
      <c r="AW65" s="375"/>
      <c r="AX65" s="375"/>
      <c r="AY65" s="375"/>
      <c r="AZ65" s="375"/>
      <c r="BB65" s="376"/>
      <c r="BC65" s="377"/>
    </row>
    <row r="66" spans="3:55" x14ac:dyDescent="0.25">
      <c r="C66" s="102" t="str">
        <f>'MP Calculations'!D93</f>
        <v>2049-50</v>
      </c>
      <c r="D66" s="298">
        <f>IF(LEFT($C66,4)*1&lt;LEFT('General inputs'!$I$16,4)+'General inputs'!$H$38,SUM(G66,J66,M66,P66,S66,V66,Y66,AB66,AE66,AH66),"")</f>
        <v>0</v>
      </c>
      <c r="E66" s="297"/>
      <c r="F66" s="299"/>
      <c r="G66" s="298"/>
      <c r="H66" s="297"/>
      <c r="I66" s="339"/>
      <c r="J66" s="298"/>
      <c r="K66" s="297"/>
      <c r="L66" s="342"/>
      <c r="M66" s="298"/>
      <c r="N66" s="94"/>
      <c r="O66" s="50"/>
      <c r="P66" s="117">
        <f t="shared" si="8"/>
        <v>0</v>
      </c>
      <c r="Q66" s="94"/>
      <c r="R66" s="50"/>
      <c r="S66" s="117">
        <f t="shared" si="9"/>
        <v>0</v>
      </c>
      <c r="T66" s="94"/>
      <c r="U66" s="50"/>
      <c r="V66" s="117">
        <f t="shared" si="10"/>
        <v>0</v>
      </c>
      <c r="W66" s="94"/>
      <c r="X66" s="50"/>
      <c r="Y66" s="117">
        <f t="shared" si="11"/>
        <v>0</v>
      </c>
      <c r="Z66" s="94"/>
      <c r="AA66" s="50"/>
      <c r="AB66" s="117">
        <f t="shared" si="12"/>
        <v>0</v>
      </c>
      <c r="AC66" s="94"/>
      <c r="AD66" s="50"/>
      <c r="AE66" s="117">
        <f t="shared" si="13"/>
        <v>0</v>
      </c>
      <c r="AF66" s="94"/>
      <c r="AG66" s="50"/>
      <c r="AH66" s="117">
        <f t="shared" si="14"/>
        <v>0</v>
      </c>
      <c r="AI66" s="94"/>
      <c r="AL66" s="94"/>
      <c r="AM66" s="94"/>
      <c r="AN66" s="94"/>
      <c r="AR66" s="375"/>
      <c r="AS66" s="375"/>
      <c r="AT66" s="375"/>
      <c r="AU66" s="375"/>
      <c r="AV66" s="375"/>
      <c r="AW66" s="375"/>
      <c r="AX66" s="375"/>
      <c r="AY66" s="375"/>
      <c r="AZ66" s="375"/>
      <c r="BB66" s="376"/>
      <c r="BC66" s="377"/>
    </row>
    <row r="67" spans="3:55" x14ac:dyDescent="0.25">
      <c r="C67" s="102" t="str">
        <f>'MP Calculations'!D94</f>
        <v>2050-51</v>
      </c>
      <c r="D67" s="298">
        <f>IF(LEFT($C67,4)*1&lt;LEFT('General inputs'!$I$16,4)+'General inputs'!$H$38,SUM(G67,J67,M67,P67,S67,V67,Y67,AB67,AE67,AH67),"")</f>
        <v>0</v>
      </c>
      <c r="E67" s="297"/>
      <c r="F67" s="299"/>
      <c r="G67" s="298"/>
      <c r="H67" s="297"/>
      <c r="I67" s="339"/>
      <c r="J67" s="298"/>
      <c r="K67" s="297"/>
      <c r="L67" s="342"/>
      <c r="M67" s="298"/>
      <c r="N67" s="94"/>
      <c r="O67" s="50"/>
      <c r="P67" s="117">
        <f t="shared" si="8"/>
        <v>0</v>
      </c>
      <c r="Q67" s="94"/>
      <c r="R67" s="50"/>
      <c r="S67" s="117">
        <f t="shared" si="9"/>
        <v>0</v>
      </c>
      <c r="T67" s="94"/>
      <c r="U67" s="50"/>
      <c r="V67" s="117">
        <f t="shared" si="10"/>
        <v>0</v>
      </c>
      <c r="W67" s="94"/>
      <c r="X67" s="50"/>
      <c r="Y67" s="117">
        <f t="shared" si="11"/>
        <v>0</v>
      </c>
      <c r="Z67" s="94"/>
      <c r="AA67" s="50"/>
      <c r="AB67" s="117">
        <f t="shared" si="12"/>
        <v>0</v>
      </c>
      <c r="AC67" s="94"/>
      <c r="AD67" s="50"/>
      <c r="AE67" s="117">
        <f t="shared" si="13"/>
        <v>0</v>
      </c>
      <c r="AF67" s="94"/>
      <c r="AG67" s="50"/>
      <c r="AH67" s="117">
        <f t="shared" si="14"/>
        <v>0</v>
      </c>
      <c r="AI67" s="94"/>
      <c r="AL67" s="94"/>
      <c r="AM67" s="94"/>
      <c r="AN67" s="94"/>
      <c r="AR67" s="375"/>
      <c r="AS67" s="375"/>
      <c r="AT67" s="375"/>
      <c r="AU67" s="375"/>
      <c r="AV67" s="375"/>
      <c r="AW67" s="375"/>
      <c r="AX67" s="375"/>
      <c r="AY67" s="375"/>
      <c r="AZ67" s="375"/>
      <c r="BB67" s="376"/>
      <c r="BC67" s="377"/>
    </row>
    <row r="68" spans="3:55" x14ac:dyDescent="0.25">
      <c r="C68" s="102" t="str">
        <f>'MP Calculations'!D95</f>
        <v>2051-52</v>
      </c>
      <c r="D68" s="298">
        <f>IF(LEFT($C68,4)*1&lt;LEFT('General inputs'!$I$16,4)+'General inputs'!$H$38,SUM(G68,J68,M68,P68,S68,V68,Y68,AB68,AE68,AH68),"")</f>
        <v>0</v>
      </c>
      <c r="E68" s="297"/>
      <c r="F68" s="299"/>
      <c r="G68" s="298"/>
      <c r="H68" s="297"/>
      <c r="I68" s="339"/>
      <c r="J68" s="298"/>
      <c r="K68" s="297"/>
      <c r="L68" s="342"/>
      <c r="M68" s="298"/>
      <c r="N68" s="94"/>
      <c r="O68" s="50"/>
      <c r="P68" s="117">
        <f t="shared" si="8"/>
        <v>0</v>
      </c>
      <c r="Q68" s="94"/>
      <c r="R68" s="50"/>
      <c r="S68" s="117">
        <f t="shared" si="9"/>
        <v>0</v>
      </c>
      <c r="T68" s="94"/>
      <c r="U68" s="50"/>
      <c r="V68" s="117">
        <f t="shared" si="10"/>
        <v>0</v>
      </c>
      <c r="W68" s="94"/>
      <c r="X68" s="50"/>
      <c r="Y68" s="117">
        <f t="shared" si="11"/>
        <v>0</v>
      </c>
      <c r="Z68" s="94"/>
      <c r="AA68" s="50"/>
      <c r="AB68" s="117">
        <f t="shared" si="12"/>
        <v>0</v>
      </c>
      <c r="AC68" s="94"/>
      <c r="AD68" s="50"/>
      <c r="AE68" s="117">
        <f t="shared" si="13"/>
        <v>0</v>
      </c>
      <c r="AF68" s="94"/>
      <c r="AG68" s="50"/>
      <c r="AH68" s="117">
        <f t="shared" si="14"/>
        <v>0</v>
      </c>
      <c r="AI68" s="94"/>
      <c r="AL68" s="94"/>
      <c r="AM68" s="94"/>
      <c r="AN68" s="94"/>
      <c r="AR68" s="375"/>
      <c r="AS68" s="375"/>
      <c r="AT68" s="375"/>
      <c r="AU68" s="375"/>
      <c r="AV68" s="375"/>
      <c r="AW68" s="375"/>
      <c r="AX68" s="375"/>
      <c r="AY68" s="375"/>
      <c r="AZ68" s="375"/>
      <c r="BB68" s="376"/>
      <c r="BC68" s="377"/>
    </row>
    <row r="69" spans="3:55" x14ac:dyDescent="0.25">
      <c r="C69" s="102" t="str">
        <f>'MP Calculations'!D96</f>
        <v>2052-53</v>
      </c>
      <c r="D69" s="298" t="str">
        <f>IF(LEFT($C69,4)*1&lt;LEFT('General inputs'!$I$16,4)+'General inputs'!$H$38,SUM(G69,J69,M69,P69,S69,V69,Y69,AB69,AE69,AH69),"")</f>
        <v/>
      </c>
      <c r="E69" s="297"/>
      <c r="F69" s="299"/>
      <c r="G69" s="298"/>
      <c r="H69" s="297"/>
      <c r="I69" s="299"/>
      <c r="J69" s="298"/>
      <c r="K69" s="297"/>
      <c r="L69" s="300"/>
      <c r="M69" s="298"/>
      <c r="N69" s="94"/>
      <c r="O69" s="50"/>
      <c r="P69" s="117">
        <f t="shared" si="8"/>
        <v>0</v>
      </c>
      <c r="Q69" s="94"/>
      <c r="R69" s="50"/>
      <c r="S69" s="117">
        <f t="shared" si="9"/>
        <v>0</v>
      </c>
      <c r="T69" s="94"/>
      <c r="U69" s="50"/>
      <c r="V69" s="117">
        <f t="shared" si="10"/>
        <v>0</v>
      </c>
      <c r="W69" s="94"/>
      <c r="X69" s="50"/>
      <c r="Y69" s="117">
        <f t="shared" si="11"/>
        <v>0</v>
      </c>
      <c r="Z69" s="94"/>
      <c r="AA69" s="50"/>
      <c r="AB69" s="117">
        <f t="shared" si="12"/>
        <v>0</v>
      </c>
      <c r="AC69" s="94"/>
      <c r="AD69" s="50"/>
      <c r="AE69" s="117">
        <f t="shared" si="13"/>
        <v>0</v>
      </c>
      <c r="AF69" s="94"/>
      <c r="AG69" s="50"/>
      <c r="AH69" s="117">
        <f t="shared" si="14"/>
        <v>0</v>
      </c>
      <c r="AI69" s="94"/>
      <c r="AL69" s="94"/>
      <c r="AM69" s="94"/>
      <c r="AN69" s="94"/>
    </row>
    <row r="70" spans="3:55" x14ac:dyDescent="0.25">
      <c r="C70" s="102" t="str">
        <f>'MP Calculations'!D97</f>
        <v>2053-54</v>
      </c>
      <c r="D70" s="298" t="str">
        <f>IF(LEFT($C70,4)*1&lt;LEFT('General inputs'!$I$16,4)+'General inputs'!$H$38,SUM(G70,J70,M70,P70,S70,V70,Y70,AB70,AE70,AH70),"")</f>
        <v/>
      </c>
      <c r="E70" s="297"/>
      <c r="F70" s="299"/>
      <c r="G70" s="298"/>
      <c r="H70" s="297"/>
      <c r="I70" s="299"/>
      <c r="J70" s="298"/>
      <c r="K70" s="297"/>
      <c r="L70" s="300"/>
      <c r="M70" s="298"/>
      <c r="N70" s="94"/>
      <c r="O70" s="50"/>
      <c r="P70" s="117">
        <f t="shared" si="8"/>
        <v>0</v>
      </c>
      <c r="Q70" s="94"/>
      <c r="R70" s="50"/>
      <c r="S70" s="117">
        <f t="shared" si="9"/>
        <v>0</v>
      </c>
      <c r="T70" s="94"/>
      <c r="U70" s="50"/>
      <c r="V70" s="117">
        <f t="shared" si="10"/>
        <v>0</v>
      </c>
      <c r="W70" s="94"/>
      <c r="X70" s="50"/>
      <c r="Y70" s="117">
        <f t="shared" si="11"/>
        <v>0</v>
      </c>
      <c r="Z70" s="94"/>
      <c r="AA70" s="50"/>
      <c r="AB70" s="117">
        <f t="shared" si="12"/>
        <v>0</v>
      </c>
      <c r="AC70" s="94"/>
      <c r="AD70" s="50"/>
      <c r="AE70" s="117">
        <f t="shared" si="13"/>
        <v>0</v>
      </c>
      <c r="AF70" s="94"/>
      <c r="AG70" s="50"/>
      <c r="AH70" s="117">
        <f t="shared" si="14"/>
        <v>0</v>
      </c>
      <c r="AI70" s="94"/>
      <c r="AL70" s="94"/>
      <c r="AM70" s="94"/>
      <c r="AN70" s="94"/>
    </row>
    <row r="71" spans="3:55" x14ac:dyDescent="0.25">
      <c r="C71" s="102" t="str">
        <f>'MP Calculations'!D98</f>
        <v>2054-55</v>
      </c>
      <c r="D71" s="298" t="str">
        <f>IF(LEFT($C71,4)*1&lt;LEFT('General inputs'!$I$16,4)+'General inputs'!$H$38,SUM(G71,J71,M71,P71,S71,V71,Y71,AB71,AE71,AH71),"")</f>
        <v/>
      </c>
      <c r="E71" s="297"/>
      <c r="F71" s="299"/>
      <c r="G71" s="298"/>
      <c r="H71" s="297"/>
      <c r="I71" s="299"/>
      <c r="J71" s="298"/>
      <c r="K71" s="297"/>
      <c r="L71" s="300"/>
      <c r="M71" s="298"/>
      <c r="N71" s="94"/>
      <c r="O71" s="50"/>
      <c r="P71" s="117">
        <f t="shared" si="8"/>
        <v>0</v>
      </c>
      <c r="Q71" s="94"/>
      <c r="R71" s="50"/>
      <c r="S71" s="117">
        <f t="shared" si="9"/>
        <v>0</v>
      </c>
      <c r="T71" s="94"/>
      <c r="U71" s="50"/>
      <c r="V71" s="117">
        <f t="shared" si="10"/>
        <v>0</v>
      </c>
      <c r="W71" s="94"/>
      <c r="X71" s="50"/>
      <c r="Y71" s="117">
        <f t="shared" si="11"/>
        <v>0</v>
      </c>
      <c r="Z71" s="94"/>
      <c r="AA71" s="50"/>
      <c r="AB71" s="117">
        <f t="shared" si="12"/>
        <v>0</v>
      </c>
      <c r="AC71" s="94"/>
      <c r="AD71" s="50"/>
      <c r="AE71" s="117">
        <f t="shared" si="13"/>
        <v>0</v>
      </c>
      <c r="AF71" s="94"/>
      <c r="AG71" s="50"/>
      <c r="AH71" s="117">
        <f t="shared" si="14"/>
        <v>0</v>
      </c>
      <c r="AI71" s="94"/>
      <c r="AL71" s="94"/>
      <c r="AM71" s="94"/>
      <c r="AN71" s="94"/>
    </row>
    <row r="72" spans="3:55" x14ac:dyDescent="0.25">
      <c r="C72" s="102" t="str">
        <f>'MP Calculations'!D99</f>
        <v>2055-56</v>
      </c>
      <c r="D72" s="298" t="str">
        <f>IF(LEFT($C72,4)*1&lt;LEFT('General inputs'!$I$16,4)+'General inputs'!$H$38,SUM(G72,J72,M72,P72,S72,V72,Y72,AB72,AE72,AH72),"")</f>
        <v/>
      </c>
      <c r="E72" s="297"/>
      <c r="F72" s="299"/>
      <c r="G72" s="298"/>
      <c r="H72" s="297"/>
      <c r="I72" s="299"/>
      <c r="J72" s="298"/>
      <c r="K72" s="297"/>
      <c r="L72" s="300"/>
      <c r="M72" s="298"/>
      <c r="N72" s="94"/>
      <c r="O72" s="50"/>
      <c r="P72" s="117">
        <f t="shared" si="8"/>
        <v>0</v>
      </c>
      <c r="Q72" s="94"/>
      <c r="R72" s="50"/>
      <c r="S72" s="117">
        <f t="shared" si="9"/>
        <v>0</v>
      </c>
      <c r="T72" s="94"/>
      <c r="U72" s="50"/>
      <c r="V72" s="117">
        <f t="shared" si="10"/>
        <v>0</v>
      </c>
      <c r="W72" s="94"/>
      <c r="X72" s="50"/>
      <c r="Y72" s="117">
        <f t="shared" si="11"/>
        <v>0</v>
      </c>
      <c r="Z72" s="94"/>
      <c r="AA72" s="50"/>
      <c r="AB72" s="117">
        <f t="shared" si="12"/>
        <v>0</v>
      </c>
      <c r="AC72" s="94"/>
      <c r="AD72" s="50"/>
      <c r="AE72" s="117">
        <f t="shared" si="13"/>
        <v>0</v>
      </c>
      <c r="AF72" s="94"/>
      <c r="AG72" s="50"/>
      <c r="AH72" s="117">
        <f t="shared" si="14"/>
        <v>0</v>
      </c>
      <c r="AI72" s="94"/>
      <c r="AL72" s="94"/>
      <c r="AM72" s="94"/>
      <c r="AN72" s="94"/>
    </row>
    <row r="73" spans="3:55" x14ac:dyDescent="0.25">
      <c r="C73" s="102" t="str">
        <f>'MP Calculations'!D100</f>
        <v>2056-57</v>
      </c>
      <c r="D73" s="298" t="str">
        <f>IF(LEFT($C73,4)*1&lt;LEFT('General inputs'!$I$16,4)+'General inputs'!$H$38,SUM(G73,J73,M73,P73,S73,V73,Y73,AB73,AE73,AH73),"")</f>
        <v/>
      </c>
      <c r="E73" s="297"/>
      <c r="F73" s="299"/>
      <c r="G73" s="298"/>
      <c r="H73" s="297"/>
      <c r="I73" s="299"/>
      <c r="J73" s="298"/>
      <c r="K73" s="297"/>
      <c r="L73" s="300"/>
      <c r="M73" s="298"/>
      <c r="N73" s="94"/>
      <c r="O73" s="50"/>
      <c r="P73" s="117">
        <f t="shared" si="8"/>
        <v>0</v>
      </c>
      <c r="Q73" s="94"/>
      <c r="R73" s="50"/>
      <c r="S73" s="117">
        <f t="shared" si="9"/>
        <v>0</v>
      </c>
      <c r="T73" s="94"/>
      <c r="U73" s="50"/>
      <c r="V73" s="117">
        <f t="shared" si="10"/>
        <v>0</v>
      </c>
      <c r="W73" s="94"/>
      <c r="X73" s="50"/>
      <c r="Y73" s="117">
        <f t="shared" si="11"/>
        <v>0</v>
      </c>
      <c r="Z73" s="94"/>
      <c r="AA73" s="50"/>
      <c r="AB73" s="117">
        <f t="shared" si="12"/>
        <v>0</v>
      </c>
      <c r="AC73" s="94"/>
      <c r="AD73" s="50"/>
      <c r="AE73" s="117">
        <f t="shared" si="13"/>
        <v>0</v>
      </c>
      <c r="AF73" s="94"/>
      <c r="AG73" s="50"/>
      <c r="AH73" s="117">
        <f t="shared" si="14"/>
        <v>0</v>
      </c>
      <c r="AI73" s="94"/>
      <c r="AL73" s="94"/>
      <c r="AM73" s="94"/>
      <c r="AN73" s="94"/>
    </row>
    <row r="74" spans="3:55" x14ac:dyDescent="0.25">
      <c r="C74" s="102" t="str">
        <f>'MP Calculations'!D101</f>
        <v>2057-58</v>
      </c>
      <c r="D74" s="298" t="str">
        <f>IF(LEFT($C74,4)*1&lt;LEFT('General inputs'!$I$16,4)+'General inputs'!$H$38,SUM(G74,J74,M74,P74,S74,V74,Y74,AB74,AE74,AH74),"")</f>
        <v/>
      </c>
      <c r="E74" s="297"/>
      <c r="F74" s="299"/>
      <c r="G74" s="298"/>
      <c r="H74" s="297"/>
      <c r="I74" s="299"/>
      <c r="J74" s="298"/>
      <c r="K74" s="297"/>
      <c r="L74" s="300"/>
      <c r="M74" s="298"/>
      <c r="N74" s="94"/>
      <c r="O74" s="50"/>
      <c r="P74" s="117">
        <f t="shared" si="8"/>
        <v>0</v>
      </c>
      <c r="Q74" s="94"/>
      <c r="R74" s="50"/>
      <c r="S74" s="117">
        <f t="shared" si="9"/>
        <v>0</v>
      </c>
      <c r="T74" s="94"/>
      <c r="U74" s="50"/>
      <c r="V74" s="117">
        <f t="shared" si="10"/>
        <v>0</v>
      </c>
      <c r="W74" s="94"/>
      <c r="X74" s="50"/>
      <c r="Y74" s="117">
        <f t="shared" si="11"/>
        <v>0</v>
      </c>
      <c r="Z74" s="94"/>
      <c r="AA74" s="50"/>
      <c r="AB74" s="117">
        <f t="shared" si="12"/>
        <v>0</v>
      </c>
      <c r="AC74" s="94"/>
      <c r="AD74" s="50"/>
      <c r="AE74" s="117">
        <f t="shared" si="13"/>
        <v>0</v>
      </c>
      <c r="AF74" s="94"/>
      <c r="AG74" s="50"/>
      <c r="AH74" s="117">
        <f t="shared" si="14"/>
        <v>0</v>
      </c>
      <c r="AI74" s="94"/>
      <c r="AL74" s="94"/>
      <c r="AM74" s="94"/>
      <c r="AN74" s="94"/>
    </row>
    <row r="75" spans="3:55" x14ac:dyDescent="0.25">
      <c r="C75" s="102" t="str">
        <f>'MP Calculations'!D102</f>
        <v>2058-59</v>
      </c>
      <c r="D75" s="298" t="str">
        <f>IF(LEFT($C75,4)*1&lt;LEFT('General inputs'!$I$16,4)+'General inputs'!$H$38,SUM(G75,J75,M75,P75,S75,V75,Y75,AB75,AE75,AH75),"")</f>
        <v/>
      </c>
      <c r="E75" s="297"/>
      <c r="F75" s="299"/>
      <c r="G75" s="298"/>
      <c r="H75" s="297"/>
      <c r="I75" s="299"/>
      <c r="J75" s="298"/>
      <c r="K75" s="297"/>
      <c r="L75" s="300"/>
      <c r="M75" s="298"/>
      <c r="N75" s="94"/>
      <c r="O75" s="50"/>
      <c r="P75" s="117">
        <f t="shared" si="8"/>
        <v>0</v>
      </c>
      <c r="Q75" s="94"/>
      <c r="R75" s="50"/>
      <c r="S75" s="117">
        <f t="shared" si="9"/>
        <v>0</v>
      </c>
      <c r="T75" s="94"/>
      <c r="U75" s="50"/>
      <c r="V75" s="117">
        <f t="shared" si="10"/>
        <v>0</v>
      </c>
      <c r="W75" s="94"/>
      <c r="X75" s="50"/>
      <c r="Y75" s="117">
        <f t="shared" si="11"/>
        <v>0</v>
      </c>
      <c r="Z75" s="94"/>
      <c r="AA75" s="50"/>
      <c r="AB75" s="117">
        <f t="shared" si="12"/>
        <v>0</v>
      </c>
      <c r="AC75" s="94"/>
      <c r="AD75" s="50"/>
      <c r="AE75" s="117">
        <f t="shared" si="13"/>
        <v>0</v>
      </c>
      <c r="AF75" s="94"/>
      <c r="AG75" s="50"/>
      <c r="AH75" s="117">
        <f t="shared" si="14"/>
        <v>0</v>
      </c>
      <c r="AI75" s="94"/>
      <c r="AL75" s="94"/>
      <c r="AM75" s="94"/>
      <c r="AN75" s="94"/>
    </row>
    <row r="76" spans="3:55" x14ac:dyDescent="0.25">
      <c r="C76" s="102" t="str">
        <f>'MP Calculations'!D103</f>
        <v>2059-60</v>
      </c>
      <c r="D76" s="298" t="str">
        <f>IF(LEFT($C76,4)*1&lt;LEFT('General inputs'!$I$16,4)+'General inputs'!$H$38,SUM(G76,J76,M76,P76,S76,V76,Y76,AB76,AE76,AH76),"")</f>
        <v/>
      </c>
      <c r="E76" s="297"/>
      <c r="F76" s="299"/>
      <c r="G76" s="298"/>
      <c r="H76" s="297"/>
      <c r="I76" s="299"/>
      <c r="J76" s="298"/>
      <c r="K76" s="297"/>
      <c r="L76" s="300"/>
      <c r="M76" s="298"/>
      <c r="N76" s="94"/>
      <c r="O76" s="50"/>
      <c r="P76" s="117">
        <f t="shared" ref="P76:P102" si="15">O76*$P$9/$F$6</f>
        <v>0</v>
      </c>
      <c r="Q76" s="94"/>
      <c r="R76" s="50"/>
      <c r="S76" s="117">
        <f t="shared" ref="S76:S102" si="16">R76*$S$9/$F$6</f>
        <v>0</v>
      </c>
      <c r="T76" s="94"/>
      <c r="U76" s="50"/>
      <c r="V76" s="117">
        <f t="shared" ref="V76:V102" si="17">U76*$V$9/$F$6</f>
        <v>0</v>
      </c>
      <c r="W76" s="94"/>
      <c r="X76" s="50"/>
      <c r="Y76" s="117">
        <f t="shared" ref="Y76:Y102" si="18">X76*$Y$9/$F$6</f>
        <v>0</v>
      </c>
      <c r="Z76" s="94"/>
      <c r="AA76" s="50"/>
      <c r="AB76" s="117">
        <f t="shared" ref="AB76:AB102" si="19">AA76*$AB$9/$F$6</f>
        <v>0</v>
      </c>
      <c r="AC76" s="94"/>
      <c r="AD76" s="50"/>
      <c r="AE76" s="117">
        <f t="shared" ref="AE76:AE102" si="20">AD76*$AE$9/$F$6</f>
        <v>0</v>
      </c>
      <c r="AF76" s="94"/>
      <c r="AG76" s="50"/>
      <c r="AH76" s="117">
        <f t="shared" ref="AH76:AH102" si="21">AG76*$AH$9/$F$6</f>
        <v>0</v>
      </c>
      <c r="AI76" s="94"/>
      <c r="AL76" s="94"/>
      <c r="AM76" s="94"/>
      <c r="AN76" s="94"/>
    </row>
    <row r="77" spans="3:55" x14ac:dyDescent="0.25">
      <c r="C77" s="102" t="str">
        <f>'MP Calculations'!D104</f>
        <v>2060-61</v>
      </c>
      <c r="D77" s="298" t="str">
        <f>IF(LEFT($C77,4)*1&lt;LEFT('General inputs'!$I$16,4)+'General inputs'!$H$38,SUM(G77,J77,M77,P77,S77,V77,Y77,AB77,AE77,AH77),"")</f>
        <v/>
      </c>
      <c r="E77" s="297"/>
      <c r="F77" s="299"/>
      <c r="G77" s="298"/>
      <c r="H77" s="297"/>
      <c r="I77" s="299"/>
      <c r="J77" s="298"/>
      <c r="K77" s="297"/>
      <c r="L77" s="300"/>
      <c r="M77" s="298"/>
      <c r="N77" s="94"/>
      <c r="O77" s="50"/>
      <c r="P77" s="117">
        <f t="shared" si="15"/>
        <v>0</v>
      </c>
      <c r="Q77" s="94"/>
      <c r="R77" s="50"/>
      <c r="S77" s="117">
        <f t="shared" si="16"/>
        <v>0</v>
      </c>
      <c r="T77" s="94"/>
      <c r="U77" s="50"/>
      <c r="V77" s="117">
        <f t="shared" si="17"/>
        <v>0</v>
      </c>
      <c r="W77" s="94"/>
      <c r="X77" s="50"/>
      <c r="Y77" s="117">
        <f t="shared" si="18"/>
        <v>0</v>
      </c>
      <c r="Z77" s="94"/>
      <c r="AA77" s="50"/>
      <c r="AB77" s="117">
        <f t="shared" si="19"/>
        <v>0</v>
      </c>
      <c r="AC77" s="94"/>
      <c r="AD77" s="50"/>
      <c r="AE77" s="117">
        <f t="shared" si="20"/>
        <v>0</v>
      </c>
      <c r="AF77" s="94"/>
      <c r="AG77" s="50"/>
      <c r="AH77" s="117">
        <f t="shared" si="21"/>
        <v>0</v>
      </c>
      <c r="AI77" s="94"/>
      <c r="AL77" s="94"/>
      <c r="AM77" s="94"/>
      <c r="AN77" s="94"/>
    </row>
    <row r="78" spans="3:55" x14ac:dyDescent="0.25">
      <c r="C78" s="102" t="str">
        <f>'MP Calculations'!D105</f>
        <v>2061-62</v>
      </c>
      <c r="D78" s="298" t="str">
        <f>IF(LEFT($C78,4)*1&lt;LEFT('General inputs'!$I$16,4)+'General inputs'!$H$38,SUM(G78,J78,M78,P78,S78,V78,Y78,AB78,AE78,AH78),"")</f>
        <v/>
      </c>
      <c r="E78" s="297"/>
      <c r="F78" s="299"/>
      <c r="G78" s="298"/>
      <c r="H78" s="297"/>
      <c r="I78" s="299"/>
      <c r="J78" s="298"/>
      <c r="K78" s="297"/>
      <c r="L78" s="300"/>
      <c r="M78" s="298"/>
      <c r="N78" s="94"/>
      <c r="O78" s="50"/>
      <c r="P78" s="117">
        <f t="shared" si="15"/>
        <v>0</v>
      </c>
      <c r="Q78" s="94"/>
      <c r="R78" s="50"/>
      <c r="S78" s="117">
        <f t="shared" si="16"/>
        <v>0</v>
      </c>
      <c r="T78" s="94"/>
      <c r="U78" s="50"/>
      <c r="V78" s="117">
        <f t="shared" si="17"/>
        <v>0</v>
      </c>
      <c r="W78" s="94"/>
      <c r="X78" s="50"/>
      <c r="Y78" s="117">
        <f t="shared" si="18"/>
        <v>0</v>
      </c>
      <c r="Z78" s="94"/>
      <c r="AA78" s="50"/>
      <c r="AB78" s="117">
        <f t="shared" si="19"/>
        <v>0</v>
      </c>
      <c r="AC78" s="94"/>
      <c r="AD78" s="50"/>
      <c r="AE78" s="117">
        <f t="shared" si="20"/>
        <v>0</v>
      </c>
      <c r="AF78" s="94"/>
      <c r="AG78" s="50"/>
      <c r="AH78" s="117">
        <f t="shared" si="21"/>
        <v>0</v>
      </c>
      <c r="AI78" s="94"/>
      <c r="AL78" s="94"/>
      <c r="AM78" s="94"/>
      <c r="AN78" s="94"/>
    </row>
    <row r="79" spans="3:55" x14ac:dyDescent="0.25">
      <c r="C79" s="102" t="str">
        <f>'MP Calculations'!D106</f>
        <v>2062-63</v>
      </c>
      <c r="D79" s="298" t="str">
        <f>IF(LEFT($C79,4)*1&lt;LEFT('General inputs'!$I$16,4)+'General inputs'!$H$38,SUM(G79,J79,M79,P79,S79,V79,Y79,AB79,AE79,AH79),"")</f>
        <v/>
      </c>
      <c r="E79" s="297"/>
      <c r="F79" s="299"/>
      <c r="G79" s="298"/>
      <c r="H79" s="297"/>
      <c r="I79" s="299"/>
      <c r="J79" s="298"/>
      <c r="K79" s="297"/>
      <c r="L79" s="300"/>
      <c r="M79" s="298"/>
      <c r="N79" s="94"/>
      <c r="O79" s="50"/>
      <c r="P79" s="117">
        <f t="shared" si="15"/>
        <v>0</v>
      </c>
      <c r="Q79" s="94"/>
      <c r="R79" s="50"/>
      <c r="S79" s="117">
        <f t="shared" si="16"/>
        <v>0</v>
      </c>
      <c r="T79" s="94"/>
      <c r="U79" s="50"/>
      <c r="V79" s="117">
        <f t="shared" si="17"/>
        <v>0</v>
      </c>
      <c r="W79" s="94"/>
      <c r="X79" s="50"/>
      <c r="Y79" s="117">
        <f t="shared" si="18"/>
        <v>0</v>
      </c>
      <c r="Z79" s="94"/>
      <c r="AA79" s="50"/>
      <c r="AB79" s="117">
        <f t="shared" si="19"/>
        <v>0</v>
      </c>
      <c r="AC79" s="94"/>
      <c r="AD79" s="50"/>
      <c r="AE79" s="117">
        <f t="shared" si="20"/>
        <v>0</v>
      </c>
      <c r="AF79" s="94"/>
      <c r="AG79" s="50"/>
      <c r="AH79" s="117">
        <f t="shared" si="21"/>
        <v>0</v>
      </c>
      <c r="AI79" s="94"/>
      <c r="AL79" s="94"/>
      <c r="AM79" s="94"/>
      <c r="AN79" s="94"/>
    </row>
    <row r="80" spans="3:55" x14ac:dyDescent="0.25">
      <c r="C80" s="102" t="str">
        <f>'MP Calculations'!D107</f>
        <v>2063-64</v>
      </c>
      <c r="D80" s="298" t="str">
        <f>IF(LEFT($C80,4)*1&lt;LEFT('General inputs'!$I$16,4)+'General inputs'!$H$38,SUM(G80,J80,M80,P80,S80,V80,Y80,AB80,AE80,AH80),"")</f>
        <v/>
      </c>
      <c r="E80" s="297"/>
      <c r="F80" s="299"/>
      <c r="G80" s="298"/>
      <c r="H80" s="297"/>
      <c r="I80" s="299"/>
      <c r="J80" s="298"/>
      <c r="K80" s="297"/>
      <c r="L80" s="300"/>
      <c r="M80" s="298"/>
      <c r="N80" s="94"/>
      <c r="O80" s="50"/>
      <c r="P80" s="117">
        <f t="shared" si="15"/>
        <v>0</v>
      </c>
      <c r="Q80" s="94"/>
      <c r="R80" s="50"/>
      <c r="S80" s="117">
        <f t="shared" si="16"/>
        <v>0</v>
      </c>
      <c r="T80" s="94"/>
      <c r="U80" s="50"/>
      <c r="V80" s="117">
        <f t="shared" si="17"/>
        <v>0</v>
      </c>
      <c r="W80" s="94"/>
      <c r="X80" s="50"/>
      <c r="Y80" s="117">
        <f t="shared" si="18"/>
        <v>0</v>
      </c>
      <c r="Z80" s="94"/>
      <c r="AA80" s="50"/>
      <c r="AB80" s="117">
        <f t="shared" si="19"/>
        <v>0</v>
      </c>
      <c r="AC80" s="94"/>
      <c r="AD80" s="50"/>
      <c r="AE80" s="117">
        <f t="shared" si="20"/>
        <v>0</v>
      </c>
      <c r="AF80" s="94"/>
      <c r="AG80" s="50"/>
      <c r="AH80" s="117">
        <f t="shared" si="21"/>
        <v>0</v>
      </c>
      <c r="AI80" s="94"/>
      <c r="AL80" s="94"/>
      <c r="AM80" s="94"/>
      <c r="AN80" s="94"/>
    </row>
    <row r="81" spans="3:40" x14ac:dyDescent="0.25">
      <c r="C81" s="102" t="str">
        <f>'MP Calculations'!D108</f>
        <v>2064-65</v>
      </c>
      <c r="D81" s="298" t="str">
        <f>IF(LEFT($C81,4)*1&lt;LEFT('General inputs'!$I$16,4)+'General inputs'!$H$38,SUM(G81,J81,M81,P81,S81,V81,Y81,AB81,AE81,AH81),"")</f>
        <v/>
      </c>
      <c r="E81" s="297"/>
      <c r="F81" s="299"/>
      <c r="G81" s="298"/>
      <c r="H81" s="297"/>
      <c r="I81" s="299"/>
      <c r="J81" s="298"/>
      <c r="K81" s="297"/>
      <c r="L81" s="300"/>
      <c r="M81" s="298"/>
      <c r="N81" s="94"/>
      <c r="O81" s="50"/>
      <c r="P81" s="117">
        <f t="shared" si="15"/>
        <v>0</v>
      </c>
      <c r="Q81" s="94"/>
      <c r="R81" s="50"/>
      <c r="S81" s="117">
        <f t="shared" si="16"/>
        <v>0</v>
      </c>
      <c r="T81" s="94"/>
      <c r="U81" s="50"/>
      <c r="V81" s="117">
        <f t="shared" si="17"/>
        <v>0</v>
      </c>
      <c r="W81" s="94"/>
      <c r="X81" s="50"/>
      <c r="Y81" s="117">
        <f t="shared" si="18"/>
        <v>0</v>
      </c>
      <c r="Z81" s="94"/>
      <c r="AA81" s="50"/>
      <c r="AB81" s="117">
        <f t="shared" si="19"/>
        <v>0</v>
      </c>
      <c r="AC81" s="94"/>
      <c r="AD81" s="50"/>
      <c r="AE81" s="117">
        <f t="shared" si="20"/>
        <v>0</v>
      </c>
      <c r="AF81" s="94"/>
      <c r="AG81" s="50"/>
      <c r="AH81" s="117">
        <f t="shared" si="21"/>
        <v>0</v>
      </c>
      <c r="AI81" s="94"/>
      <c r="AL81" s="94"/>
      <c r="AM81" s="94"/>
      <c r="AN81" s="94"/>
    </row>
    <row r="82" spans="3:40" x14ac:dyDescent="0.25">
      <c r="C82" s="102" t="str">
        <f>'MP Calculations'!D109</f>
        <v>2065-66</v>
      </c>
      <c r="D82" s="298" t="str">
        <f>IF(LEFT($C82,4)*1&lt;LEFT('General inputs'!$I$16,4)+'General inputs'!$H$38,SUM(G82,J82,M82,P82,S82,V82,Y82,AB82,AE82,AH82),"")</f>
        <v/>
      </c>
      <c r="E82" s="297"/>
      <c r="F82" s="299"/>
      <c r="G82" s="298"/>
      <c r="H82" s="297"/>
      <c r="I82" s="299"/>
      <c r="J82" s="298"/>
      <c r="K82" s="297"/>
      <c r="L82" s="300"/>
      <c r="M82" s="298"/>
      <c r="N82" s="94"/>
      <c r="O82" s="50"/>
      <c r="P82" s="117">
        <f t="shared" si="15"/>
        <v>0</v>
      </c>
      <c r="Q82" s="94"/>
      <c r="R82" s="50"/>
      <c r="S82" s="117">
        <f t="shared" si="16"/>
        <v>0</v>
      </c>
      <c r="T82" s="94"/>
      <c r="U82" s="50"/>
      <c r="V82" s="117">
        <f t="shared" si="17"/>
        <v>0</v>
      </c>
      <c r="W82" s="94"/>
      <c r="X82" s="50"/>
      <c r="Y82" s="117">
        <f t="shared" si="18"/>
        <v>0</v>
      </c>
      <c r="Z82" s="94"/>
      <c r="AA82" s="50"/>
      <c r="AB82" s="117">
        <f t="shared" si="19"/>
        <v>0</v>
      </c>
      <c r="AC82" s="94"/>
      <c r="AD82" s="50"/>
      <c r="AE82" s="117">
        <f t="shared" si="20"/>
        <v>0</v>
      </c>
      <c r="AF82" s="94"/>
      <c r="AG82" s="50"/>
      <c r="AH82" s="117">
        <f t="shared" si="21"/>
        <v>0</v>
      </c>
      <c r="AI82" s="94"/>
      <c r="AL82" s="94"/>
      <c r="AM82" s="94"/>
      <c r="AN82" s="94"/>
    </row>
    <row r="83" spans="3:40" x14ac:dyDescent="0.25">
      <c r="C83" s="102" t="str">
        <f>'MP Calculations'!D110</f>
        <v>2066-67</v>
      </c>
      <c r="D83" s="298" t="str">
        <f>IF(LEFT($C83,4)*1&lt;LEFT('General inputs'!$I$16,4)+'General inputs'!$H$38,SUM(G83,J83,M83,P83,S83,V83,Y83,AB83,AE83,AH83),"")</f>
        <v/>
      </c>
      <c r="E83" s="297"/>
      <c r="F83" s="299"/>
      <c r="G83" s="298"/>
      <c r="H83" s="297"/>
      <c r="I83" s="299"/>
      <c r="J83" s="298"/>
      <c r="K83" s="297"/>
      <c r="L83" s="300"/>
      <c r="M83" s="298"/>
      <c r="N83" s="94"/>
      <c r="O83" s="50"/>
      <c r="P83" s="117">
        <f t="shared" si="15"/>
        <v>0</v>
      </c>
      <c r="Q83" s="94"/>
      <c r="R83" s="50"/>
      <c r="S83" s="117">
        <f t="shared" si="16"/>
        <v>0</v>
      </c>
      <c r="T83" s="94"/>
      <c r="U83" s="50"/>
      <c r="V83" s="117">
        <f t="shared" si="17"/>
        <v>0</v>
      </c>
      <c r="W83" s="94"/>
      <c r="X83" s="50"/>
      <c r="Y83" s="117">
        <f t="shared" si="18"/>
        <v>0</v>
      </c>
      <c r="Z83" s="94"/>
      <c r="AA83" s="50"/>
      <c r="AB83" s="117">
        <f t="shared" si="19"/>
        <v>0</v>
      </c>
      <c r="AC83" s="94"/>
      <c r="AD83" s="50"/>
      <c r="AE83" s="117">
        <f t="shared" si="20"/>
        <v>0</v>
      </c>
      <c r="AF83" s="94"/>
      <c r="AG83" s="50"/>
      <c r="AH83" s="117">
        <f t="shared" si="21"/>
        <v>0</v>
      </c>
      <c r="AI83" s="94"/>
      <c r="AL83" s="94"/>
      <c r="AM83" s="94"/>
      <c r="AN83" s="94"/>
    </row>
    <row r="84" spans="3:40" x14ac:dyDescent="0.25">
      <c r="C84" s="102" t="str">
        <f>'MP Calculations'!D111</f>
        <v>2067-68</v>
      </c>
      <c r="D84" s="298" t="str">
        <f>IF(LEFT($C84,4)*1&lt;LEFT('General inputs'!$I$16,4)+'General inputs'!$H$38,SUM(G84,J84,M84,P84,S84,V84,Y84,AB84,AE84,AH84),"")</f>
        <v/>
      </c>
      <c r="E84" s="297"/>
      <c r="F84" s="299"/>
      <c r="G84" s="298"/>
      <c r="H84" s="297"/>
      <c r="I84" s="299"/>
      <c r="J84" s="298"/>
      <c r="K84" s="297"/>
      <c r="L84" s="300"/>
      <c r="M84" s="298"/>
      <c r="N84" s="94"/>
      <c r="O84" s="50"/>
      <c r="P84" s="117">
        <f t="shared" si="15"/>
        <v>0</v>
      </c>
      <c r="Q84" s="94"/>
      <c r="R84" s="50"/>
      <c r="S84" s="117">
        <f t="shared" si="16"/>
        <v>0</v>
      </c>
      <c r="T84" s="94"/>
      <c r="U84" s="50"/>
      <c r="V84" s="117">
        <f t="shared" si="17"/>
        <v>0</v>
      </c>
      <c r="W84" s="94"/>
      <c r="X84" s="50"/>
      <c r="Y84" s="117">
        <f t="shared" si="18"/>
        <v>0</v>
      </c>
      <c r="Z84" s="94"/>
      <c r="AA84" s="50"/>
      <c r="AB84" s="117">
        <f t="shared" si="19"/>
        <v>0</v>
      </c>
      <c r="AC84" s="94"/>
      <c r="AD84" s="50"/>
      <c r="AE84" s="117">
        <f t="shared" si="20"/>
        <v>0</v>
      </c>
      <c r="AF84" s="94"/>
      <c r="AG84" s="50"/>
      <c r="AH84" s="117">
        <f t="shared" si="21"/>
        <v>0</v>
      </c>
      <c r="AI84" s="94"/>
      <c r="AL84" s="94"/>
      <c r="AM84" s="94"/>
      <c r="AN84" s="94"/>
    </row>
    <row r="85" spans="3:40" x14ac:dyDescent="0.25">
      <c r="C85" s="102" t="str">
        <f>'MP Calculations'!D112</f>
        <v>2068-69</v>
      </c>
      <c r="D85" s="298" t="str">
        <f>IF(LEFT($C85,4)*1&lt;LEFT('General inputs'!$I$16,4)+'General inputs'!$H$38,SUM(G85,J85,M85,P85,S85,V85,Y85,AB85,AE85,AH85),"")</f>
        <v/>
      </c>
      <c r="E85" s="297"/>
      <c r="F85" s="299"/>
      <c r="G85" s="298"/>
      <c r="H85" s="297"/>
      <c r="I85" s="299"/>
      <c r="J85" s="298"/>
      <c r="K85" s="297"/>
      <c r="L85" s="300"/>
      <c r="M85" s="298"/>
      <c r="N85" s="94"/>
      <c r="O85" s="50"/>
      <c r="P85" s="117">
        <f t="shared" si="15"/>
        <v>0</v>
      </c>
      <c r="Q85" s="94"/>
      <c r="R85" s="50"/>
      <c r="S85" s="117">
        <f t="shared" si="16"/>
        <v>0</v>
      </c>
      <c r="T85" s="94"/>
      <c r="U85" s="50"/>
      <c r="V85" s="117">
        <f t="shared" si="17"/>
        <v>0</v>
      </c>
      <c r="W85" s="94"/>
      <c r="X85" s="50"/>
      <c r="Y85" s="117">
        <f t="shared" si="18"/>
        <v>0</v>
      </c>
      <c r="Z85" s="94"/>
      <c r="AA85" s="50"/>
      <c r="AB85" s="117">
        <f t="shared" si="19"/>
        <v>0</v>
      </c>
      <c r="AC85" s="94"/>
      <c r="AD85" s="50"/>
      <c r="AE85" s="117">
        <f t="shared" si="20"/>
        <v>0</v>
      </c>
      <c r="AF85" s="94"/>
      <c r="AG85" s="50"/>
      <c r="AH85" s="117">
        <f t="shared" si="21"/>
        <v>0</v>
      </c>
      <c r="AI85" s="94"/>
      <c r="AL85" s="94"/>
      <c r="AM85" s="94"/>
      <c r="AN85" s="94"/>
    </row>
    <row r="86" spans="3:40" x14ac:dyDescent="0.25">
      <c r="C86" s="102" t="str">
        <f>'MP Calculations'!D113</f>
        <v>2069-70</v>
      </c>
      <c r="D86" s="298" t="str">
        <f>IF(LEFT($C86,4)*1&lt;LEFT('General inputs'!$I$16,4)+'General inputs'!$H$38,SUM(G86,J86,M86,P86,S86,V86,Y86,AB86,AE86,AH86),"")</f>
        <v/>
      </c>
      <c r="E86" s="297"/>
      <c r="F86" s="299"/>
      <c r="G86" s="298"/>
      <c r="H86" s="297"/>
      <c r="I86" s="299"/>
      <c r="J86" s="298"/>
      <c r="K86" s="297"/>
      <c r="L86" s="300"/>
      <c r="M86" s="298"/>
      <c r="N86" s="94"/>
      <c r="O86" s="50"/>
      <c r="P86" s="117">
        <f t="shared" si="15"/>
        <v>0</v>
      </c>
      <c r="Q86" s="94"/>
      <c r="R86" s="50"/>
      <c r="S86" s="117">
        <f t="shared" si="16"/>
        <v>0</v>
      </c>
      <c r="T86" s="94"/>
      <c r="U86" s="50"/>
      <c r="V86" s="117">
        <f t="shared" si="17"/>
        <v>0</v>
      </c>
      <c r="W86" s="94"/>
      <c r="X86" s="50"/>
      <c r="Y86" s="117">
        <f t="shared" si="18"/>
        <v>0</v>
      </c>
      <c r="Z86" s="94"/>
      <c r="AA86" s="50"/>
      <c r="AB86" s="117">
        <f t="shared" si="19"/>
        <v>0</v>
      </c>
      <c r="AC86" s="94"/>
      <c r="AD86" s="50"/>
      <c r="AE86" s="117">
        <f t="shared" si="20"/>
        <v>0</v>
      </c>
      <c r="AF86" s="94"/>
      <c r="AG86" s="50"/>
      <c r="AH86" s="117">
        <f t="shared" si="21"/>
        <v>0</v>
      </c>
      <c r="AI86" s="94"/>
      <c r="AL86" s="94"/>
      <c r="AM86" s="94"/>
      <c r="AN86" s="94"/>
    </row>
    <row r="87" spans="3:40" x14ac:dyDescent="0.25">
      <c r="C87" s="102" t="str">
        <f>'MP Calculations'!D114</f>
        <v>2070-71</v>
      </c>
      <c r="D87" s="298" t="str">
        <f>IF(LEFT($C87,4)*1&lt;LEFT('General inputs'!$I$16,4)+'General inputs'!$H$38,SUM(G87,J87,M87,P87,S87,V87,Y87,AB87,AE87,AH87),"")</f>
        <v/>
      </c>
      <c r="E87" s="297"/>
      <c r="F87" s="299"/>
      <c r="G87" s="298"/>
      <c r="H87" s="297"/>
      <c r="I87" s="299"/>
      <c r="J87" s="298"/>
      <c r="K87" s="297"/>
      <c r="L87" s="300"/>
      <c r="M87" s="298"/>
      <c r="N87" s="94"/>
      <c r="O87" s="50"/>
      <c r="P87" s="117">
        <f t="shared" si="15"/>
        <v>0</v>
      </c>
      <c r="Q87" s="94"/>
      <c r="R87" s="50"/>
      <c r="S87" s="117">
        <f t="shared" si="16"/>
        <v>0</v>
      </c>
      <c r="T87" s="94"/>
      <c r="U87" s="50"/>
      <c r="V87" s="117">
        <f t="shared" si="17"/>
        <v>0</v>
      </c>
      <c r="W87" s="94"/>
      <c r="X87" s="50"/>
      <c r="Y87" s="117">
        <f t="shared" si="18"/>
        <v>0</v>
      </c>
      <c r="Z87" s="94"/>
      <c r="AA87" s="50"/>
      <c r="AB87" s="117">
        <f t="shared" si="19"/>
        <v>0</v>
      </c>
      <c r="AC87" s="94"/>
      <c r="AD87" s="50"/>
      <c r="AE87" s="117">
        <f t="shared" si="20"/>
        <v>0</v>
      </c>
      <c r="AF87" s="94"/>
      <c r="AG87" s="50"/>
      <c r="AH87" s="117">
        <f t="shared" si="21"/>
        <v>0</v>
      </c>
      <c r="AI87" s="94"/>
      <c r="AL87" s="94"/>
      <c r="AM87" s="94"/>
      <c r="AN87" s="94"/>
    </row>
    <row r="88" spans="3:40" x14ac:dyDescent="0.25">
      <c r="C88" s="102" t="str">
        <f>'MP Calculations'!D115</f>
        <v>2071-72</v>
      </c>
      <c r="D88" s="298" t="str">
        <f>IF(LEFT($C88,4)*1&lt;LEFT('General inputs'!$I$16,4)+'General inputs'!$H$38,SUM(G88,J88,M88,P88,S88,V88,Y88,AB88,AE88,AH88),"")</f>
        <v/>
      </c>
      <c r="E88" s="297"/>
      <c r="F88" s="299"/>
      <c r="G88" s="298"/>
      <c r="H88" s="297"/>
      <c r="I88" s="299"/>
      <c r="J88" s="298"/>
      <c r="K88" s="297"/>
      <c r="L88" s="300"/>
      <c r="M88" s="298"/>
      <c r="N88" s="94"/>
      <c r="O88" s="50"/>
      <c r="P88" s="117">
        <f t="shared" si="15"/>
        <v>0</v>
      </c>
      <c r="Q88" s="94"/>
      <c r="R88" s="50"/>
      <c r="S88" s="117">
        <f t="shared" si="16"/>
        <v>0</v>
      </c>
      <c r="T88" s="94"/>
      <c r="U88" s="50"/>
      <c r="V88" s="117">
        <f t="shared" si="17"/>
        <v>0</v>
      </c>
      <c r="W88" s="94"/>
      <c r="X88" s="50"/>
      <c r="Y88" s="117">
        <f t="shared" si="18"/>
        <v>0</v>
      </c>
      <c r="Z88" s="94"/>
      <c r="AA88" s="50"/>
      <c r="AB88" s="117">
        <f t="shared" si="19"/>
        <v>0</v>
      </c>
      <c r="AC88" s="94"/>
      <c r="AD88" s="50"/>
      <c r="AE88" s="117">
        <f t="shared" si="20"/>
        <v>0</v>
      </c>
      <c r="AF88" s="94"/>
      <c r="AG88" s="50"/>
      <c r="AH88" s="117">
        <f t="shared" si="21"/>
        <v>0</v>
      </c>
      <c r="AI88" s="94"/>
      <c r="AL88" s="94"/>
      <c r="AM88" s="94"/>
      <c r="AN88" s="94"/>
    </row>
    <row r="89" spans="3:40" x14ac:dyDescent="0.25">
      <c r="C89" s="102" t="str">
        <f>'MP Calculations'!D116</f>
        <v>2072-73</v>
      </c>
      <c r="D89" s="298" t="str">
        <f>IF(LEFT($C89,4)*1&lt;LEFT('General inputs'!$I$16,4)+'General inputs'!$H$38,SUM(G89,J89,M89,P89,S89,V89,Y89,AB89,AE89,AH89),"")</f>
        <v/>
      </c>
      <c r="E89" s="297"/>
      <c r="F89" s="299"/>
      <c r="G89" s="298"/>
      <c r="H89" s="297"/>
      <c r="I89" s="299"/>
      <c r="J89" s="298"/>
      <c r="K89" s="297"/>
      <c r="L89" s="300"/>
      <c r="M89" s="298"/>
      <c r="N89" s="94"/>
      <c r="O89" s="50"/>
      <c r="P89" s="117">
        <f t="shared" si="15"/>
        <v>0</v>
      </c>
      <c r="Q89" s="94"/>
      <c r="R89" s="50"/>
      <c r="S89" s="117">
        <f t="shared" si="16"/>
        <v>0</v>
      </c>
      <c r="T89" s="94"/>
      <c r="U89" s="50"/>
      <c r="V89" s="117">
        <f t="shared" si="17"/>
        <v>0</v>
      </c>
      <c r="W89" s="94"/>
      <c r="X89" s="50"/>
      <c r="Y89" s="117">
        <f t="shared" si="18"/>
        <v>0</v>
      </c>
      <c r="Z89" s="94"/>
      <c r="AA89" s="50"/>
      <c r="AB89" s="117">
        <f t="shared" si="19"/>
        <v>0</v>
      </c>
      <c r="AC89" s="94"/>
      <c r="AD89" s="50"/>
      <c r="AE89" s="117">
        <f t="shared" si="20"/>
        <v>0</v>
      </c>
      <c r="AF89" s="94"/>
      <c r="AG89" s="50"/>
      <c r="AH89" s="117">
        <f t="shared" si="21"/>
        <v>0</v>
      </c>
      <c r="AI89" s="94"/>
      <c r="AL89" s="94"/>
      <c r="AM89" s="94"/>
      <c r="AN89" s="94"/>
    </row>
    <row r="90" spans="3:40" x14ac:dyDescent="0.25">
      <c r="C90" s="102" t="str">
        <f>'MP Calculations'!D117</f>
        <v>2073-74</v>
      </c>
      <c r="D90" s="298" t="str">
        <f>IF(LEFT($C90,4)*1&lt;LEFT('General inputs'!$I$16,4)+'General inputs'!$H$38,SUM(G90,J90,M90,P90,S90,V90,Y90,AB90,AE90,AH90),"")</f>
        <v/>
      </c>
      <c r="E90" s="297"/>
      <c r="F90" s="299"/>
      <c r="G90" s="298"/>
      <c r="H90" s="297"/>
      <c r="I90" s="299"/>
      <c r="J90" s="298"/>
      <c r="K90" s="297"/>
      <c r="L90" s="300"/>
      <c r="M90" s="298"/>
      <c r="N90" s="94"/>
      <c r="O90" s="50"/>
      <c r="P90" s="117">
        <f t="shared" si="15"/>
        <v>0</v>
      </c>
      <c r="Q90" s="94"/>
      <c r="R90" s="50"/>
      <c r="S90" s="117">
        <f t="shared" si="16"/>
        <v>0</v>
      </c>
      <c r="T90" s="94"/>
      <c r="U90" s="50"/>
      <c r="V90" s="117">
        <f t="shared" si="17"/>
        <v>0</v>
      </c>
      <c r="W90" s="94"/>
      <c r="X90" s="50"/>
      <c r="Y90" s="117">
        <f t="shared" si="18"/>
        <v>0</v>
      </c>
      <c r="Z90" s="94"/>
      <c r="AA90" s="50"/>
      <c r="AB90" s="117">
        <f t="shared" si="19"/>
        <v>0</v>
      </c>
      <c r="AC90" s="94"/>
      <c r="AD90" s="50"/>
      <c r="AE90" s="117">
        <f t="shared" si="20"/>
        <v>0</v>
      </c>
      <c r="AF90" s="94"/>
      <c r="AG90" s="50"/>
      <c r="AH90" s="117">
        <f t="shared" si="21"/>
        <v>0</v>
      </c>
      <c r="AI90" s="94"/>
      <c r="AL90" s="94"/>
      <c r="AM90" s="94"/>
      <c r="AN90" s="94"/>
    </row>
    <row r="91" spans="3:40" x14ac:dyDescent="0.25">
      <c r="C91" s="102" t="str">
        <f>'MP Calculations'!D118</f>
        <v>2074-75</v>
      </c>
      <c r="D91" s="298" t="str">
        <f>IF(LEFT($C91,4)*1&lt;LEFT('General inputs'!$I$16,4)+'General inputs'!$H$38,SUM(G91,J91,M91,P91,S91,V91,Y91,AB91,AE91,AH91),"")</f>
        <v/>
      </c>
      <c r="E91" s="297"/>
      <c r="F91" s="299"/>
      <c r="G91" s="298"/>
      <c r="H91" s="297"/>
      <c r="I91" s="299"/>
      <c r="J91" s="298"/>
      <c r="K91" s="297"/>
      <c r="L91" s="300"/>
      <c r="M91" s="298"/>
      <c r="N91" s="94"/>
      <c r="O91" s="50"/>
      <c r="P91" s="117">
        <f t="shared" si="15"/>
        <v>0</v>
      </c>
      <c r="Q91" s="94"/>
      <c r="R91" s="50"/>
      <c r="S91" s="117">
        <f t="shared" si="16"/>
        <v>0</v>
      </c>
      <c r="T91" s="94"/>
      <c r="U91" s="50"/>
      <c r="V91" s="117">
        <f t="shared" si="17"/>
        <v>0</v>
      </c>
      <c r="W91" s="94"/>
      <c r="X91" s="50"/>
      <c r="Y91" s="117">
        <f t="shared" si="18"/>
        <v>0</v>
      </c>
      <c r="Z91" s="94"/>
      <c r="AA91" s="50"/>
      <c r="AB91" s="117">
        <f t="shared" si="19"/>
        <v>0</v>
      </c>
      <c r="AC91" s="94"/>
      <c r="AD91" s="50"/>
      <c r="AE91" s="117">
        <f t="shared" si="20"/>
        <v>0</v>
      </c>
      <c r="AF91" s="94"/>
      <c r="AG91" s="50"/>
      <c r="AH91" s="117">
        <f t="shared" si="21"/>
        <v>0</v>
      </c>
      <c r="AI91" s="94"/>
      <c r="AL91" s="94"/>
      <c r="AM91" s="94"/>
      <c r="AN91" s="94"/>
    </row>
    <row r="92" spans="3:40" x14ac:dyDescent="0.25">
      <c r="C92" s="102" t="str">
        <f>'MP Calculations'!D119</f>
        <v>2075-76</v>
      </c>
      <c r="D92" s="298" t="str">
        <f>IF(LEFT($C92,4)*1&lt;LEFT('General inputs'!$I$16,4)+'General inputs'!$H$38,SUM(G92,J92,M92,P92,S92,V92,Y92,AB92,AE92,AH92),"")</f>
        <v/>
      </c>
      <c r="E92" s="297"/>
      <c r="F92" s="299"/>
      <c r="G92" s="298"/>
      <c r="H92" s="297"/>
      <c r="I92" s="299"/>
      <c r="J92" s="298"/>
      <c r="K92" s="297"/>
      <c r="L92" s="300"/>
      <c r="M92" s="298"/>
      <c r="N92" s="94"/>
      <c r="O92" s="50"/>
      <c r="P92" s="117">
        <f t="shared" si="15"/>
        <v>0</v>
      </c>
      <c r="Q92" s="94"/>
      <c r="R92" s="50"/>
      <c r="S92" s="117">
        <f t="shared" si="16"/>
        <v>0</v>
      </c>
      <c r="T92" s="94"/>
      <c r="U92" s="50"/>
      <c r="V92" s="117">
        <f t="shared" si="17"/>
        <v>0</v>
      </c>
      <c r="W92" s="94"/>
      <c r="X92" s="50"/>
      <c r="Y92" s="117">
        <f t="shared" si="18"/>
        <v>0</v>
      </c>
      <c r="Z92" s="94"/>
      <c r="AA92" s="50"/>
      <c r="AB92" s="117">
        <f t="shared" si="19"/>
        <v>0</v>
      </c>
      <c r="AC92" s="94"/>
      <c r="AD92" s="50"/>
      <c r="AE92" s="117">
        <f t="shared" si="20"/>
        <v>0</v>
      </c>
      <c r="AF92" s="94"/>
      <c r="AG92" s="50"/>
      <c r="AH92" s="117">
        <f t="shared" si="21"/>
        <v>0</v>
      </c>
      <c r="AI92" s="94"/>
      <c r="AL92" s="94"/>
      <c r="AM92" s="94"/>
      <c r="AN92" s="94"/>
    </row>
    <row r="93" spans="3:40" x14ac:dyDescent="0.25">
      <c r="C93" s="102" t="str">
        <f>'MP Calculations'!D120</f>
        <v>2076-77</v>
      </c>
      <c r="D93" s="298" t="str">
        <f>IF(LEFT($C93,4)*1&lt;LEFT('General inputs'!$I$16,4)+'General inputs'!$H$38,SUM(G93,J93,M93,P93,S93,V93,Y93,AB93,AE93,AH93),"")</f>
        <v/>
      </c>
      <c r="E93" s="297"/>
      <c r="F93" s="299"/>
      <c r="G93" s="298"/>
      <c r="H93" s="297"/>
      <c r="I93" s="299"/>
      <c r="J93" s="298"/>
      <c r="K93" s="297"/>
      <c r="L93" s="300"/>
      <c r="M93" s="298"/>
      <c r="N93" s="94"/>
      <c r="O93" s="50"/>
      <c r="P93" s="117">
        <f t="shared" si="15"/>
        <v>0</v>
      </c>
      <c r="Q93" s="94"/>
      <c r="R93" s="50"/>
      <c r="S93" s="117">
        <f t="shared" si="16"/>
        <v>0</v>
      </c>
      <c r="T93" s="94"/>
      <c r="U93" s="50"/>
      <c r="V93" s="117">
        <f t="shared" si="17"/>
        <v>0</v>
      </c>
      <c r="W93" s="94"/>
      <c r="X93" s="50"/>
      <c r="Y93" s="117">
        <f t="shared" si="18"/>
        <v>0</v>
      </c>
      <c r="Z93" s="94"/>
      <c r="AA93" s="50"/>
      <c r="AB93" s="117">
        <f t="shared" si="19"/>
        <v>0</v>
      </c>
      <c r="AC93" s="94"/>
      <c r="AD93" s="50"/>
      <c r="AE93" s="117">
        <f t="shared" si="20"/>
        <v>0</v>
      </c>
      <c r="AF93" s="94"/>
      <c r="AG93" s="50"/>
      <c r="AH93" s="117">
        <f t="shared" si="21"/>
        <v>0</v>
      </c>
      <c r="AI93" s="94"/>
      <c r="AL93" s="94"/>
      <c r="AM93" s="94"/>
      <c r="AN93" s="94"/>
    </row>
    <row r="94" spans="3:40" x14ac:dyDescent="0.25">
      <c r="C94" s="102" t="str">
        <f>'MP Calculations'!D121</f>
        <v>2077-78</v>
      </c>
      <c r="D94" s="298" t="str">
        <f>IF(LEFT($C94,4)*1&lt;LEFT('General inputs'!$I$16,4)+'General inputs'!$H$38,SUM(G94,J94,M94,P94,S94,V94,Y94,AB94,AE94,AH94),"")</f>
        <v/>
      </c>
      <c r="E94" s="297"/>
      <c r="F94" s="299"/>
      <c r="G94" s="298"/>
      <c r="H94" s="297"/>
      <c r="I94" s="299"/>
      <c r="J94" s="298"/>
      <c r="K94" s="297"/>
      <c r="L94" s="300"/>
      <c r="M94" s="298"/>
      <c r="N94" s="94"/>
      <c r="O94" s="50"/>
      <c r="P94" s="117">
        <f t="shared" si="15"/>
        <v>0</v>
      </c>
      <c r="Q94" s="94"/>
      <c r="R94" s="50"/>
      <c r="S94" s="117">
        <f t="shared" si="16"/>
        <v>0</v>
      </c>
      <c r="T94" s="94"/>
      <c r="U94" s="50"/>
      <c r="V94" s="117">
        <f t="shared" si="17"/>
        <v>0</v>
      </c>
      <c r="W94" s="94"/>
      <c r="X94" s="50"/>
      <c r="Y94" s="117">
        <f t="shared" si="18"/>
        <v>0</v>
      </c>
      <c r="Z94" s="94"/>
      <c r="AA94" s="50"/>
      <c r="AB94" s="117">
        <f t="shared" si="19"/>
        <v>0</v>
      </c>
      <c r="AC94" s="94"/>
      <c r="AD94" s="50"/>
      <c r="AE94" s="117">
        <f t="shared" si="20"/>
        <v>0</v>
      </c>
      <c r="AF94" s="94"/>
      <c r="AG94" s="50"/>
      <c r="AH94" s="117">
        <f t="shared" si="21"/>
        <v>0</v>
      </c>
      <c r="AI94" s="94"/>
      <c r="AL94" s="94"/>
      <c r="AM94" s="94"/>
      <c r="AN94" s="94"/>
    </row>
    <row r="95" spans="3:40" x14ac:dyDescent="0.25">
      <c r="C95" s="102" t="str">
        <f>'MP Calculations'!D122</f>
        <v>2078-79</v>
      </c>
      <c r="D95" s="298" t="str">
        <f>IF(LEFT($C95,4)*1&lt;LEFT('General inputs'!$I$16,4)+'General inputs'!$H$38,SUM(G95,J95,M95,P95,S95,V95,Y95,AB95,AE95,AH95),"")</f>
        <v/>
      </c>
      <c r="E95" s="297"/>
      <c r="F95" s="299"/>
      <c r="G95" s="298"/>
      <c r="H95" s="297"/>
      <c r="I95" s="299"/>
      <c r="J95" s="298"/>
      <c r="K95" s="297"/>
      <c r="L95" s="300"/>
      <c r="M95" s="298"/>
      <c r="N95" s="94"/>
      <c r="O95" s="50"/>
      <c r="P95" s="117">
        <f t="shared" si="15"/>
        <v>0</v>
      </c>
      <c r="Q95" s="94"/>
      <c r="R95" s="50"/>
      <c r="S95" s="117">
        <f t="shared" si="16"/>
        <v>0</v>
      </c>
      <c r="T95" s="94"/>
      <c r="U95" s="50"/>
      <c r="V95" s="117">
        <f t="shared" si="17"/>
        <v>0</v>
      </c>
      <c r="W95" s="94"/>
      <c r="X95" s="50"/>
      <c r="Y95" s="117">
        <f t="shared" si="18"/>
        <v>0</v>
      </c>
      <c r="Z95" s="94"/>
      <c r="AA95" s="50"/>
      <c r="AB95" s="117">
        <f t="shared" si="19"/>
        <v>0</v>
      </c>
      <c r="AC95" s="94"/>
      <c r="AD95" s="50"/>
      <c r="AE95" s="117">
        <f t="shared" si="20"/>
        <v>0</v>
      </c>
      <c r="AF95" s="94"/>
      <c r="AG95" s="50"/>
      <c r="AH95" s="117">
        <f t="shared" si="21"/>
        <v>0</v>
      </c>
      <c r="AI95" s="94"/>
      <c r="AL95" s="94"/>
      <c r="AM95" s="94"/>
      <c r="AN95" s="94"/>
    </row>
    <row r="96" spans="3:40" x14ac:dyDescent="0.25">
      <c r="C96" s="102" t="str">
        <f>'MP Calculations'!D123</f>
        <v>2079-80</v>
      </c>
      <c r="D96" s="298" t="str">
        <f>IF(LEFT($C96,4)*1&lt;LEFT('General inputs'!$I$16,4)+'General inputs'!$H$38,SUM(G96,J96,M96,P96,S96,V96,Y96,AB96,AE96,AH96),"")</f>
        <v/>
      </c>
      <c r="E96" s="297"/>
      <c r="F96" s="299"/>
      <c r="G96" s="298"/>
      <c r="H96" s="297"/>
      <c r="I96" s="299"/>
      <c r="J96" s="298"/>
      <c r="K96" s="297"/>
      <c r="L96" s="300"/>
      <c r="M96" s="298"/>
      <c r="N96" s="94"/>
      <c r="O96" s="50"/>
      <c r="P96" s="117">
        <f t="shared" si="15"/>
        <v>0</v>
      </c>
      <c r="Q96" s="94"/>
      <c r="R96" s="50"/>
      <c r="S96" s="117">
        <f t="shared" si="16"/>
        <v>0</v>
      </c>
      <c r="T96" s="94"/>
      <c r="U96" s="50"/>
      <c r="V96" s="117">
        <f t="shared" si="17"/>
        <v>0</v>
      </c>
      <c r="W96" s="94"/>
      <c r="X96" s="50"/>
      <c r="Y96" s="117">
        <f t="shared" si="18"/>
        <v>0</v>
      </c>
      <c r="Z96" s="94"/>
      <c r="AA96" s="50"/>
      <c r="AB96" s="117">
        <f t="shared" si="19"/>
        <v>0</v>
      </c>
      <c r="AC96" s="94"/>
      <c r="AD96" s="50"/>
      <c r="AE96" s="117">
        <f t="shared" si="20"/>
        <v>0</v>
      </c>
      <c r="AF96" s="94"/>
      <c r="AG96" s="50"/>
      <c r="AH96" s="117">
        <f t="shared" si="21"/>
        <v>0</v>
      </c>
      <c r="AI96" s="94"/>
      <c r="AL96" s="94"/>
      <c r="AM96" s="94"/>
      <c r="AN96" s="94"/>
    </row>
    <row r="97" spans="3:40" x14ac:dyDescent="0.25">
      <c r="C97" s="102" t="str">
        <f>'MP Calculations'!D124</f>
        <v>2080-81</v>
      </c>
      <c r="D97" s="298" t="str">
        <f>IF(LEFT($C97,4)*1&lt;LEFT('General inputs'!$I$16,4)+'General inputs'!$H$38,SUM(G97,J97,M97,P97,S97,V97,Y97,AB97,AE97,AH97),"")</f>
        <v/>
      </c>
      <c r="E97" s="297"/>
      <c r="F97" s="299"/>
      <c r="G97" s="298"/>
      <c r="H97" s="297"/>
      <c r="I97" s="299"/>
      <c r="J97" s="298"/>
      <c r="K97" s="297"/>
      <c r="L97" s="300"/>
      <c r="M97" s="298"/>
      <c r="N97" s="94"/>
      <c r="O97" s="50"/>
      <c r="P97" s="117">
        <f t="shared" si="15"/>
        <v>0</v>
      </c>
      <c r="Q97" s="94"/>
      <c r="R97" s="50"/>
      <c r="S97" s="117">
        <f t="shared" si="16"/>
        <v>0</v>
      </c>
      <c r="T97" s="94"/>
      <c r="U97" s="50"/>
      <c r="V97" s="117">
        <f t="shared" si="17"/>
        <v>0</v>
      </c>
      <c r="W97" s="94"/>
      <c r="X97" s="50"/>
      <c r="Y97" s="117">
        <f t="shared" si="18"/>
        <v>0</v>
      </c>
      <c r="Z97" s="94"/>
      <c r="AA97" s="50"/>
      <c r="AB97" s="117">
        <f t="shared" si="19"/>
        <v>0</v>
      </c>
      <c r="AC97" s="94"/>
      <c r="AD97" s="50"/>
      <c r="AE97" s="117">
        <f t="shared" si="20"/>
        <v>0</v>
      </c>
      <c r="AF97" s="94"/>
      <c r="AG97" s="50"/>
      <c r="AH97" s="117">
        <f t="shared" si="21"/>
        <v>0</v>
      </c>
      <c r="AI97" s="94"/>
      <c r="AL97" s="94"/>
      <c r="AM97" s="94"/>
      <c r="AN97" s="94"/>
    </row>
    <row r="98" spans="3:40" x14ac:dyDescent="0.25">
      <c r="C98" s="102" t="str">
        <f>'MP Calculations'!D125</f>
        <v>2081-82</v>
      </c>
      <c r="D98" s="298" t="str">
        <f>IF(LEFT($C98,4)*1&lt;LEFT('General inputs'!$I$16,4)+'General inputs'!$H$38,SUM(G98,J98,M98,P98,S98,V98,Y98,AB98,AE98,AH98),"")</f>
        <v/>
      </c>
      <c r="E98" s="297"/>
      <c r="F98" s="299"/>
      <c r="G98" s="298"/>
      <c r="H98" s="297"/>
      <c r="I98" s="299"/>
      <c r="J98" s="298"/>
      <c r="K98" s="297"/>
      <c r="L98" s="300"/>
      <c r="M98" s="298"/>
      <c r="N98" s="94"/>
      <c r="O98" s="50"/>
      <c r="P98" s="117">
        <f t="shared" si="15"/>
        <v>0</v>
      </c>
      <c r="Q98" s="94"/>
      <c r="R98" s="50"/>
      <c r="S98" s="117">
        <f t="shared" si="16"/>
        <v>0</v>
      </c>
      <c r="T98" s="94"/>
      <c r="U98" s="50"/>
      <c r="V98" s="117">
        <f t="shared" si="17"/>
        <v>0</v>
      </c>
      <c r="W98" s="94"/>
      <c r="X98" s="50"/>
      <c r="Y98" s="117">
        <f t="shared" si="18"/>
        <v>0</v>
      </c>
      <c r="Z98" s="94"/>
      <c r="AA98" s="50"/>
      <c r="AB98" s="117">
        <f t="shared" si="19"/>
        <v>0</v>
      </c>
      <c r="AC98" s="94"/>
      <c r="AD98" s="50"/>
      <c r="AE98" s="117">
        <f t="shared" si="20"/>
        <v>0</v>
      </c>
      <c r="AF98" s="94"/>
      <c r="AG98" s="50"/>
      <c r="AH98" s="117">
        <f t="shared" si="21"/>
        <v>0</v>
      </c>
      <c r="AI98" s="94"/>
      <c r="AL98" s="94"/>
      <c r="AM98" s="94"/>
      <c r="AN98" s="94"/>
    </row>
    <row r="99" spans="3:40" x14ac:dyDescent="0.25">
      <c r="C99" s="102" t="str">
        <f>'MP Calculations'!D126</f>
        <v>2082-83</v>
      </c>
      <c r="D99" s="298" t="str">
        <f>IF(LEFT($C99,4)*1&lt;LEFT('General inputs'!$I$16,4)+'General inputs'!$H$38,SUM(G99,J99,M99,P99,S99,V99,Y99,AB99,AE99,AH99),"")</f>
        <v/>
      </c>
      <c r="E99" s="297"/>
      <c r="F99" s="299"/>
      <c r="G99" s="298"/>
      <c r="H99" s="297"/>
      <c r="I99" s="299"/>
      <c r="J99" s="298"/>
      <c r="K99" s="297"/>
      <c r="L99" s="300"/>
      <c r="M99" s="298"/>
      <c r="N99" s="94"/>
      <c r="O99" s="50"/>
      <c r="P99" s="117">
        <f t="shared" si="15"/>
        <v>0</v>
      </c>
      <c r="Q99" s="94"/>
      <c r="R99" s="50"/>
      <c r="S99" s="117">
        <f t="shared" si="16"/>
        <v>0</v>
      </c>
      <c r="T99" s="94"/>
      <c r="U99" s="50"/>
      <c r="V99" s="117">
        <f t="shared" si="17"/>
        <v>0</v>
      </c>
      <c r="W99" s="94"/>
      <c r="X99" s="50"/>
      <c r="Y99" s="117">
        <f t="shared" si="18"/>
        <v>0</v>
      </c>
      <c r="Z99" s="94"/>
      <c r="AA99" s="50"/>
      <c r="AB99" s="117">
        <f t="shared" si="19"/>
        <v>0</v>
      </c>
      <c r="AC99" s="94"/>
      <c r="AD99" s="50"/>
      <c r="AE99" s="117">
        <f t="shared" si="20"/>
        <v>0</v>
      </c>
      <c r="AF99" s="94"/>
      <c r="AG99" s="50"/>
      <c r="AH99" s="117">
        <f t="shared" si="21"/>
        <v>0</v>
      </c>
      <c r="AI99" s="94"/>
      <c r="AL99" s="94"/>
      <c r="AM99" s="94"/>
      <c r="AN99" s="94"/>
    </row>
    <row r="100" spans="3:40" x14ac:dyDescent="0.25">
      <c r="C100" s="102" t="str">
        <f>'MP Calculations'!D127</f>
        <v>2083-84</v>
      </c>
      <c r="D100" s="298" t="str">
        <f>IF(LEFT($C100,4)*1&lt;LEFT('General inputs'!$I$16,4)+'General inputs'!$H$38,SUM(G100,J100,M100,P100,S100,V100,Y100,AB100,AE100,AH100),"")</f>
        <v/>
      </c>
      <c r="E100" s="297"/>
      <c r="F100" s="299"/>
      <c r="G100" s="298"/>
      <c r="H100" s="297"/>
      <c r="I100" s="299"/>
      <c r="J100" s="298"/>
      <c r="K100" s="297"/>
      <c r="L100" s="300"/>
      <c r="M100" s="298"/>
      <c r="N100" s="94"/>
      <c r="O100" s="50"/>
      <c r="P100" s="117">
        <f t="shared" si="15"/>
        <v>0</v>
      </c>
      <c r="Q100" s="94"/>
      <c r="R100" s="50"/>
      <c r="S100" s="117">
        <f t="shared" si="16"/>
        <v>0</v>
      </c>
      <c r="T100" s="94"/>
      <c r="U100" s="50"/>
      <c r="V100" s="117">
        <f t="shared" si="17"/>
        <v>0</v>
      </c>
      <c r="W100" s="94"/>
      <c r="X100" s="50"/>
      <c r="Y100" s="117">
        <f t="shared" si="18"/>
        <v>0</v>
      </c>
      <c r="Z100" s="94"/>
      <c r="AA100" s="50"/>
      <c r="AB100" s="117">
        <f t="shared" si="19"/>
        <v>0</v>
      </c>
      <c r="AC100" s="94"/>
      <c r="AD100" s="50"/>
      <c r="AE100" s="117">
        <f t="shared" si="20"/>
        <v>0</v>
      </c>
      <c r="AF100" s="94"/>
      <c r="AG100" s="50"/>
      <c r="AH100" s="117">
        <f t="shared" si="21"/>
        <v>0</v>
      </c>
      <c r="AI100" s="94"/>
      <c r="AL100" s="94"/>
      <c r="AM100" s="94"/>
      <c r="AN100" s="94"/>
    </row>
    <row r="101" spans="3:40" x14ac:dyDescent="0.25">
      <c r="C101" s="102" t="str">
        <f>'MP Calculations'!D128</f>
        <v>2084-85</v>
      </c>
      <c r="D101" s="298" t="str">
        <f>IF(LEFT($C101,4)*1&lt;LEFT('General inputs'!$I$16,4)+'General inputs'!$H$38,SUM(G101,J101,M101,P101,S101,V101,Y101,AB101,AE101,AH101),"")</f>
        <v/>
      </c>
      <c r="E101" s="297"/>
      <c r="F101" s="299"/>
      <c r="G101" s="298"/>
      <c r="H101" s="297"/>
      <c r="I101" s="299"/>
      <c r="J101" s="298"/>
      <c r="K101" s="297"/>
      <c r="L101" s="300"/>
      <c r="M101" s="298"/>
      <c r="N101" s="94"/>
      <c r="O101" s="50"/>
      <c r="P101" s="117">
        <f t="shared" si="15"/>
        <v>0</v>
      </c>
      <c r="Q101" s="94"/>
      <c r="R101" s="50"/>
      <c r="S101" s="117">
        <f t="shared" si="16"/>
        <v>0</v>
      </c>
      <c r="T101" s="94"/>
      <c r="U101" s="50"/>
      <c r="V101" s="117">
        <f t="shared" si="17"/>
        <v>0</v>
      </c>
      <c r="W101" s="94"/>
      <c r="X101" s="50"/>
      <c r="Y101" s="117">
        <f t="shared" si="18"/>
        <v>0</v>
      </c>
      <c r="Z101" s="94"/>
      <c r="AA101" s="50"/>
      <c r="AB101" s="117">
        <f t="shared" si="19"/>
        <v>0</v>
      </c>
      <c r="AC101" s="94"/>
      <c r="AD101" s="50"/>
      <c r="AE101" s="117">
        <f t="shared" si="20"/>
        <v>0</v>
      </c>
      <c r="AF101" s="94"/>
      <c r="AG101" s="50"/>
      <c r="AH101" s="117">
        <f t="shared" si="21"/>
        <v>0</v>
      </c>
      <c r="AI101" s="94"/>
      <c r="AL101" s="94"/>
      <c r="AM101" s="94"/>
      <c r="AN101" s="94"/>
    </row>
    <row r="102" spans="3:40" x14ac:dyDescent="0.25">
      <c r="C102" s="102" t="str">
        <f>'MP Calculations'!D129</f>
        <v>2085-86</v>
      </c>
      <c r="D102" s="298" t="str">
        <f>IF(LEFT($C102,4)*1&lt;LEFT('General inputs'!$I$16,4)+'General inputs'!$H$38,SUM(G102,J102,M102,P102,S102,V102,Y102,AB102,AE102,AH102),"")</f>
        <v/>
      </c>
      <c r="E102" s="297"/>
      <c r="F102" s="299"/>
      <c r="G102" s="298"/>
      <c r="H102" s="297"/>
      <c r="I102" s="299"/>
      <c r="J102" s="298"/>
      <c r="K102" s="297"/>
      <c r="L102" s="300"/>
      <c r="M102" s="298"/>
      <c r="N102" s="94"/>
      <c r="O102" s="50"/>
      <c r="P102" s="117">
        <f t="shared" si="15"/>
        <v>0</v>
      </c>
      <c r="Q102" s="94"/>
      <c r="R102" s="50"/>
      <c r="S102" s="117">
        <f t="shared" si="16"/>
        <v>0</v>
      </c>
      <c r="T102" s="94"/>
      <c r="U102" s="50"/>
      <c r="V102" s="117">
        <f t="shared" si="17"/>
        <v>0</v>
      </c>
      <c r="W102" s="94"/>
      <c r="X102" s="50"/>
      <c r="Y102" s="117">
        <f t="shared" si="18"/>
        <v>0</v>
      </c>
      <c r="Z102" s="94"/>
      <c r="AA102" s="50"/>
      <c r="AB102" s="117">
        <f t="shared" si="19"/>
        <v>0</v>
      </c>
      <c r="AC102" s="94"/>
      <c r="AD102" s="50"/>
      <c r="AE102" s="117">
        <f t="shared" si="20"/>
        <v>0</v>
      </c>
      <c r="AF102" s="94"/>
      <c r="AG102" s="50"/>
      <c r="AH102" s="117">
        <f t="shared" si="21"/>
        <v>0</v>
      </c>
      <c r="AI102" s="94"/>
      <c r="AL102" s="94"/>
      <c r="AM102" s="94"/>
      <c r="AN102" s="94"/>
    </row>
    <row r="103" spans="3:40" x14ac:dyDescent="0.25">
      <c r="D103" s="57"/>
      <c r="E103" s="1"/>
      <c r="F103" s="57"/>
      <c r="G103" s="57"/>
      <c r="I103" s="57"/>
      <c r="J103" s="57"/>
      <c r="L103" s="70"/>
      <c r="M103" s="57"/>
      <c r="O103" s="57"/>
      <c r="P103" s="57"/>
      <c r="R103" s="57"/>
      <c r="S103" s="57"/>
      <c r="U103" s="57"/>
      <c r="V103" s="57"/>
      <c r="X103" s="57"/>
      <c r="Y103" s="57"/>
      <c r="AA103" s="57"/>
      <c r="AB103" s="57"/>
      <c r="AD103" s="57"/>
      <c r="AE103" s="57"/>
      <c r="AG103" s="57"/>
      <c r="AH103" s="57"/>
    </row>
  </sheetData>
  <mergeCells count="8">
    <mergeCell ref="AD8:AE8"/>
    <mergeCell ref="AG8:AH8"/>
    <mergeCell ref="L8:M8"/>
    <mergeCell ref="O8:P8"/>
    <mergeCell ref="R8:S8"/>
    <mergeCell ref="U8:V8"/>
    <mergeCell ref="X8:Y8"/>
    <mergeCell ref="AA8:AB8"/>
  </mergeCells>
  <dataValidations count="3">
    <dataValidation type="list" allowBlank="1" showInputMessage="1" showErrorMessage="1" sqref="O9 R9 U9 X9 AA9 AD9 AG9 L9" xr:uid="{00000000-0002-0000-0800-000000000000}">
      <formula1>$AJ$12:$AJ$19</formula1>
    </dataValidation>
    <dataValidation type="list" allowBlank="1" showInputMessage="1" showErrorMessage="1" sqref="AO9" xr:uid="{35EA77BF-855B-450D-AE08-36FF21EF53E1}">
      <formula1>$AR$11:$AT$11</formula1>
    </dataValidation>
    <dataValidation type="list" allowBlank="1" showInputMessage="1" showErrorMessage="1" sqref="AO8" xr:uid="{A89EF1A0-F867-44B1-9492-943872E72338}">
      <formula1>$AQ$8:$AQ$9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O12:O102 R12:R102 U12:U102 X12:X102 AA12:AA102 AD12:AD102 AG12:AG102 I12:I102 L12:L102 F12:F102</xm:sqref>
        </x14:conditionalFormatting>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AS70"/>
  <sheetViews>
    <sheetView showGridLines="0" topLeftCell="A3" zoomScale="70" zoomScaleNormal="70" workbookViewId="0">
      <selection activeCell="A3" sqref="A3"/>
    </sheetView>
  </sheetViews>
  <sheetFormatPr defaultRowHeight="11.5" outlineLevelRow="1" x14ac:dyDescent="0.25"/>
  <cols>
    <col min="1" max="1" width="2.69921875" customWidth="1"/>
    <col min="2" max="2" width="3.19921875" bestFit="1" customWidth="1"/>
    <col min="3" max="3" width="9.8984375" customWidth="1"/>
    <col min="4" max="4" width="14.5" customWidth="1"/>
    <col min="5" max="5" width="15.59765625" bestFit="1" customWidth="1"/>
    <col min="6" max="6" width="13.59765625" bestFit="1" customWidth="1"/>
    <col min="7" max="7" width="16.09765625" bestFit="1" customWidth="1"/>
    <col min="8" max="8" width="18.5" bestFit="1" customWidth="1"/>
    <col min="9" max="9" width="21" bestFit="1" customWidth="1"/>
    <col min="10" max="11" width="14.5" customWidth="1"/>
    <col min="12" max="12" width="16.19921875" customWidth="1"/>
    <col min="13" max="13" width="18.19921875" customWidth="1"/>
    <col min="14" max="14" width="16.69921875" bestFit="1" customWidth="1"/>
    <col min="15" max="15" width="18.8984375" bestFit="1" customWidth="1"/>
    <col min="16" max="16" width="13.19921875" bestFit="1" customWidth="1"/>
    <col min="17" max="17" width="9.59765625" bestFit="1" customWidth="1"/>
    <col min="19" max="19" width="14.69921875" bestFit="1" customWidth="1"/>
    <col min="20" max="20" width="17.5" bestFit="1" customWidth="1"/>
    <col min="21" max="21" width="15.09765625" bestFit="1" customWidth="1"/>
    <col min="22" max="22" width="17.8984375" bestFit="1" customWidth="1"/>
    <col min="24" max="24" width="13.8984375" customWidth="1"/>
    <col min="25" max="25" width="17.69921875" bestFit="1" customWidth="1"/>
    <col min="27" max="27" width="14.8984375" bestFit="1" customWidth="1"/>
    <col min="28" max="28" width="14.8984375" customWidth="1"/>
    <col min="29" max="29" width="8.8984375" customWidth="1"/>
    <col min="31" max="31" width="14" customWidth="1"/>
    <col min="32" max="32" width="13.09765625" bestFit="1" customWidth="1"/>
    <col min="34" max="34" width="9.8984375" bestFit="1" customWidth="1"/>
    <col min="36" max="36" width="12.8984375" bestFit="1" customWidth="1"/>
    <col min="37" max="37" width="13.19921875" bestFit="1" customWidth="1"/>
    <col min="38" max="38" width="10.8984375" bestFit="1" customWidth="1"/>
    <col min="39" max="39" width="11.69921875" bestFit="1" customWidth="1"/>
    <col min="41" max="41" width="17.59765625" bestFit="1" customWidth="1"/>
    <col min="42" max="42" width="11.19921875" bestFit="1" customWidth="1"/>
    <col min="44" max="44" width="14.8984375" bestFit="1" customWidth="1"/>
    <col min="45" max="45" width="11.19921875" bestFit="1" customWidth="1"/>
  </cols>
  <sheetData>
    <row r="1" spans="3:17" ht="11.4" hidden="1" customHeight="1" x14ac:dyDescent="0.25"/>
    <row r="2" spans="3:17" ht="11.4" hidden="1" customHeight="1" x14ac:dyDescent="0.25"/>
    <row r="3" spans="3:17" ht="20" x14ac:dyDescent="0.4">
      <c r="C3" s="171" t="s">
        <v>109</v>
      </c>
    </row>
    <row r="4" spans="3:17" ht="11.4" hidden="1" customHeight="1" x14ac:dyDescent="0.25"/>
    <row r="6" spans="3:17" x14ac:dyDescent="0.25">
      <c r="C6" t="s">
        <v>196</v>
      </c>
      <c r="J6" s="174" t="s">
        <v>113</v>
      </c>
    </row>
    <row r="8" spans="3:17" ht="13.5" x14ac:dyDescent="0.35">
      <c r="C8" t="s">
        <v>68</v>
      </c>
      <c r="L8" s="93"/>
      <c r="M8" s="331"/>
      <c r="N8" s="93"/>
      <c r="O8" s="331"/>
      <c r="P8" s="93"/>
      <c r="Q8" s="93"/>
    </row>
    <row r="9" spans="3:17" ht="13" x14ac:dyDescent="0.3">
      <c r="L9" s="353" t="s">
        <v>1283</v>
      </c>
      <c r="M9" s="213">
        <f>VALUE(LEFT(L9,1))</f>
        <v>1</v>
      </c>
      <c r="N9" s="93"/>
      <c r="O9" s="332"/>
      <c r="P9" s="93"/>
      <c r="Q9" s="113"/>
    </row>
    <row r="10" spans="3:17" x14ac:dyDescent="0.25">
      <c r="C10" t="s">
        <v>61</v>
      </c>
      <c r="L10" s="93"/>
      <c r="M10" s="93"/>
      <c r="N10" s="93"/>
      <c r="O10" s="93"/>
      <c r="P10" s="93"/>
      <c r="Q10" s="113"/>
    </row>
    <row r="11" spans="3:17" x14ac:dyDescent="0.25">
      <c r="L11" s="93"/>
      <c r="M11" s="93"/>
      <c r="N11" s="93"/>
      <c r="O11" s="93"/>
      <c r="P11" s="93"/>
      <c r="Q11" s="113"/>
    </row>
    <row r="12" spans="3:17" ht="13.5" x14ac:dyDescent="0.35">
      <c r="C12" s="39" t="s">
        <v>63</v>
      </c>
      <c r="D12" s="236" t="s">
        <v>199</v>
      </c>
      <c r="E12" s="236"/>
      <c r="F12" s="236"/>
      <c r="G12" s="236"/>
      <c r="H12" s="236"/>
    </row>
    <row r="13" spans="3:17" ht="13.5" x14ac:dyDescent="0.35">
      <c r="C13" s="39" t="s">
        <v>64</v>
      </c>
      <c r="D13" s="236" t="s">
        <v>200</v>
      </c>
      <c r="E13" s="236"/>
      <c r="F13" s="236"/>
      <c r="G13" s="236"/>
      <c r="H13" s="236"/>
    </row>
    <row r="15" spans="3:17" ht="11.4" hidden="1" customHeight="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7" ht="11.4" hidden="1" customHeight="1" outlineLevel="1" x14ac:dyDescent="0.25"/>
    <row r="17" spans="1:30" ht="15" hidden="1" customHeight="1" outlineLevel="1" x14ac:dyDescent="0.35">
      <c r="C17" s="62" t="s">
        <v>65</v>
      </c>
      <c r="D17" s="210"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313"/>
      <c r="F17" s="313"/>
      <c r="G17" s="313"/>
      <c r="H17" s="313"/>
      <c r="I17" s="211"/>
    </row>
    <row r="18" spans="1:30" ht="15" hidden="1" customHeight="1" outlineLevel="1" x14ac:dyDescent="0.35">
      <c r="C18" s="62" t="s">
        <v>66</v>
      </c>
      <c r="D18" s="210"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313"/>
      <c r="F18" s="313"/>
      <c r="G18" s="313"/>
      <c r="H18" s="313"/>
      <c r="I18" s="211"/>
    </row>
    <row r="19" spans="1:30" ht="11.4" hidden="1" customHeight="1" outlineLevel="1" x14ac:dyDescent="0.25">
      <c r="C19" s="39"/>
    </row>
    <row r="20" spans="1:30" ht="15" hidden="1" customHeight="1" outlineLevel="1" x14ac:dyDescent="0.35">
      <c r="C20" t="s">
        <v>82</v>
      </c>
      <c r="J20" t="s">
        <v>83</v>
      </c>
      <c r="K20" s="212" t="str">
        <f>'General inputs'!I16</f>
        <v>2022-23</v>
      </c>
      <c r="L20" s="213" t="str">
        <f>LEFT(K20,4)+'General inputs'!$H$38-1&amp;"-"&amp;RIGHT(K20,2)+'General inputs'!$H$38-1</f>
        <v>2051-52</v>
      </c>
    </row>
    <row r="21" spans="1:30" ht="11.4" hidden="1" customHeight="1" outlineLevel="1" x14ac:dyDescent="0.25">
      <c r="C21" s="39"/>
    </row>
    <row r="22" spans="1:30" ht="11.4" hidden="1" customHeight="1" outlineLevel="1" x14ac:dyDescent="0.25">
      <c r="C22" s="87" t="s">
        <v>129</v>
      </c>
    </row>
    <row r="23" spans="1:30" ht="11.4" hidden="1" customHeight="1" outlineLevel="1" x14ac:dyDescent="0.25">
      <c r="C23" s="87"/>
      <c r="D23" s="87" t="s">
        <v>130</v>
      </c>
      <c r="E23" s="87"/>
      <c r="F23" s="87"/>
      <c r="G23" s="87"/>
      <c r="H23" s="87"/>
    </row>
    <row r="24" spans="1:30" ht="11.4" hidden="1" customHeight="1" outlineLevel="1" x14ac:dyDescent="0.25">
      <c r="C24" s="87"/>
      <c r="D24" s="87"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c r="E24" s="87"/>
      <c r="F24" s="87"/>
      <c r="G24" s="87"/>
      <c r="H24" s="87"/>
    </row>
    <row r="25" spans="1:30" ht="11.4" hidden="1" customHeight="1" outlineLevel="1" x14ac:dyDescent="0.25">
      <c r="C25" s="87"/>
      <c r="D25" s="87" t="s">
        <v>248</v>
      </c>
      <c r="E25" s="87"/>
      <c r="F25" s="87"/>
      <c r="G25" s="87"/>
      <c r="H25" s="87"/>
    </row>
    <row r="26" spans="1:30" ht="11.4" hidden="1" customHeight="1" outlineLevel="1" x14ac:dyDescent="0.25">
      <c r="C26" s="87"/>
      <c r="D26" s="253" t="s">
        <v>250</v>
      </c>
      <c r="E26" s="253"/>
      <c r="F26" s="253"/>
      <c r="G26" s="253"/>
      <c r="H26" s="253"/>
    </row>
    <row r="27" spans="1:30" ht="11.4" hidden="1" customHeight="1" outlineLevel="1" x14ac:dyDescent="0.25">
      <c r="C27" s="87"/>
      <c r="D27" s="253" t="s">
        <v>249</v>
      </c>
      <c r="E27" s="253"/>
      <c r="F27" s="253"/>
      <c r="G27" s="253"/>
      <c r="H27" s="253"/>
    </row>
    <row r="28" spans="1:30" ht="11.4" hidden="1" customHeight="1" outlineLevel="1" x14ac:dyDescent="0.25">
      <c r="C28" s="87"/>
      <c r="D28" s="87" t="s">
        <v>251</v>
      </c>
      <c r="E28" s="87"/>
      <c r="F28" s="87"/>
      <c r="G28" s="87"/>
      <c r="H28" s="87"/>
    </row>
    <row r="29" spans="1:30" ht="11.4" hidden="1" customHeight="1" outlineLevel="1" x14ac:dyDescent="0.25">
      <c r="C29" s="87"/>
      <c r="D29" s="253" t="s">
        <v>252</v>
      </c>
      <c r="E29" s="253"/>
      <c r="F29" s="253"/>
      <c r="G29" s="253"/>
      <c r="H29" s="253"/>
    </row>
    <row r="30" spans="1:30" ht="11.4" hidden="1" customHeight="1" outlineLevel="1" x14ac:dyDescent="0.25">
      <c r="C30" s="87"/>
      <c r="D30" s="253" t="s">
        <v>253</v>
      </c>
      <c r="E30" s="253"/>
      <c r="F30" s="253"/>
      <c r="G30" s="253"/>
      <c r="H30" s="253"/>
    </row>
    <row r="31" spans="1:30" ht="11.4" hidden="1" customHeight="1" outlineLevel="1" x14ac:dyDescent="0.25"/>
    <row r="32" spans="1:30" collapsed="1" x14ac:dyDescent="0.25">
      <c r="A32" s="83"/>
      <c r="B32" s="83"/>
      <c r="C32" s="83" t="s">
        <v>70</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4" spans="2:45" x14ac:dyDescent="0.25">
      <c r="L34" s="1"/>
      <c r="M34" s="354"/>
      <c r="N34" s="351"/>
      <c r="O34" s="351"/>
    </row>
    <row r="35" spans="2:45" x14ac:dyDescent="0.25">
      <c r="L35" s="1"/>
      <c r="M35" s="1"/>
      <c r="N35" s="355"/>
      <c r="O35" s="352"/>
      <c r="R35" s="335" t="s">
        <v>1254</v>
      </c>
      <c r="S35" s="358">
        <v>0.10807783341242876</v>
      </c>
      <c r="T35" t="s">
        <v>1282</v>
      </c>
    </row>
    <row r="36" spans="2:45" ht="12" thickBot="1" x14ac:dyDescent="0.3">
      <c r="C36" s="58"/>
      <c r="Q36" s="93"/>
      <c r="R36" s="356"/>
      <c r="S36" s="357"/>
      <c r="T36" s="93"/>
    </row>
    <row r="37" spans="2:45" ht="13" thickBot="1" x14ac:dyDescent="0.3">
      <c r="D37" s="58" t="s">
        <v>273</v>
      </c>
      <c r="E37" s="58"/>
      <c r="F37" s="58"/>
      <c r="G37" s="58"/>
      <c r="H37" s="58"/>
      <c r="L37" s="388" t="s">
        <v>1076</v>
      </c>
      <c r="M37" s="389"/>
      <c r="N37" s="388" t="s">
        <v>1077</v>
      </c>
      <c r="O37" s="390"/>
      <c r="P37" s="389"/>
      <c r="R37" s="305"/>
      <c r="S37" s="391" t="s">
        <v>1267</v>
      </c>
      <c r="T37" s="391"/>
      <c r="U37" s="391"/>
      <c r="V37" s="391"/>
      <c r="W37" s="305"/>
      <c r="X37" s="391" t="s">
        <v>1268</v>
      </c>
      <c r="Y37" s="391"/>
      <c r="Z37" s="305"/>
      <c r="AA37" s="387" t="s">
        <v>1269</v>
      </c>
      <c r="AB37" s="387"/>
      <c r="AD37" s="305"/>
      <c r="AE37" s="305"/>
      <c r="AF37" s="305"/>
      <c r="AG37" s="305"/>
      <c r="AH37" s="310"/>
      <c r="AI37" s="305"/>
      <c r="AJ37" s="305"/>
      <c r="AK37" s="305"/>
      <c r="AL37" s="305"/>
      <c r="AM37" s="305"/>
      <c r="AN37" s="305"/>
      <c r="AR37" s="305"/>
      <c r="AS37" s="305"/>
    </row>
    <row r="38" spans="2:45" ht="13" thickBot="1" x14ac:dyDescent="0.3">
      <c r="C38" s="316"/>
      <c r="D38" s="314" t="s">
        <v>1247</v>
      </c>
      <c r="E38" s="314" t="s">
        <v>1248</v>
      </c>
      <c r="F38" s="314" t="s">
        <v>1249</v>
      </c>
      <c r="G38" s="314" t="s">
        <v>1250</v>
      </c>
      <c r="H38" s="314" t="s">
        <v>1251</v>
      </c>
      <c r="I38" s="314" t="s">
        <v>1252</v>
      </c>
      <c r="J38" s="314" t="s">
        <v>1253</v>
      </c>
      <c r="L38" s="306" t="s">
        <v>275</v>
      </c>
      <c r="M38" s="307" t="s">
        <v>276</v>
      </c>
      <c r="N38" s="306" t="s">
        <v>278</v>
      </c>
      <c r="O38" s="308" t="s">
        <v>277</v>
      </c>
      <c r="P38" s="309" t="s">
        <v>274</v>
      </c>
      <c r="R38" s="305"/>
      <c r="S38" s="336" t="s">
        <v>1255</v>
      </c>
      <c r="T38" s="336" t="s">
        <v>1256</v>
      </c>
      <c r="U38" s="336" t="s">
        <v>1257</v>
      </c>
      <c r="V38" s="336" t="s">
        <v>1258</v>
      </c>
      <c r="W38" s="305"/>
      <c r="X38" s="337" t="s">
        <v>1270</v>
      </c>
      <c r="Y38" s="337" t="s">
        <v>1271</v>
      </c>
      <c r="Z38" s="305"/>
      <c r="AA38" s="337" t="s">
        <v>1261</v>
      </c>
      <c r="AB38" s="337" t="s">
        <v>1272</v>
      </c>
      <c r="AD38" s="305"/>
      <c r="AE38" s="317"/>
      <c r="AF38" s="317"/>
      <c r="AG38" s="305"/>
      <c r="AH38" s="310"/>
      <c r="AI38" s="305"/>
      <c r="AJ38" s="305"/>
      <c r="AK38" s="305"/>
      <c r="AL38" s="305"/>
      <c r="AM38" s="305"/>
      <c r="AN38" s="305"/>
      <c r="AO38" s="305"/>
      <c r="AP38" s="305"/>
      <c r="AR38" s="305"/>
      <c r="AS38" s="305"/>
    </row>
    <row r="39" spans="2:45" x14ac:dyDescent="0.25">
      <c r="B39">
        <v>0</v>
      </c>
      <c r="C39" s="49" t="str">
        <f>'General inputs'!I16</f>
        <v>2022-23</v>
      </c>
      <c r="D39" s="315">
        <f t="shared" ref="D39:D68" si="0">S39*$AB39</f>
        <v>0</v>
      </c>
      <c r="E39" s="315">
        <f>$L39*(1+$S$35)*T39</f>
        <v>0</v>
      </c>
      <c r="F39" s="315">
        <f t="shared" ref="F39:F68" si="1">U39*$AB39</f>
        <v>0</v>
      </c>
      <c r="G39" s="315">
        <f>$L39*(1+$S$35)*V39</f>
        <v>29769.694530923101</v>
      </c>
      <c r="H39" s="315">
        <f t="shared" ref="H39:H68" si="2">X39*AA39*AB39</f>
        <v>594316.34034692647</v>
      </c>
      <c r="I39" s="315">
        <f>L39*(1+$S$35)*Y39</f>
        <v>65755.630963218093</v>
      </c>
      <c r="J39" s="315">
        <f t="shared" ref="J39:J68" si="3">SUM(D39:I39)</f>
        <v>689841.66584106768</v>
      </c>
      <c r="L39" s="333">
        <v>802133.70222785929</v>
      </c>
      <c r="M39" s="311">
        <v>10473.9275</v>
      </c>
      <c r="N39" s="365">
        <v>2005334.2555696482</v>
      </c>
      <c r="O39" s="366">
        <v>444199.26527499995</v>
      </c>
      <c r="P39" s="312">
        <f>N39+O39</f>
        <v>2449533.5208446481</v>
      </c>
      <c r="R39" s="49" t="str">
        <f t="shared" ref="R39:R68" si="4">C39</f>
        <v>2022-23</v>
      </c>
      <c r="S39" s="359">
        <v>0</v>
      </c>
      <c r="T39" s="360">
        <v>0</v>
      </c>
      <c r="U39" s="359">
        <v>0</v>
      </c>
      <c r="V39" s="360">
        <v>3.3493254333916665E-2</v>
      </c>
      <c r="W39" s="344"/>
      <c r="X39" s="361">
        <v>358272132.773</v>
      </c>
      <c r="Y39" s="362">
        <v>7.3980271092487365E-2</v>
      </c>
      <c r="AA39" s="363">
        <v>0.36195700220452565</v>
      </c>
      <c r="AB39" s="363">
        <v>4.5829768063609761E-3</v>
      </c>
      <c r="AE39" s="318"/>
      <c r="AF39" s="318"/>
      <c r="AH39" s="319"/>
      <c r="AJ39" s="318"/>
      <c r="AK39" s="318"/>
      <c r="AL39" s="318"/>
      <c r="AM39" s="318"/>
      <c r="AO39" s="320"/>
      <c r="AP39" s="320"/>
      <c r="AR39" s="321"/>
      <c r="AS39" s="321"/>
    </row>
    <row r="40" spans="2:45" x14ac:dyDescent="0.25">
      <c r="B40">
        <f>B39+1</f>
        <v>1</v>
      </c>
      <c r="C40" t="str">
        <f ca="1">OFFSET('MP Calculations'!$D$38,MATCH($C$39,'MP Calculations'!$D$39:$D$129)+'Reduction amount'!B40,)</f>
        <v>2023-24</v>
      </c>
      <c r="D40" s="315">
        <f t="shared" si="0"/>
        <v>591975.0412136513</v>
      </c>
      <c r="E40" s="315">
        <f t="shared" ref="E40:E68" si="5">$L40*(1+$S$35)*T40</f>
        <v>170347.34674667704</v>
      </c>
      <c r="F40" s="315">
        <f t="shared" si="1"/>
        <v>235384.53103091905</v>
      </c>
      <c r="G40" s="315">
        <f t="shared" ref="G40:G68" si="6">$L40*(1+$S$35)*V40</f>
        <v>77215.410466812245</v>
      </c>
      <c r="H40" s="315">
        <f t="shared" si="2"/>
        <v>1505771.7480108766</v>
      </c>
      <c r="I40" s="315">
        <f t="shared" ref="I40:I68" si="7">L40*(1+$S$35)*Y40</f>
        <v>169736.16198711851</v>
      </c>
      <c r="J40" s="315">
        <f t="shared" si="3"/>
        <v>2750430.2394560548</v>
      </c>
      <c r="L40" s="333">
        <v>2018989.3434576094</v>
      </c>
      <c r="M40" s="311">
        <v>22096.54</v>
      </c>
      <c r="N40" s="365">
        <v>5047473.3586440235</v>
      </c>
      <c r="O40" s="366">
        <v>937114.26139999996</v>
      </c>
      <c r="P40" s="312">
        <f t="shared" ref="P40:P68" si="8">N40+O40</f>
        <v>5984587.6200440237</v>
      </c>
      <c r="R40" s="49" t="str">
        <f t="shared" ca="1" si="4"/>
        <v>2023-24</v>
      </c>
      <c r="S40" s="359">
        <v>51674639.033330962</v>
      </c>
      <c r="T40" s="360">
        <v>7.6143192154016229E-2</v>
      </c>
      <c r="U40" s="359">
        <v>20547168.086876664</v>
      </c>
      <c r="V40" s="360">
        <v>3.4514349349796442E-2</v>
      </c>
      <c r="W40" s="344"/>
      <c r="X40" s="359">
        <v>363773601.523</v>
      </c>
      <c r="Y40" s="364">
        <v>7.5870000000000021E-2</v>
      </c>
      <c r="AA40" s="363">
        <v>0.36132833497904554</v>
      </c>
      <c r="AB40" s="363">
        <v>1.1455813766436142E-2</v>
      </c>
      <c r="AE40" s="318"/>
      <c r="AF40" s="318"/>
      <c r="AH40" s="319"/>
      <c r="AJ40" s="318"/>
      <c r="AK40" s="318"/>
      <c r="AL40" s="318"/>
      <c r="AM40" s="318"/>
      <c r="AO40" s="320"/>
      <c r="AP40" s="320"/>
      <c r="AR40" s="321"/>
      <c r="AS40" s="321"/>
    </row>
    <row r="41" spans="2:45" x14ac:dyDescent="0.25">
      <c r="B41">
        <f t="shared" ref="B41:B68" si="9">B40+1</f>
        <v>2</v>
      </c>
      <c r="C41" t="str">
        <f ca="1">OFFSET('MP Calculations'!$D$38,MATCH($C$39,'MP Calculations'!$D$39:$D$129)+'Reduction amount'!B41,)</f>
        <v>2024-25</v>
      </c>
      <c r="D41" s="315">
        <f t="shared" si="0"/>
        <v>1039628.2687014798</v>
      </c>
      <c r="E41" s="315">
        <f t="shared" si="5"/>
        <v>298502.82411273045</v>
      </c>
      <c r="F41" s="315">
        <f t="shared" si="1"/>
        <v>394156.22257200815</v>
      </c>
      <c r="G41" s="315">
        <f t="shared" si="6"/>
        <v>128140.33175407011</v>
      </c>
      <c r="H41" s="315">
        <f t="shared" si="2"/>
        <v>2469678.1458350937</v>
      </c>
      <c r="I41" s="315">
        <f t="shared" si="7"/>
        <v>281199.9309872489</v>
      </c>
      <c r="J41" s="315">
        <f t="shared" si="3"/>
        <v>4611305.7239626311</v>
      </c>
      <c r="L41" s="333">
        <v>3344836.2293437347</v>
      </c>
      <c r="M41" s="311">
        <v>33376.78</v>
      </c>
      <c r="N41" s="365">
        <v>8127952.0373052759</v>
      </c>
      <c r="O41" s="366">
        <v>1377459.7106000001</v>
      </c>
      <c r="P41" s="312">
        <f t="shared" si="8"/>
        <v>9505411.7479052767</v>
      </c>
      <c r="R41" s="49" t="str">
        <f t="shared" ca="1" si="4"/>
        <v>2024-25</v>
      </c>
      <c r="S41" s="359">
        <v>55190741.536353089</v>
      </c>
      <c r="T41" s="360">
        <v>8.0538459543433583E-2</v>
      </c>
      <c r="U41" s="359">
        <v>20924569.733071938</v>
      </c>
      <c r="V41" s="360">
        <v>3.4573290740324357E-2</v>
      </c>
      <c r="W41" s="344"/>
      <c r="X41" s="359">
        <v>363773601.523</v>
      </c>
      <c r="Y41" s="364">
        <v>7.5870000000000007E-2</v>
      </c>
      <c r="AA41" s="363">
        <v>0.36041041134295321</v>
      </c>
      <c r="AB41" s="363">
        <v>1.8837004899031777E-2</v>
      </c>
      <c r="AE41" s="318"/>
      <c r="AF41" s="318"/>
      <c r="AH41" s="319"/>
      <c r="AJ41" s="318"/>
      <c r="AK41" s="318"/>
      <c r="AL41" s="318"/>
      <c r="AM41" s="318"/>
      <c r="AO41" s="320"/>
      <c r="AP41" s="320"/>
      <c r="AR41" s="321"/>
      <c r="AS41" s="321"/>
    </row>
    <row r="42" spans="2:45" x14ac:dyDescent="0.25">
      <c r="B42">
        <f t="shared" si="9"/>
        <v>3</v>
      </c>
      <c r="C42" t="str">
        <f ca="1">OFFSET('MP Calculations'!$D$38,MATCH($C$39,'MP Calculations'!$D$39:$D$129)+'Reduction amount'!B42,)</f>
        <v>2025-26</v>
      </c>
      <c r="D42" s="315">
        <f t="shared" si="0"/>
        <v>1496068.7610040922</v>
      </c>
      <c r="E42" s="315">
        <f t="shared" si="5"/>
        <v>429435.15170423297</v>
      </c>
      <c r="F42" s="315">
        <f t="shared" si="1"/>
        <v>538814.61053093581</v>
      </c>
      <c r="G42" s="315">
        <f t="shared" si="6"/>
        <v>191664.70342654936</v>
      </c>
      <c r="H42" s="315">
        <f t="shared" si="2"/>
        <v>3658029.9893009569</v>
      </c>
      <c r="I42" s="315">
        <f t="shared" si="7"/>
        <v>421120.0284306184</v>
      </c>
      <c r="J42" s="315">
        <f t="shared" si="3"/>
        <v>6735133.244397385</v>
      </c>
      <c r="L42" s="333">
        <v>5009167.4028926715</v>
      </c>
      <c r="M42" s="311">
        <v>46314.205000000002</v>
      </c>
      <c r="N42" s="365">
        <v>12172276.789029192</v>
      </c>
      <c r="O42" s="366">
        <v>1911387.2403500003</v>
      </c>
      <c r="P42" s="312">
        <f t="shared" si="8"/>
        <v>14083664.029379193</v>
      </c>
      <c r="R42" s="49" t="str">
        <f t="shared" ca="1" si="4"/>
        <v>2025-26</v>
      </c>
      <c r="S42" s="359">
        <v>53530423.938276947</v>
      </c>
      <c r="T42" s="360">
        <v>7.7368072663796555E-2</v>
      </c>
      <c r="U42" s="359">
        <v>19279177.052330472</v>
      </c>
      <c r="V42" s="360">
        <v>3.4530775235659686E-2</v>
      </c>
      <c r="W42" s="344"/>
      <c r="X42" s="359">
        <v>363773601.523</v>
      </c>
      <c r="Y42" s="364">
        <v>7.5870000000000007E-2</v>
      </c>
      <c r="AA42" s="363">
        <v>0.35980335610946085</v>
      </c>
      <c r="AB42" s="363">
        <v>2.7948008831933196E-2</v>
      </c>
      <c r="AE42" s="318"/>
      <c r="AF42" s="318"/>
      <c r="AH42" s="319"/>
      <c r="AJ42" s="318"/>
      <c r="AK42" s="318"/>
      <c r="AL42" s="318"/>
      <c r="AM42" s="318"/>
      <c r="AO42" s="320"/>
      <c r="AP42" s="320"/>
      <c r="AR42" s="321"/>
      <c r="AS42" s="321"/>
    </row>
    <row r="43" spans="2:45" x14ac:dyDescent="0.25">
      <c r="B43">
        <f t="shared" si="9"/>
        <v>4</v>
      </c>
      <c r="C43" t="str">
        <f ca="1">OFFSET('MP Calculations'!$D$38,MATCH($C$39,'MP Calculations'!$D$39:$D$129)+'Reduction amount'!B43,)</f>
        <v>2026-27</v>
      </c>
      <c r="D43" s="315">
        <f t="shared" si="0"/>
        <v>2082561.6450078159</v>
      </c>
      <c r="E43" s="315">
        <f t="shared" si="5"/>
        <v>566366.12821479014</v>
      </c>
      <c r="F43" s="315">
        <f t="shared" si="1"/>
        <v>706068.43608466419</v>
      </c>
      <c r="G43" s="315">
        <f t="shared" si="6"/>
        <v>251259.43506436143</v>
      </c>
      <c r="H43" s="315">
        <f t="shared" si="2"/>
        <v>4742627.1960655646</v>
      </c>
      <c r="I43" s="315">
        <f t="shared" si="7"/>
        <v>551956.35633339663</v>
      </c>
      <c r="J43" s="315">
        <f t="shared" si="3"/>
        <v>8900839.1967705935</v>
      </c>
      <c r="L43" s="333">
        <v>6565448.3313661339</v>
      </c>
      <c r="M43" s="311">
        <v>58059.942499999997</v>
      </c>
      <c r="N43" s="365">
        <v>15954039.445219707</v>
      </c>
      <c r="O43" s="366">
        <v>2396133.8269750001</v>
      </c>
      <c r="P43" s="312">
        <f t="shared" si="8"/>
        <v>18350173.272194706</v>
      </c>
      <c r="R43" s="49" t="str">
        <f t="shared" ca="1" si="4"/>
        <v>2026-27</v>
      </c>
      <c r="S43" s="359">
        <v>57345967.391895421</v>
      </c>
      <c r="T43" s="360">
        <v>7.7850717098547115E-2</v>
      </c>
      <c r="U43" s="359">
        <v>19442486.905114297</v>
      </c>
      <c r="V43" s="360">
        <v>3.4537247591399235E-2</v>
      </c>
      <c r="W43" s="344"/>
      <c r="X43" s="359">
        <v>363773601.523</v>
      </c>
      <c r="Y43" s="364">
        <v>7.5869999999999993E-2</v>
      </c>
      <c r="AA43" s="363">
        <v>0.35899865821355997</v>
      </c>
      <c r="AB43" s="363">
        <v>3.6315747030228662E-2</v>
      </c>
      <c r="AE43" s="318"/>
      <c r="AF43" s="318"/>
      <c r="AH43" s="319"/>
      <c r="AJ43" s="318"/>
      <c r="AK43" s="318"/>
      <c r="AL43" s="318"/>
      <c r="AM43" s="318"/>
      <c r="AO43" s="320"/>
      <c r="AP43" s="320"/>
      <c r="AR43" s="321"/>
      <c r="AS43" s="321"/>
    </row>
    <row r="44" spans="2:45" x14ac:dyDescent="0.25">
      <c r="B44">
        <f t="shared" si="9"/>
        <v>5</v>
      </c>
      <c r="C44" t="str">
        <f ca="1">OFFSET('MP Calculations'!$D$38,MATCH($C$39,'MP Calculations'!$D$39:$D$129)+'Reduction amount'!B44,)</f>
        <v>2027-28</v>
      </c>
      <c r="D44" s="315">
        <f t="shared" si="0"/>
        <v>2663373.510765072</v>
      </c>
      <c r="E44" s="315">
        <f t="shared" si="5"/>
        <v>723388.6873857599</v>
      </c>
      <c r="F44" s="315">
        <f t="shared" si="1"/>
        <v>765920.93920336221</v>
      </c>
      <c r="G44" s="315">
        <f t="shared" si="6"/>
        <v>304954.27904969186</v>
      </c>
      <c r="H44" s="315">
        <f t="shared" si="2"/>
        <v>5688201.279508844</v>
      </c>
      <c r="I44" s="315">
        <f t="shared" si="7"/>
        <v>668817.7423052995</v>
      </c>
      <c r="J44" s="315">
        <f t="shared" si="3"/>
        <v>10814656.438218029</v>
      </c>
      <c r="L44" s="333">
        <v>7955499.1618831102</v>
      </c>
      <c r="M44" s="311">
        <v>68575.432499999995</v>
      </c>
      <c r="N44" s="365">
        <v>19331862.96337596</v>
      </c>
      <c r="O44" s="366">
        <v>2830108.0992749999</v>
      </c>
      <c r="P44" s="312">
        <f t="shared" si="8"/>
        <v>22161971.06265096</v>
      </c>
      <c r="R44" s="49" t="str">
        <f t="shared" ca="1" si="4"/>
        <v>2027-28</v>
      </c>
      <c r="S44" s="359">
        <v>60990262.098359771</v>
      </c>
      <c r="T44" s="360">
        <v>8.2060472144150437E-2</v>
      </c>
      <c r="U44" s="359">
        <v>17539304.434703983</v>
      </c>
      <c r="V44" s="360">
        <v>3.4593701225316312E-2</v>
      </c>
      <c r="W44" s="344"/>
      <c r="X44" s="359">
        <v>363773601.523</v>
      </c>
      <c r="Y44" s="364">
        <v>7.5870000000000021E-2</v>
      </c>
      <c r="AA44" s="363">
        <v>0.35807351502993862</v>
      </c>
      <c r="AB44" s="363">
        <v>4.3668832025509509E-2</v>
      </c>
      <c r="AE44" s="318"/>
      <c r="AF44" s="318"/>
      <c r="AH44" s="319"/>
      <c r="AJ44" s="318"/>
      <c r="AK44" s="318"/>
      <c r="AL44" s="318"/>
      <c r="AM44" s="318"/>
      <c r="AO44" s="320"/>
      <c r="AP44" s="320"/>
      <c r="AR44" s="321"/>
      <c r="AS44" s="321"/>
    </row>
    <row r="45" spans="2:45" x14ac:dyDescent="0.25">
      <c r="B45">
        <f t="shared" si="9"/>
        <v>6</v>
      </c>
      <c r="C45" t="str">
        <f ca="1">OFFSET('MP Calculations'!$D$38,MATCH($C$39,'MP Calculations'!$D$39:$D$129)+'Reduction amount'!B45,)</f>
        <v>2028-29</v>
      </c>
      <c r="D45" s="315">
        <f t="shared" si="0"/>
        <v>3084646.8189206803</v>
      </c>
      <c r="E45" s="315">
        <f t="shared" si="5"/>
        <v>836017.4640936295</v>
      </c>
      <c r="F45" s="315">
        <f t="shared" si="1"/>
        <v>869173.08414318692</v>
      </c>
      <c r="G45" s="315">
        <f t="shared" si="6"/>
        <v>352108.73471021937</v>
      </c>
      <c r="H45" s="315">
        <f t="shared" si="2"/>
        <v>6506212.4459299538</v>
      </c>
      <c r="I45" s="315">
        <f t="shared" si="7"/>
        <v>772212.18872636277</v>
      </c>
      <c r="J45" s="315">
        <f t="shared" si="3"/>
        <v>12420370.736524031</v>
      </c>
      <c r="L45" s="333">
        <v>9185362.5160024781</v>
      </c>
      <c r="M45" s="311">
        <v>77999.360000000001</v>
      </c>
      <c r="N45" s="365">
        <v>22320430.913886022</v>
      </c>
      <c r="O45" s="366">
        <v>3219033.5872000004</v>
      </c>
      <c r="P45" s="312">
        <f t="shared" si="8"/>
        <v>25539464.501086023</v>
      </c>
      <c r="R45" s="49" t="str">
        <f t="shared" ca="1" si="4"/>
        <v>2028-29</v>
      </c>
      <c r="S45" s="359">
        <v>61592385.506181039</v>
      </c>
      <c r="T45" s="360">
        <v>8.2138880901891503E-2</v>
      </c>
      <c r="U45" s="359">
        <v>17355129.067539483</v>
      </c>
      <c r="V45" s="360">
        <v>3.4594752702007348E-2</v>
      </c>
      <c r="W45" s="344"/>
      <c r="X45" s="359">
        <v>363773601.523</v>
      </c>
      <c r="Y45" s="364">
        <v>7.5870000000000007E-2</v>
      </c>
      <c r="AA45" s="363">
        <v>0.35712367257535238</v>
      </c>
      <c r="AB45" s="363">
        <v>5.0081626057674349E-2</v>
      </c>
      <c r="AE45" s="318"/>
      <c r="AF45" s="318"/>
      <c r="AH45" s="319"/>
      <c r="AJ45" s="318"/>
      <c r="AK45" s="318"/>
      <c r="AL45" s="318"/>
      <c r="AM45" s="318"/>
      <c r="AO45" s="320"/>
      <c r="AP45" s="320"/>
      <c r="AR45" s="321"/>
      <c r="AS45" s="321"/>
    </row>
    <row r="46" spans="2:45" x14ac:dyDescent="0.25">
      <c r="B46">
        <f t="shared" si="9"/>
        <v>7</v>
      </c>
      <c r="C46" t="str">
        <f ca="1">OFFSET('MP Calculations'!$D$38,MATCH($C$39,'MP Calculations'!$D$39:$D$129)+'Reduction amount'!B46,)</f>
        <v>2029-30</v>
      </c>
      <c r="D46" s="315">
        <f t="shared" si="0"/>
        <v>3514627.7571320329</v>
      </c>
      <c r="E46" s="315">
        <f t="shared" si="5"/>
        <v>950150.96969262022</v>
      </c>
      <c r="F46" s="315">
        <f t="shared" si="1"/>
        <v>957162.95412188827</v>
      </c>
      <c r="G46" s="315">
        <f t="shared" si="6"/>
        <v>396424.57019518339</v>
      </c>
      <c r="H46" s="315">
        <f t="shared" si="2"/>
        <v>7257069.1142759714</v>
      </c>
      <c r="I46" s="315">
        <f t="shared" si="7"/>
        <v>869130.79171148781</v>
      </c>
      <c r="J46" s="315">
        <f t="shared" si="3"/>
        <v>13944566.157129183</v>
      </c>
      <c r="L46" s="333">
        <v>10338196.563378995</v>
      </c>
      <c r="M46" s="311">
        <v>86822.662500000006</v>
      </c>
      <c r="N46" s="365">
        <v>25121817.64901096</v>
      </c>
      <c r="O46" s="366">
        <v>3583171.2813750007</v>
      </c>
      <c r="P46" s="312">
        <f t="shared" si="8"/>
        <v>28704988.930385962</v>
      </c>
      <c r="R46" s="49" t="str">
        <f t="shared" ca="1" si="4"/>
        <v>2029-30</v>
      </c>
      <c r="S46" s="359">
        <v>62744216.541016147</v>
      </c>
      <c r="T46" s="360">
        <v>8.2942584428085775E-2</v>
      </c>
      <c r="U46" s="359">
        <v>17087567.676717218</v>
      </c>
      <c r="V46" s="360">
        <v>3.4605530522605954E-2</v>
      </c>
      <c r="W46" s="344"/>
      <c r="X46" s="359">
        <v>363773601.523</v>
      </c>
      <c r="Y46" s="364">
        <v>7.5870000000000021E-2</v>
      </c>
      <c r="AA46" s="363">
        <v>0.35614302700704342</v>
      </c>
      <c r="AB46" s="363">
        <v>5.6015166829511798E-2</v>
      </c>
      <c r="AE46" s="318"/>
      <c r="AF46" s="318"/>
      <c r="AH46" s="319"/>
      <c r="AJ46" s="318"/>
      <c r="AK46" s="318"/>
      <c r="AL46" s="318"/>
      <c r="AM46" s="318"/>
      <c r="AO46" s="320"/>
      <c r="AP46" s="320"/>
      <c r="AR46" s="321"/>
      <c r="AS46" s="321"/>
    </row>
    <row r="47" spans="2:45" x14ac:dyDescent="0.25">
      <c r="B47">
        <f t="shared" si="9"/>
        <v>8</v>
      </c>
      <c r="C47" t="str">
        <f ca="1">OFFSET('MP Calculations'!$D$38,MATCH($C$39,'MP Calculations'!$D$39:$D$129)+'Reduction amount'!B47,)</f>
        <v>2030-31</v>
      </c>
      <c r="D47" s="315">
        <f t="shared" si="0"/>
        <v>3926558.9091952452</v>
      </c>
      <c r="E47" s="315">
        <f t="shared" si="5"/>
        <v>1058506.2474822174</v>
      </c>
      <c r="F47" s="315">
        <f t="shared" si="1"/>
        <v>1039425.6025686472</v>
      </c>
      <c r="G47" s="315">
        <f t="shared" si="6"/>
        <v>438256.17995489552</v>
      </c>
      <c r="H47" s="315">
        <f t="shared" si="2"/>
        <v>7950578.6973922858</v>
      </c>
      <c r="I47" s="315">
        <f t="shared" si="7"/>
        <v>960597.57286940468</v>
      </c>
      <c r="J47" s="315">
        <f t="shared" si="3"/>
        <v>15373923.209462695</v>
      </c>
      <c r="L47" s="333">
        <v>11426181.906491786</v>
      </c>
      <c r="M47" s="311">
        <v>95079.904999999999</v>
      </c>
      <c r="N47" s="365">
        <v>27765622.032775041</v>
      </c>
      <c r="O47" s="366">
        <v>3923947.6793500003</v>
      </c>
      <c r="P47" s="312">
        <f t="shared" si="8"/>
        <v>31689569.712125041</v>
      </c>
      <c r="R47" s="49" t="str">
        <f t="shared" ca="1" si="4"/>
        <v>2030-31</v>
      </c>
      <c r="S47" s="359">
        <v>63797371.386975981</v>
      </c>
      <c r="T47" s="360">
        <v>8.3603031347023848E-2</v>
      </c>
      <c r="U47" s="359">
        <v>16888227.7662795</v>
      </c>
      <c r="V47" s="360">
        <v>3.4614387244239278E-2</v>
      </c>
      <c r="W47" s="344"/>
      <c r="X47" s="359">
        <v>363773601.523</v>
      </c>
      <c r="Y47" s="364">
        <v>7.5870000000000021E-2</v>
      </c>
      <c r="AA47" s="363">
        <v>0.35510617838685754</v>
      </c>
      <c r="AB47" s="363">
        <v>6.1547346290772707E-2</v>
      </c>
      <c r="AE47" s="318"/>
      <c r="AF47" s="318"/>
      <c r="AH47" s="319"/>
      <c r="AJ47" s="318"/>
      <c r="AK47" s="318"/>
      <c r="AL47" s="318"/>
      <c r="AM47" s="318"/>
      <c r="AO47" s="320"/>
      <c r="AP47" s="320"/>
      <c r="AR47" s="321"/>
      <c r="AS47" s="321"/>
    </row>
    <row r="48" spans="2:45" x14ac:dyDescent="0.25">
      <c r="B48">
        <f t="shared" si="9"/>
        <v>9</v>
      </c>
      <c r="C48" t="str">
        <f ca="1">OFFSET('MP Calculations'!$D$38,MATCH($C$39,'MP Calculations'!$D$39:$D$129)+'Reduction amount'!B48,)</f>
        <v>2031-32</v>
      </c>
      <c r="D48" s="315">
        <f t="shared" si="0"/>
        <v>4303475.8416536599</v>
      </c>
      <c r="E48" s="315">
        <f t="shared" si="5"/>
        <v>1133908.0431631044</v>
      </c>
      <c r="F48" s="315">
        <f t="shared" si="1"/>
        <v>1119229.4023068</v>
      </c>
      <c r="G48" s="315">
        <f>$L48*(1+$S$35)*V48</f>
        <v>480139.59225193132</v>
      </c>
      <c r="H48" s="315">
        <f t="shared" si="2"/>
        <v>8645944.9616934247</v>
      </c>
      <c r="I48" s="315">
        <f t="shared" si="7"/>
        <v>1053182.7334900678</v>
      </c>
      <c r="J48" s="315">
        <f t="shared" si="3"/>
        <v>16735880.574558988</v>
      </c>
      <c r="L48" s="333">
        <v>12527470.22635857</v>
      </c>
      <c r="M48" s="311">
        <v>103339.14750000001</v>
      </c>
      <c r="N48" s="365">
        <v>30441752.650051329</v>
      </c>
      <c r="O48" s="366">
        <v>4264806.6173250005</v>
      </c>
      <c r="P48" s="312">
        <f t="shared" si="8"/>
        <v>34706559.267376333</v>
      </c>
      <c r="R48" s="49" t="str">
        <f t="shared" ca="1" si="4"/>
        <v>2031-32</v>
      </c>
      <c r="S48" s="359">
        <v>64152925.084865592</v>
      </c>
      <c r="T48" s="360">
        <v>8.1685352882398032E-2</v>
      </c>
      <c r="U48" s="359">
        <v>16684615.562144378</v>
      </c>
      <c r="V48" s="360">
        <v>3.4588670803059246E-2</v>
      </c>
      <c r="W48" s="344"/>
      <c r="X48" s="359">
        <v>363773601.523</v>
      </c>
      <c r="Y48" s="364">
        <v>7.5870000000000007E-2</v>
      </c>
      <c r="AA48" s="363">
        <v>0.35430589682422597</v>
      </c>
      <c r="AB48" s="363">
        <v>6.7081521785027687E-2</v>
      </c>
      <c r="AE48" s="318"/>
      <c r="AF48" s="318"/>
      <c r="AH48" s="319"/>
      <c r="AJ48" s="318"/>
      <c r="AK48" s="318"/>
      <c r="AL48" s="318"/>
      <c r="AM48" s="318"/>
      <c r="AO48" s="320"/>
      <c r="AP48" s="320"/>
      <c r="AR48" s="321"/>
      <c r="AS48" s="321"/>
    </row>
    <row r="49" spans="2:45" x14ac:dyDescent="0.25">
      <c r="B49">
        <f t="shared" si="9"/>
        <v>10</v>
      </c>
      <c r="C49" t="str">
        <f ca="1">OFFSET('MP Calculations'!$D$38,MATCH($C$39,'MP Calculations'!$D$39:$D$129)+'Reduction amount'!B49,)</f>
        <v>2032-33</v>
      </c>
      <c r="D49" s="315">
        <f t="shared" si="0"/>
        <v>4744384.5245039016</v>
      </c>
      <c r="E49" s="315">
        <f>$L49*(1+$S$35)*T49</f>
        <v>1235489.709194768</v>
      </c>
      <c r="F49" s="315">
        <f t="shared" si="1"/>
        <v>1203534.0876274467</v>
      </c>
      <c r="G49" s="315">
        <f t="shared" si="6"/>
        <v>523153.11526448402</v>
      </c>
      <c r="H49" s="315">
        <f t="shared" si="2"/>
        <v>9344045.8615081087</v>
      </c>
      <c r="I49" s="315">
        <f t="shared" si="7"/>
        <v>1147532.5860630013</v>
      </c>
      <c r="J49" s="315">
        <f t="shared" si="3"/>
        <v>18198139.884161711</v>
      </c>
      <c r="L49" s="333">
        <v>13649749.325116597</v>
      </c>
      <c r="M49" s="311">
        <v>111677.9525</v>
      </c>
      <c r="N49" s="365">
        <v>33168890.860033333</v>
      </c>
      <c r="O49" s="366">
        <v>4608949.0996750006</v>
      </c>
      <c r="P49" s="312">
        <f t="shared" si="8"/>
        <v>37777839.959708333</v>
      </c>
      <c r="R49" s="49" t="str">
        <f t="shared" ca="1" si="4"/>
        <v>2032-33</v>
      </c>
      <c r="S49" s="359">
        <v>65300690.272088185</v>
      </c>
      <c r="T49" s="360">
        <f>T48</f>
        <v>8.1685352882398032E-2</v>
      </c>
      <c r="U49" s="359">
        <v>16565184.858467622</v>
      </c>
      <c r="V49" s="360">
        <f>V48</f>
        <v>3.4588670803059246E-2</v>
      </c>
      <c r="X49" s="359">
        <v>363773601.523</v>
      </c>
      <c r="Y49" s="364">
        <v>7.5870000000000007E-2</v>
      </c>
      <c r="AA49" s="363">
        <v>0.35354253611592246</v>
      </c>
      <c r="AB49" s="363">
        <v>7.2654431442232686E-2</v>
      </c>
      <c r="AE49" s="318"/>
      <c r="AF49" s="318"/>
      <c r="AH49" s="319"/>
      <c r="AJ49" s="318"/>
      <c r="AK49" s="318"/>
      <c r="AL49" s="318"/>
      <c r="AM49" s="318"/>
      <c r="AO49" s="320"/>
      <c r="AP49" s="320"/>
      <c r="AR49" s="321"/>
      <c r="AS49" s="321"/>
    </row>
    <row r="50" spans="2:45" x14ac:dyDescent="0.25">
      <c r="B50">
        <f t="shared" si="9"/>
        <v>11</v>
      </c>
      <c r="C50" t="str">
        <f ca="1">OFFSET('MP Calculations'!$D$38,MATCH($C$39,'MP Calculations'!$D$39:$D$129)+'Reduction amount'!B50,)</f>
        <v>2033-34</v>
      </c>
      <c r="D50" s="315">
        <f t="shared" si="0"/>
        <v>5185368.543479722</v>
      </c>
      <c r="E50" s="315">
        <f t="shared" si="5"/>
        <v>1333509.5787970012</v>
      </c>
      <c r="F50" s="315">
        <f t="shared" si="1"/>
        <v>1274323.6363943701</v>
      </c>
      <c r="G50" s="315">
        <f t="shared" si="6"/>
        <v>564658.4388285696</v>
      </c>
      <c r="H50" s="315">
        <f t="shared" si="2"/>
        <v>10004331.65229629</v>
      </c>
      <c r="I50" s="315">
        <f t="shared" si="7"/>
        <v>1238574.2140208082</v>
      </c>
      <c r="J50" s="315">
        <f t="shared" si="3"/>
        <v>19600766.06381676</v>
      </c>
      <c r="L50" s="333">
        <v>14732677.526779328</v>
      </c>
      <c r="M50" s="311">
        <v>119784.50750000001</v>
      </c>
      <c r="N50" s="365">
        <v>35800406.390073769</v>
      </c>
      <c r="O50" s="366">
        <v>4943506.6245250003</v>
      </c>
      <c r="P50" s="312">
        <f t="shared" si="8"/>
        <v>40743913.014598772</v>
      </c>
      <c r="R50" s="49" t="str">
        <f t="shared" ca="1" si="4"/>
        <v>2033-34</v>
      </c>
      <c r="S50" s="359">
        <v>66505363.986589618</v>
      </c>
      <c r="T50" s="360">
        <f t="shared" ref="T50:V68" si="10">T49</f>
        <v>8.1685352882398032E-2</v>
      </c>
      <c r="U50" s="359">
        <v>16343940.949325405</v>
      </c>
      <c r="V50" s="360">
        <f t="shared" si="10"/>
        <v>3.4588670803059246E-2</v>
      </c>
      <c r="W50" s="344"/>
      <c r="X50" s="359">
        <f t="shared" ref="X50:Y65" si="11">X49</f>
        <v>363773601.523</v>
      </c>
      <c r="Y50" s="364">
        <f t="shared" si="11"/>
        <v>7.5870000000000007E-2</v>
      </c>
      <c r="AA50" s="363">
        <v>0.35272313569440628</v>
      </c>
      <c r="AB50" s="363">
        <v>7.7969177712121363E-2</v>
      </c>
      <c r="AE50" s="318"/>
      <c r="AF50" s="318"/>
      <c r="AH50" s="319"/>
      <c r="AJ50" s="318"/>
      <c r="AK50" s="318"/>
      <c r="AL50" s="318"/>
      <c r="AM50" s="318"/>
      <c r="AO50" s="320"/>
      <c r="AP50" s="320"/>
      <c r="AR50" s="321"/>
      <c r="AS50" s="321"/>
    </row>
    <row r="51" spans="2:45" x14ac:dyDescent="0.25">
      <c r="B51">
        <f t="shared" si="9"/>
        <v>12</v>
      </c>
      <c r="C51" t="str">
        <f ca="1">OFFSET('MP Calculations'!$D$38,MATCH($C$39,'MP Calculations'!$D$39:$D$129)+'Reduction amount'!B51,)</f>
        <v>2034-35</v>
      </c>
      <c r="D51" s="315">
        <f t="shared" si="0"/>
        <v>5536597.2621183153</v>
      </c>
      <c r="E51" s="315">
        <f t="shared" si="5"/>
        <v>1432036.7002432747</v>
      </c>
      <c r="F51" s="315">
        <f t="shared" si="1"/>
        <v>1360639.4024173019</v>
      </c>
      <c r="G51" s="315">
        <f t="shared" si="6"/>
        <v>606378.55202664272</v>
      </c>
      <c r="H51" s="315">
        <f t="shared" si="2"/>
        <v>10657703.897743832</v>
      </c>
      <c r="I51" s="315">
        <f t="shared" si="7"/>
        <v>1330086.9814919955</v>
      </c>
      <c r="J51" s="315">
        <f t="shared" si="3"/>
        <v>20923442.796041362</v>
      </c>
      <c r="L51" s="333">
        <v>15821209.871045856</v>
      </c>
      <c r="M51" s="311">
        <v>127962.625</v>
      </c>
      <c r="N51" s="365">
        <v>38445539.986641429</v>
      </c>
      <c r="O51" s="366">
        <v>5281017.5337500004</v>
      </c>
      <c r="P51" s="312">
        <f t="shared" si="8"/>
        <v>43726557.520391427</v>
      </c>
      <c r="R51" s="49" t="str">
        <f t="shared" ca="1" si="4"/>
        <v>2034-35</v>
      </c>
      <c r="S51" s="359">
        <v>66505363.986589618</v>
      </c>
      <c r="T51" s="360">
        <f t="shared" si="10"/>
        <v>8.1685352882398032E-2</v>
      </c>
      <c r="U51" s="359">
        <v>16343940.949325405</v>
      </c>
      <c r="V51" s="360">
        <f t="shared" si="10"/>
        <v>3.4588670803059246E-2</v>
      </c>
      <c r="W51" s="344"/>
      <c r="X51" s="359">
        <f t="shared" si="11"/>
        <v>363773601.523</v>
      </c>
      <c r="Y51" s="364">
        <f t="shared" si="11"/>
        <v>7.5870000000000007E-2</v>
      </c>
      <c r="AA51" s="363">
        <v>0.35192183329680476</v>
      </c>
      <c r="AB51" s="363">
        <v>8.3250386588888295E-2</v>
      </c>
      <c r="AE51" s="318"/>
      <c r="AF51" s="318"/>
      <c r="AH51" s="319"/>
      <c r="AJ51" s="318"/>
      <c r="AK51" s="318"/>
      <c r="AL51" s="318"/>
      <c r="AM51" s="318"/>
      <c r="AO51" s="320"/>
      <c r="AP51" s="320"/>
      <c r="AR51" s="321"/>
      <c r="AS51" s="321"/>
    </row>
    <row r="52" spans="2:45" x14ac:dyDescent="0.25">
      <c r="B52">
        <f t="shared" si="9"/>
        <v>13</v>
      </c>
      <c r="C52" t="str">
        <f ca="1">OFFSET('MP Calculations'!$D$38,MATCH($C$39,'MP Calculations'!$D$39:$D$129)+'Reduction amount'!B52,)</f>
        <v>2035-36</v>
      </c>
      <c r="D52" s="315">
        <f t="shared" si="0"/>
        <v>5880107.5426058611</v>
      </c>
      <c r="E52" s="315">
        <f t="shared" si="5"/>
        <v>1529502.9014772289</v>
      </c>
      <c r="F52" s="315">
        <f t="shared" si="1"/>
        <v>1445058.3335114426</v>
      </c>
      <c r="G52" s="315">
        <f t="shared" si="6"/>
        <v>647649.43144317041</v>
      </c>
      <c r="H52" s="315">
        <f t="shared" si="2"/>
        <v>11293716.817997307</v>
      </c>
      <c r="I52" s="315">
        <f t="shared" si="7"/>
        <v>1420614.3579026267</v>
      </c>
      <c r="J52" s="315">
        <f t="shared" si="3"/>
        <v>22216649.384937637</v>
      </c>
      <c r="L52" s="333">
        <v>16898021.118127733</v>
      </c>
      <c r="M52" s="311">
        <v>136109.74249999999</v>
      </c>
      <c r="N52" s="365">
        <v>41062191.317050397</v>
      </c>
      <c r="O52" s="366">
        <v>5617249.0729750004</v>
      </c>
      <c r="P52" s="312">
        <f t="shared" si="8"/>
        <v>46679440.3900254</v>
      </c>
      <c r="R52" s="49" t="str">
        <f t="shared" ca="1" si="4"/>
        <v>2035-36</v>
      </c>
      <c r="S52" s="359">
        <v>66505363.986589618</v>
      </c>
      <c r="T52" s="360">
        <f t="shared" si="10"/>
        <v>8.1685352882398032E-2</v>
      </c>
      <c r="U52" s="359">
        <v>16343940.949325405</v>
      </c>
      <c r="V52" s="360">
        <f t="shared" si="10"/>
        <v>3.4588670803059246E-2</v>
      </c>
      <c r="W52" s="344"/>
      <c r="X52" s="359">
        <f t="shared" si="11"/>
        <v>363773601.523</v>
      </c>
      <c r="Y52" s="364">
        <f t="shared" si="11"/>
        <v>7.5870000000000007E-2</v>
      </c>
      <c r="AA52" s="363">
        <v>0.35113742481050397</v>
      </c>
      <c r="AB52" s="363">
        <v>8.8415538087898399E-2</v>
      </c>
      <c r="AE52" s="318"/>
      <c r="AF52" s="318"/>
      <c r="AH52" s="319"/>
      <c r="AJ52" s="318"/>
      <c r="AK52" s="318"/>
      <c r="AL52" s="318"/>
      <c r="AM52" s="318"/>
      <c r="AO52" s="320"/>
      <c r="AP52" s="320"/>
      <c r="AR52" s="321"/>
      <c r="AS52" s="321"/>
    </row>
    <row r="53" spans="2:45" x14ac:dyDescent="0.25">
      <c r="B53">
        <f t="shared" si="9"/>
        <v>14</v>
      </c>
      <c r="C53" t="str">
        <f ca="1">OFFSET('MP Calculations'!$D$38,MATCH($C$39,'MP Calculations'!$D$39:$D$129)+'Reduction amount'!B53,)</f>
        <v>2036-37</v>
      </c>
      <c r="D53" s="315">
        <f t="shared" si="0"/>
        <v>6212361.4778394271</v>
      </c>
      <c r="E53" s="315">
        <f t="shared" si="5"/>
        <v>1624831.8784984087</v>
      </c>
      <c r="F53" s="315">
        <f t="shared" si="1"/>
        <v>1526710.9758266306</v>
      </c>
      <c r="G53" s="315">
        <f t="shared" si="6"/>
        <v>688015.32921832101</v>
      </c>
      <c r="H53" s="315">
        <f t="shared" si="2"/>
        <v>11915995.428850969</v>
      </c>
      <c r="I53" s="315">
        <f t="shared" si="7"/>
        <v>1509156.6636083957</v>
      </c>
      <c r="J53" s="315">
        <f t="shared" si="3"/>
        <v>23477071.753842153</v>
      </c>
      <c r="L53" s="333">
        <v>17951220.210014116</v>
      </c>
      <c r="M53" s="311">
        <v>144045.17250000002</v>
      </c>
      <c r="N53" s="365">
        <v>43621465.110334307</v>
      </c>
      <c r="O53" s="366">
        <v>5944744.2690750007</v>
      </c>
      <c r="P53" s="312">
        <f t="shared" si="8"/>
        <v>49566209.379409306</v>
      </c>
      <c r="R53" s="49" t="str">
        <f t="shared" ca="1" si="4"/>
        <v>2036-37</v>
      </c>
      <c r="S53" s="359">
        <v>66505363.986589618</v>
      </c>
      <c r="T53" s="360">
        <f t="shared" si="10"/>
        <v>8.1685352882398032E-2</v>
      </c>
      <c r="U53" s="359">
        <v>16343940.949325405</v>
      </c>
      <c r="V53" s="360">
        <f t="shared" si="10"/>
        <v>3.4588670803059246E-2</v>
      </c>
      <c r="W53" s="344"/>
      <c r="X53" s="359">
        <f t="shared" si="11"/>
        <v>363773601.523</v>
      </c>
      <c r="Y53" s="364">
        <f t="shared" si="11"/>
        <v>7.5870000000000007E-2</v>
      </c>
      <c r="AA53" s="363">
        <v>0.35067039683764833</v>
      </c>
      <c r="AB53" s="363">
        <v>9.3411434889554321E-2</v>
      </c>
      <c r="AE53" s="318"/>
      <c r="AF53" s="318"/>
      <c r="AH53" s="319"/>
      <c r="AJ53" s="318"/>
      <c r="AK53" s="318"/>
      <c r="AL53" s="318"/>
      <c r="AM53" s="318"/>
      <c r="AO53" s="320"/>
      <c r="AP53" s="320"/>
      <c r="AR53" s="321"/>
      <c r="AS53" s="321"/>
    </row>
    <row r="54" spans="2:45" x14ac:dyDescent="0.25">
      <c r="B54">
        <f t="shared" si="9"/>
        <v>15</v>
      </c>
      <c r="C54" t="str">
        <f ca="1">OFFSET('MP Calculations'!$D$38,MATCH($C$39,'MP Calculations'!$D$39:$D$129)+'Reduction amount'!B54,)</f>
        <v>2037-38</v>
      </c>
      <c r="D54" s="315">
        <f t="shared" si="0"/>
        <v>6528183.927304063</v>
      </c>
      <c r="E54" s="315">
        <f t="shared" si="5"/>
        <v>1716425.5235791116</v>
      </c>
      <c r="F54" s="315">
        <f t="shared" si="1"/>
        <v>1604325.5193025849</v>
      </c>
      <c r="G54" s="315">
        <f t="shared" si="6"/>
        <v>726799.54604002938</v>
      </c>
      <c r="H54" s="315">
        <f t="shared" si="2"/>
        <v>12500556.268360065</v>
      </c>
      <c r="I54" s="315">
        <f t="shared" si="7"/>
        <v>1594229.5635477237</v>
      </c>
      <c r="J54" s="315">
        <f t="shared" si="3"/>
        <v>24670520.348133579</v>
      </c>
      <c r="L54" s="333">
        <v>18963151.176189575</v>
      </c>
      <c r="M54" s="311">
        <v>151737.35250000001</v>
      </c>
      <c r="N54" s="365">
        <v>46080457.35814067</v>
      </c>
      <c r="O54" s="366">
        <v>6262200.5376750007</v>
      </c>
      <c r="P54" s="312">
        <f t="shared" si="8"/>
        <v>52342657.89581567</v>
      </c>
      <c r="R54" s="49" t="str">
        <f t="shared" ca="1" si="4"/>
        <v>2037-38</v>
      </c>
      <c r="S54" s="359">
        <v>66505363.986589618</v>
      </c>
      <c r="T54" s="360">
        <f t="shared" si="10"/>
        <v>8.1685352882398032E-2</v>
      </c>
      <c r="U54" s="359">
        <v>16343940.949325405</v>
      </c>
      <c r="V54" s="360">
        <f t="shared" si="10"/>
        <v>3.4588670803059246E-2</v>
      </c>
      <c r="W54" s="344"/>
      <c r="X54" s="359">
        <f t="shared" si="11"/>
        <v>363773601.523</v>
      </c>
      <c r="Y54" s="364">
        <f t="shared" si="11"/>
        <v>7.5870000000000007E-2</v>
      </c>
      <c r="AA54" s="363">
        <v>0.35007609212797702</v>
      </c>
      <c r="AB54" s="363">
        <v>9.8160261608679106E-2</v>
      </c>
      <c r="AE54" s="318"/>
      <c r="AF54" s="318"/>
      <c r="AH54" s="319"/>
      <c r="AJ54" s="318"/>
      <c r="AK54" s="318"/>
      <c r="AL54" s="318"/>
      <c r="AM54" s="318"/>
      <c r="AO54" s="320"/>
      <c r="AP54" s="320"/>
      <c r="AR54" s="321"/>
      <c r="AS54" s="321"/>
    </row>
    <row r="55" spans="2:45" x14ac:dyDescent="0.25">
      <c r="B55">
        <f t="shared" si="9"/>
        <v>16</v>
      </c>
      <c r="C55" t="str">
        <f ca="1">OFFSET('MP Calculations'!$D$38,MATCH($C$39,'MP Calculations'!$D$39:$D$129)+'Reduction amount'!B55,)</f>
        <v>2038-39</v>
      </c>
      <c r="D55" s="315">
        <f t="shared" si="0"/>
        <v>6846374.0992557388</v>
      </c>
      <c r="E55" s="315">
        <f t="shared" si="5"/>
        <v>1809686.5352473988</v>
      </c>
      <c r="F55" s="315">
        <f t="shared" si="1"/>
        <v>1682521.9394001057</v>
      </c>
      <c r="G55" s="315">
        <f t="shared" si="6"/>
        <v>766289.78899703524</v>
      </c>
      <c r="H55" s="315">
        <f t="shared" si="2"/>
        <v>13108039.956230905</v>
      </c>
      <c r="I55" s="315">
        <f t="shared" si="7"/>
        <v>1680851.1267239251</v>
      </c>
      <c r="J55" s="315">
        <f t="shared" si="3"/>
        <v>25893763.445855111</v>
      </c>
      <c r="L55" s="333">
        <v>19993503.288072858</v>
      </c>
      <c r="M55" s="311">
        <v>159600.9075</v>
      </c>
      <c r="N55" s="365">
        <v>48584212.990017049</v>
      </c>
      <c r="O55" s="366">
        <v>6586729.4525250001</v>
      </c>
      <c r="P55" s="312">
        <f t="shared" si="8"/>
        <v>55170942.442542046</v>
      </c>
      <c r="R55" s="49" t="str">
        <f t="shared" ca="1" si="4"/>
        <v>2038-39</v>
      </c>
      <c r="S55" s="359">
        <v>66505363.986589618</v>
      </c>
      <c r="T55" s="360">
        <f t="shared" si="10"/>
        <v>8.1685352882398032E-2</v>
      </c>
      <c r="U55" s="359">
        <v>16343940.949325405</v>
      </c>
      <c r="V55" s="360">
        <f t="shared" si="10"/>
        <v>3.4588670803059246E-2</v>
      </c>
      <c r="W55" s="344"/>
      <c r="X55" s="359">
        <f t="shared" si="11"/>
        <v>363773601.523</v>
      </c>
      <c r="Y55" s="364">
        <f t="shared" si="11"/>
        <v>7.5870000000000007E-2</v>
      </c>
      <c r="AA55" s="363">
        <v>0.35002787006152308</v>
      </c>
      <c r="AB55" s="363">
        <v>0.10294469030552583</v>
      </c>
      <c r="AE55" s="318"/>
      <c r="AF55" s="318"/>
      <c r="AH55" s="319"/>
      <c r="AJ55" s="318"/>
      <c r="AK55" s="318"/>
      <c r="AL55" s="318"/>
      <c r="AM55" s="318"/>
      <c r="AO55" s="320"/>
      <c r="AP55" s="320"/>
      <c r="AR55" s="321"/>
      <c r="AS55" s="321"/>
    </row>
    <row r="56" spans="2:45" x14ac:dyDescent="0.25">
      <c r="B56">
        <f t="shared" si="9"/>
        <v>17</v>
      </c>
      <c r="C56" t="str">
        <f ca="1">OFFSET('MP Calculations'!$D$38,MATCH($C$39,'MP Calculations'!$D$39:$D$129)+'Reduction amount'!B56,)</f>
        <v>2039-40</v>
      </c>
      <c r="D56" s="315">
        <f t="shared" si="0"/>
        <v>7163417.7220053794</v>
      </c>
      <c r="E56" s="315">
        <f t="shared" si="5"/>
        <v>1903606.2228996758</v>
      </c>
      <c r="F56" s="315">
        <f t="shared" si="1"/>
        <v>1760436.590760035</v>
      </c>
      <c r="G56" s="315">
        <f t="shared" si="6"/>
        <v>806058.94030140294</v>
      </c>
      <c r="H56" s="315">
        <f t="shared" si="2"/>
        <v>13713517.517542873</v>
      </c>
      <c r="I56" s="315">
        <f t="shared" si="7"/>
        <v>1768084.473348957</v>
      </c>
      <c r="J56" s="315">
        <f t="shared" si="3"/>
        <v>27115121.466858324</v>
      </c>
      <c r="L56" s="333">
        <v>21031132.483691461</v>
      </c>
      <c r="M56" s="311">
        <v>167530.33749999999</v>
      </c>
      <c r="N56" s="365">
        <v>51105651.935370252</v>
      </c>
      <c r="O56" s="366">
        <v>6913977.0286250003</v>
      </c>
      <c r="P56" s="312">
        <f t="shared" si="8"/>
        <v>58019628.963995248</v>
      </c>
      <c r="R56" s="49" t="str">
        <f t="shared" ca="1" si="4"/>
        <v>2039-40</v>
      </c>
      <c r="S56" s="359">
        <v>66505363.986589618</v>
      </c>
      <c r="T56" s="360">
        <f t="shared" si="10"/>
        <v>8.1685352882398032E-2</v>
      </c>
      <c r="U56" s="359">
        <v>16343940.949325405</v>
      </c>
      <c r="V56" s="360">
        <f t="shared" si="10"/>
        <v>3.4588670803059246E-2</v>
      </c>
      <c r="W56" s="344"/>
      <c r="X56" s="359">
        <f t="shared" si="11"/>
        <v>363773601.523</v>
      </c>
      <c r="Y56" s="364">
        <f t="shared" si="11"/>
        <v>7.5870000000000007E-2</v>
      </c>
      <c r="AA56" s="363">
        <v>0.34998874908263666</v>
      </c>
      <c r="AB56" s="363">
        <v>0.10771187905158804</v>
      </c>
      <c r="AE56" s="318"/>
      <c r="AF56" s="318"/>
      <c r="AH56" s="319"/>
      <c r="AJ56" s="318"/>
      <c r="AK56" s="318"/>
      <c r="AL56" s="318"/>
      <c r="AM56" s="318"/>
      <c r="AO56" s="320"/>
      <c r="AP56" s="320"/>
      <c r="AR56" s="321"/>
      <c r="AS56" s="321"/>
    </row>
    <row r="57" spans="2:45" x14ac:dyDescent="0.25">
      <c r="B57">
        <f t="shared" si="9"/>
        <v>18</v>
      </c>
      <c r="C57" t="str">
        <f ca="1">OFFSET('MP Calculations'!$D$38,MATCH($C$39,'MP Calculations'!$D$39:$D$129)+'Reduction amount'!B57,)</f>
        <v>2040-41</v>
      </c>
      <c r="D57" s="315">
        <f t="shared" si="0"/>
        <v>7483773.6640624609</v>
      </c>
      <c r="E57" s="315">
        <f t="shared" si="5"/>
        <v>1999532.0141270049</v>
      </c>
      <c r="F57" s="315">
        <f t="shared" si="1"/>
        <v>1839165.2569290109</v>
      </c>
      <c r="G57" s="315">
        <f t="shared" si="6"/>
        <v>846677.55180525361</v>
      </c>
      <c r="H57" s="315">
        <f t="shared" si="2"/>
        <v>14325960.240897687</v>
      </c>
      <c r="I57" s="315">
        <f t="shared" si="7"/>
        <v>1857181.1047964012</v>
      </c>
      <c r="J57" s="315">
        <f t="shared" si="3"/>
        <v>28352289.832617819</v>
      </c>
      <c r="L57" s="333">
        <v>22090925.207436517</v>
      </c>
      <c r="M57" s="311">
        <v>175557.33000000002</v>
      </c>
      <c r="N57" s="365">
        <v>53680948.254070736</v>
      </c>
      <c r="O57" s="366">
        <v>7245251.0091000013</v>
      </c>
      <c r="P57" s="312">
        <f t="shared" si="8"/>
        <v>60926199.263170734</v>
      </c>
      <c r="R57" s="49" t="str">
        <f t="shared" ca="1" si="4"/>
        <v>2040-41</v>
      </c>
      <c r="S57" s="359">
        <v>66505363.986589618</v>
      </c>
      <c r="T57" s="360">
        <f t="shared" si="10"/>
        <v>8.1685352882398032E-2</v>
      </c>
      <c r="U57" s="359">
        <v>16343940.949325405</v>
      </c>
      <c r="V57" s="360">
        <f t="shared" si="10"/>
        <v>3.4588670803059246E-2</v>
      </c>
      <c r="W57" s="344"/>
      <c r="X57" s="359">
        <f t="shared" si="11"/>
        <v>363773601.523</v>
      </c>
      <c r="Y57" s="364">
        <f t="shared" si="11"/>
        <v>7.5870000000000007E-2</v>
      </c>
      <c r="AA57" s="363">
        <v>0.34996820661562378</v>
      </c>
      <c r="AB57" s="363">
        <v>0.11252887309317661</v>
      </c>
      <c r="AE57" s="318"/>
      <c r="AF57" s="318"/>
      <c r="AH57" s="319"/>
      <c r="AJ57" s="318"/>
      <c r="AK57" s="318"/>
      <c r="AL57" s="318"/>
      <c r="AM57" s="318"/>
      <c r="AO57" s="320"/>
      <c r="AP57" s="320"/>
      <c r="AR57" s="321"/>
      <c r="AS57" s="321"/>
    </row>
    <row r="58" spans="2:45" x14ac:dyDescent="0.25">
      <c r="B58">
        <f t="shared" si="9"/>
        <v>19</v>
      </c>
      <c r="C58" t="str">
        <f ca="1">OFFSET('MP Calculations'!$D$38,MATCH($C$39,'MP Calculations'!$D$39:$D$129)+'Reduction amount'!B58,)</f>
        <v>2041-42</v>
      </c>
      <c r="D58" s="315">
        <f t="shared" si="0"/>
        <v>7801920.2151735127</v>
      </c>
      <c r="E58" s="315">
        <f t="shared" si="5"/>
        <v>2095832.4011315098</v>
      </c>
      <c r="F58" s="315">
        <f t="shared" si="1"/>
        <v>1917350.9570424494</v>
      </c>
      <c r="G58" s="315">
        <f t="shared" si="6"/>
        <v>887454.7813423716</v>
      </c>
      <c r="H58" s="315">
        <f t="shared" si="2"/>
        <v>14945645.364990648</v>
      </c>
      <c r="I58" s="315">
        <f t="shared" si="7"/>
        <v>1946625.6637560797</v>
      </c>
      <c r="J58" s="315">
        <f t="shared" si="3"/>
        <v>29594829.383436576</v>
      </c>
      <c r="L58" s="333">
        <v>23154856.483221825</v>
      </c>
      <c r="M58" s="311">
        <v>183678.44750000001</v>
      </c>
      <c r="N58" s="365">
        <v>56266301.254229039</v>
      </c>
      <c r="O58" s="366">
        <v>7580409.5283250008</v>
      </c>
      <c r="P58" s="312">
        <f t="shared" si="8"/>
        <v>63846710.782554038</v>
      </c>
      <c r="R58" s="49" t="str">
        <f t="shared" ca="1" si="4"/>
        <v>2041-42</v>
      </c>
      <c r="S58" s="359">
        <v>66505363.986589618</v>
      </c>
      <c r="T58" s="360">
        <f t="shared" si="10"/>
        <v>8.1685352882398032E-2</v>
      </c>
      <c r="U58" s="359">
        <v>16343940.949325405</v>
      </c>
      <c r="V58" s="360">
        <f t="shared" si="10"/>
        <v>3.4588670803059246E-2</v>
      </c>
      <c r="W58" s="344"/>
      <c r="X58" s="359">
        <f t="shared" si="11"/>
        <v>363773601.523</v>
      </c>
      <c r="Y58" s="364">
        <f t="shared" si="11"/>
        <v>7.5870000000000007E-2</v>
      </c>
      <c r="AA58" s="363">
        <v>0.35021816091177194</v>
      </c>
      <c r="AB58" s="363">
        <v>0.11731264589043855</v>
      </c>
      <c r="AE58" s="318"/>
      <c r="AF58" s="318"/>
      <c r="AH58" s="319"/>
      <c r="AJ58" s="318"/>
      <c r="AK58" s="318"/>
      <c r="AL58" s="318"/>
      <c r="AM58" s="318"/>
      <c r="AO58" s="320"/>
      <c r="AP58" s="320"/>
      <c r="AR58" s="321"/>
      <c r="AS58" s="321"/>
    </row>
    <row r="59" spans="2:45" x14ac:dyDescent="0.25">
      <c r="B59">
        <f t="shared" si="9"/>
        <v>20</v>
      </c>
      <c r="C59" t="str">
        <f ca="1">OFFSET('MP Calculations'!$D$38,MATCH($C$39,'MP Calculations'!$D$39:$D$129)+'Reduction amount'!B59,)</f>
        <v>2042-43</v>
      </c>
      <c r="D59" s="315">
        <f t="shared" si="0"/>
        <v>8115165.4325726321</v>
      </c>
      <c r="E59" s="315">
        <f t="shared" si="5"/>
        <v>2191674.4781834562</v>
      </c>
      <c r="F59" s="315">
        <f t="shared" si="1"/>
        <v>1994332.1361374492</v>
      </c>
      <c r="G59" s="315">
        <f t="shared" si="6"/>
        <v>928037.94509516656</v>
      </c>
      <c r="H59" s="315">
        <f t="shared" si="2"/>
        <v>15556459.16463434</v>
      </c>
      <c r="I59" s="315">
        <f t="shared" si="7"/>
        <v>2035644.5408171846</v>
      </c>
      <c r="J59" s="315">
        <f t="shared" si="3"/>
        <v>30821313.697440229</v>
      </c>
      <c r="L59" s="333">
        <v>24213724.328758322</v>
      </c>
      <c r="M59" s="311">
        <v>191803.2525</v>
      </c>
      <c r="N59" s="365">
        <v>58839350.118882723</v>
      </c>
      <c r="O59" s="366">
        <v>7915720.2306750007</v>
      </c>
      <c r="P59" s="312">
        <f t="shared" si="8"/>
        <v>66755070.349557728</v>
      </c>
      <c r="R59" s="49" t="str">
        <f t="shared" ca="1" si="4"/>
        <v>2042-43</v>
      </c>
      <c r="S59" s="359">
        <v>66505363.986589618</v>
      </c>
      <c r="T59" s="360">
        <f t="shared" si="10"/>
        <v>8.1685352882398032E-2</v>
      </c>
      <c r="U59" s="359">
        <v>16343940.949325405</v>
      </c>
      <c r="V59" s="360">
        <f t="shared" si="10"/>
        <v>3.4588670803059246E-2</v>
      </c>
      <c r="W59" s="344"/>
      <c r="X59" s="359">
        <f t="shared" si="11"/>
        <v>363773601.523</v>
      </c>
      <c r="Y59" s="364">
        <f t="shared" si="11"/>
        <v>7.5870000000000007E-2</v>
      </c>
      <c r="AA59" s="363">
        <v>0.35046033406918015</v>
      </c>
      <c r="AB59" s="363">
        <v>0.12202272036596933</v>
      </c>
      <c r="AE59" s="318"/>
      <c r="AF59" s="318"/>
      <c r="AH59" s="319"/>
      <c r="AJ59" s="318"/>
      <c r="AK59" s="318"/>
      <c r="AL59" s="318"/>
      <c r="AM59" s="318"/>
      <c r="AO59" s="320"/>
      <c r="AP59" s="320"/>
      <c r="AR59" s="321"/>
      <c r="AS59" s="321"/>
    </row>
    <row r="60" spans="2:45" x14ac:dyDescent="0.25">
      <c r="B60">
        <f t="shared" si="9"/>
        <v>21</v>
      </c>
      <c r="C60" t="str">
        <f ca="1">OFFSET('MP Calculations'!$D$38,MATCH($C$39,'MP Calculations'!$D$39:$D$129)+'Reduction amount'!B60,)</f>
        <v>2043-44</v>
      </c>
      <c r="D60" s="315">
        <f t="shared" si="0"/>
        <v>8422432.6229073908</v>
      </c>
      <c r="E60" s="315">
        <f t="shared" si="5"/>
        <v>2286691.8492459785</v>
      </c>
      <c r="F60" s="315">
        <f t="shared" si="1"/>
        <v>2069844.1928116907</v>
      </c>
      <c r="G60" s="315">
        <f t="shared" si="6"/>
        <v>968271.89711083961</v>
      </c>
      <c r="H60" s="315">
        <f t="shared" si="2"/>
        <v>16156059.900582215</v>
      </c>
      <c r="I60" s="315">
        <f t="shared" si="7"/>
        <v>2123897.424450953</v>
      </c>
      <c r="J60" s="315">
        <f t="shared" si="3"/>
        <v>32027197.887109067</v>
      </c>
      <c r="L60" s="333">
        <v>25263480.783128399</v>
      </c>
      <c r="M60" s="311">
        <v>199925.0575</v>
      </c>
      <c r="N60" s="365">
        <v>61390258.303002015</v>
      </c>
      <c r="O60" s="366">
        <v>8250907.1230250001</v>
      </c>
      <c r="P60" s="312">
        <f t="shared" si="8"/>
        <v>69641165.426027015</v>
      </c>
      <c r="R60" s="49" t="str">
        <f t="shared" ca="1" si="4"/>
        <v>2043-44</v>
      </c>
      <c r="S60" s="359">
        <v>66505363.986589618</v>
      </c>
      <c r="T60" s="360">
        <f t="shared" si="10"/>
        <v>8.1685352882398032E-2</v>
      </c>
      <c r="U60" s="359">
        <v>16343940.949325405</v>
      </c>
      <c r="V60" s="360">
        <f t="shared" si="10"/>
        <v>3.4588670803059246E-2</v>
      </c>
      <c r="W60" s="344"/>
      <c r="X60" s="359">
        <f t="shared" si="11"/>
        <v>363773601.523</v>
      </c>
      <c r="Y60" s="364">
        <f t="shared" si="11"/>
        <v>7.5870000000000007E-2</v>
      </c>
      <c r="AA60" s="363">
        <v>0.35069001786072584</v>
      </c>
      <c r="AB60" s="363">
        <v>0.12664290694816316</v>
      </c>
      <c r="AE60" s="318"/>
      <c r="AF60" s="318"/>
      <c r="AH60" s="319"/>
      <c r="AJ60" s="318"/>
      <c r="AK60" s="318"/>
      <c r="AL60" s="318"/>
      <c r="AM60" s="318"/>
      <c r="AO60" s="320"/>
      <c r="AP60" s="320"/>
      <c r="AR60" s="321"/>
      <c r="AS60" s="321"/>
    </row>
    <row r="61" spans="2:45" x14ac:dyDescent="0.25">
      <c r="B61">
        <f t="shared" si="9"/>
        <v>22</v>
      </c>
      <c r="C61" t="str">
        <f ca="1">OFFSET('MP Calculations'!$D$38,MATCH($C$39,'MP Calculations'!$D$39:$D$129)+'Reduction amount'!B61,)</f>
        <v>2044-45</v>
      </c>
      <c r="D61" s="315">
        <f t="shared" si="0"/>
        <v>8728574.2357329857</v>
      </c>
      <c r="E61" s="315">
        <f t="shared" si="5"/>
        <v>2382366.2457319698</v>
      </c>
      <c r="F61" s="315">
        <f t="shared" si="1"/>
        <v>2145079.634619989</v>
      </c>
      <c r="G61" s="315">
        <f t="shared" si="6"/>
        <v>1008784.0585640641</v>
      </c>
      <c r="H61" s="315">
        <f t="shared" si="2"/>
        <v>16754185.687828511</v>
      </c>
      <c r="I61" s="315">
        <f t="shared" si="7"/>
        <v>2212760.5584799219</v>
      </c>
      <c r="J61" s="315">
        <f t="shared" si="3"/>
        <v>33231750.420957439</v>
      </c>
      <c r="L61" s="333">
        <v>26320496.085762318</v>
      </c>
      <c r="M61" s="311">
        <v>208042.86249999999</v>
      </c>
      <c r="N61" s="365">
        <v>63958805.488402441</v>
      </c>
      <c r="O61" s="366">
        <v>8585928.9353749994</v>
      </c>
      <c r="P61" s="312">
        <f t="shared" si="8"/>
        <v>72544734.423777446</v>
      </c>
      <c r="R61" s="49" t="str">
        <f t="shared" ca="1" si="4"/>
        <v>2044-45</v>
      </c>
      <c r="S61" s="359">
        <v>66505363.986589618</v>
      </c>
      <c r="T61" s="360">
        <f t="shared" si="10"/>
        <v>8.1685352882398032E-2</v>
      </c>
      <c r="U61" s="359">
        <v>16343940.949325405</v>
      </c>
      <c r="V61" s="360">
        <f t="shared" si="10"/>
        <v>3.4588670803059246E-2</v>
      </c>
      <c r="W61" s="344"/>
      <c r="X61" s="359">
        <f t="shared" si="11"/>
        <v>363773601.523</v>
      </c>
      <c r="Y61" s="364">
        <f t="shared" si="11"/>
        <v>7.5870000000000007E-2</v>
      </c>
      <c r="AA61" s="363">
        <v>0.35091789007392338</v>
      </c>
      <c r="AB61" s="363">
        <v>0.13124616891793942</v>
      </c>
      <c r="AE61" s="318"/>
      <c r="AF61" s="318"/>
      <c r="AH61" s="319"/>
      <c r="AJ61" s="318"/>
      <c r="AK61" s="318"/>
      <c r="AL61" s="318"/>
      <c r="AM61" s="318"/>
      <c r="AO61" s="320"/>
      <c r="AP61" s="320"/>
      <c r="AR61" s="321"/>
      <c r="AS61" s="321"/>
    </row>
    <row r="62" spans="2:45" x14ac:dyDescent="0.25">
      <c r="B62">
        <f t="shared" si="9"/>
        <v>23</v>
      </c>
      <c r="C62" t="str">
        <f ca="1">OFFSET('MP Calculations'!$D$38,MATCH($C$39,'MP Calculations'!$D$39:$D$129)+'Reduction amount'!B62,)</f>
        <v>2045-46</v>
      </c>
      <c r="D62" s="315">
        <f t="shared" si="0"/>
        <v>8728574.2357329857</v>
      </c>
      <c r="E62" s="315">
        <f t="shared" si="5"/>
        <v>2382366.2457319698</v>
      </c>
      <c r="F62" s="315">
        <f t="shared" si="1"/>
        <v>2145079.634619989</v>
      </c>
      <c r="G62" s="315">
        <f t="shared" si="6"/>
        <v>1008784.0585640641</v>
      </c>
      <c r="H62" s="315">
        <f t="shared" si="2"/>
        <v>16707521.347519783</v>
      </c>
      <c r="I62" s="315">
        <f t="shared" si="7"/>
        <v>2212760.5584799219</v>
      </c>
      <c r="J62" s="315">
        <f t="shared" si="3"/>
        <v>33185086.080648713</v>
      </c>
      <c r="L62" s="333">
        <v>26320496.085762318</v>
      </c>
      <c r="M62" s="311">
        <v>208042.86249999999</v>
      </c>
      <c r="N62" s="365">
        <v>63958805.488402441</v>
      </c>
      <c r="O62" s="366">
        <v>8585928.9353749994</v>
      </c>
      <c r="P62" s="312">
        <f t="shared" si="8"/>
        <v>72544734.423777446</v>
      </c>
      <c r="R62" s="49" t="str">
        <f t="shared" ca="1" si="4"/>
        <v>2045-46</v>
      </c>
      <c r="S62" s="359">
        <v>66505363.986589618</v>
      </c>
      <c r="T62" s="360">
        <f t="shared" si="10"/>
        <v>8.1685352882398032E-2</v>
      </c>
      <c r="U62" s="359">
        <v>16343940.949325405</v>
      </c>
      <c r="V62" s="360">
        <f t="shared" si="10"/>
        <v>3.4588670803059246E-2</v>
      </c>
      <c r="W62" s="344"/>
      <c r="X62" s="359">
        <f t="shared" si="11"/>
        <v>363773601.523</v>
      </c>
      <c r="Y62" s="364">
        <f t="shared" si="11"/>
        <v>7.5870000000000007E-2</v>
      </c>
      <c r="AA62" s="363">
        <v>0.34994050136951582</v>
      </c>
      <c r="AB62" s="363">
        <v>0.13124616891793942</v>
      </c>
      <c r="AE62" s="318"/>
      <c r="AF62" s="318"/>
      <c r="AH62" s="319"/>
      <c r="AJ62" s="318"/>
      <c r="AK62" s="318"/>
      <c r="AL62" s="318"/>
      <c r="AM62" s="318"/>
      <c r="AO62" s="320"/>
      <c r="AP62" s="320"/>
      <c r="AR62" s="321"/>
      <c r="AS62" s="321"/>
    </row>
    <row r="63" spans="2:45" x14ac:dyDescent="0.25">
      <c r="B63">
        <f t="shared" si="9"/>
        <v>24</v>
      </c>
      <c r="C63" t="str">
        <f ca="1">OFFSET('MP Calculations'!$D$38,MATCH($C$39,'MP Calculations'!$D$39:$D$129)+'Reduction amount'!B63,)</f>
        <v>2046-47</v>
      </c>
      <c r="D63" s="315">
        <f t="shared" si="0"/>
        <v>8728574.2357329857</v>
      </c>
      <c r="E63" s="315">
        <f t="shared" si="5"/>
        <v>2382366.2457319698</v>
      </c>
      <c r="F63" s="315">
        <f t="shared" si="1"/>
        <v>2145079.634619989</v>
      </c>
      <c r="G63" s="315">
        <f t="shared" si="6"/>
        <v>1008784.0585640641</v>
      </c>
      <c r="H63" s="315">
        <f t="shared" si="2"/>
        <v>16680874.574597258</v>
      </c>
      <c r="I63" s="315">
        <f t="shared" si="7"/>
        <v>2212760.5584799219</v>
      </c>
      <c r="J63" s="315">
        <f t="shared" si="3"/>
        <v>33158439.307726189</v>
      </c>
      <c r="L63" s="333">
        <v>26320496.085762318</v>
      </c>
      <c r="M63" s="311">
        <v>208042.86249999999</v>
      </c>
      <c r="N63" s="365">
        <v>63958805.488402441</v>
      </c>
      <c r="O63" s="366">
        <v>8585928.9353749994</v>
      </c>
      <c r="P63" s="312">
        <f t="shared" si="8"/>
        <v>72544734.423777446</v>
      </c>
      <c r="R63" s="49" t="str">
        <f t="shared" ca="1" si="4"/>
        <v>2046-47</v>
      </c>
      <c r="S63" s="359">
        <v>66505363.986589618</v>
      </c>
      <c r="T63" s="360">
        <f t="shared" si="10"/>
        <v>8.1685352882398032E-2</v>
      </c>
      <c r="U63" s="359">
        <v>16343940.949325405</v>
      </c>
      <c r="V63" s="360">
        <f t="shared" si="10"/>
        <v>3.4588670803059246E-2</v>
      </c>
      <c r="W63" s="344"/>
      <c r="X63" s="359">
        <f t="shared" si="11"/>
        <v>363773601.523</v>
      </c>
      <c r="Y63" s="364">
        <f t="shared" si="11"/>
        <v>7.5870000000000007E-2</v>
      </c>
      <c r="AA63" s="363">
        <v>0.34938238237134545</v>
      </c>
      <c r="AB63" s="363">
        <v>0.13124616891793942</v>
      </c>
      <c r="AE63" s="318"/>
      <c r="AF63" s="318"/>
      <c r="AH63" s="319"/>
      <c r="AJ63" s="318"/>
      <c r="AK63" s="318"/>
      <c r="AL63" s="318"/>
      <c r="AM63" s="318"/>
      <c r="AO63" s="320"/>
      <c r="AP63" s="320"/>
      <c r="AR63" s="321"/>
      <c r="AS63" s="321"/>
    </row>
    <row r="64" spans="2:45" x14ac:dyDescent="0.25">
      <c r="B64">
        <f t="shared" si="9"/>
        <v>25</v>
      </c>
      <c r="C64" t="str">
        <f ca="1">OFFSET('MP Calculations'!$D$38,MATCH($C$39,'MP Calculations'!$D$39:$D$129)+'Reduction amount'!B64,)</f>
        <v>2047-48</v>
      </c>
      <c r="D64" s="315">
        <f t="shared" si="0"/>
        <v>8728574.2357329857</v>
      </c>
      <c r="E64" s="315">
        <f t="shared" si="5"/>
        <v>2382366.2457319698</v>
      </c>
      <c r="F64" s="315">
        <f t="shared" si="1"/>
        <v>2145079.634619989</v>
      </c>
      <c r="G64" s="315">
        <f t="shared" si="6"/>
        <v>1008784.0585640641</v>
      </c>
      <c r="H64" s="315">
        <f t="shared" si="2"/>
        <v>16654128.482918316</v>
      </c>
      <c r="I64" s="315">
        <f t="shared" si="7"/>
        <v>2212760.5584799219</v>
      </c>
      <c r="J64" s="315">
        <f t="shared" si="3"/>
        <v>33131693.216047242</v>
      </c>
      <c r="L64" s="333">
        <v>26320496.085762318</v>
      </c>
      <c r="M64" s="311">
        <v>208042.86249999999</v>
      </c>
      <c r="N64" s="365">
        <v>63958805.488402441</v>
      </c>
      <c r="O64" s="366">
        <v>8585928.9353749994</v>
      </c>
      <c r="P64" s="312">
        <f t="shared" si="8"/>
        <v>72544734.423777446</v>
      </c>
      <c r="R64" s="49" t="str">
        <f t="shared" ca="1" si="4"/>
        <v>2047-48</v>
      </c>
      <c r="S64" s="359">
        <v>66505363.986589618</v>
      </c>
      <c r="T64" s="360">
        <f t="shared" si="10"/>
        <v>8.1685352882398032E-2</v>
      </c>
      <c r="U64" s="359">
        <v>16343940.949325405</v>
      </c>
      <c r="V64" s="360">
        <f t="shared" si="10"/>
        <v>3.4588670803059246E-2</v>
      </c>
      <c r="W64" s="344"/>
      <c r="X64" s="359">
        <f t="shared" si="11"/>
        <v>363773601.523</v>
      </c>
      <c r="Y64" s="364">
        <f t="shared" si="11"/>
        <v>7.5870000000000007E-2</v>
      </c>
      <c r="AA64" s="363">
        <v>0.34882218313310276</v>
      </c>
      <c r="AB64" s="363">
        <v>0.13124616891793942</v>
      </c>
      <c r="AE64" s="318"/>
      <c r="AF64" s="318"/>
      <c r="AH64" s="319"/>
      <c r="AJ64" s="318"/>
      <c r="AK64" s="318"/>
      <c r="AL64" s="318"/>
      <c r="AM64" s="318"/>
      <c r="AO64" s="320"/>
      <c r="AP64" s="320"/>
      <c r="AR64" s="321"/>
      <c r="AS64" s="321"/>
    </row>
    <row r="65" spans="2:45" x14ac:dyDescent="0.25">
      <c r="B65">
        <f t="shared" si="9"/>
        <v>26</v>
      </c>
      <c r="C65" t="str">
        <f ca="1">OFFSET('MP Calculations'!$D$38,MATCH($C$39,'MP Calculations'!$D$39:$D$129)+'Reduction amount'!B65,)</f>
        <v>2048-49</v>
      </c>
      <c r="D65" s="315">
        <f t="shared" si="0"/>
        <v>8728574.2357329857</v>
      </c>
      <c r="E65" s="315">
        <f t="shared" si="5"/>
        <v>2382366.2457319698</v>
      </c>
      <c r="F65" s="315">
        <f t="shared" si="1"/>
        <v>2145079.634619989</v>
      </c>
      <c r="G65" s="315">
        <f t="shared" si="6"/>
        <v>1008784.0585640641</v>
      </c>
      <c r="H65" s="315">
        <f t="shared" si="2"/>
        <v>16627201.404216573</v>
      </c>
      <c r="I65" s="315">
        <f t="shared" si="7"/>
        <v>2212760.5584799219</v>
      </c>
      <c r="J65" s="315">
        <f t="shared" si="3"/>
        <v>33104766.1373455</v>
      </c>
      <c r="L65" s="333">
        <v>26320496.085762318</v>
      </c>
      <c r="M65" s="311">
        <v>208042.86249999999</v>
      </c>
      <c r="N65" s="365">
        <v>63958805.488402441</v>
      </c>
      <c r="O65" s="366">
        <v>8585928.9353749994</v>
      </c>
      <c r="P65" s="312">
        <f t="shared" si="8"/>
        <v>72544734.423777446</v>
      </c>
      <c r="R65" s="49" t="str">
        <f t="shared" ca="1" si="4"/>
        <v>2048-49</v>
      </c>
      <c r="S65" s="359">
        <v>66505363.986589618</v>
      </c>
      <c r="T65" s="360">
        <f t="shared" si="10"/>
        <v>8.1685352882398032E-2</v>
      </c>
      <c r="U65" s="359">
        <v>16343940.949325405</v>
      </c>
      <c r="V65" s="360">
        <f t="shared" si="10"/>
        <v>3.4588670803059246E-2</v>
      </c>
      <c r="W65" s="344"/>
      <c r="X65" s="359">
        <f t="shared" si="11"/>
        <v>363773601.523</v>
      </c>
      <c r="Y65" s="364">
        <f t="shared" si="11"/>
        <v>7.5870000000000007E-2</v>
      </c>
      <c r="AA65" s="363">
        <v>0.34825819310577871</v>
      </c>
      <c r="AB65" s="363">
        <v>0.13124616891793942</v>
      </c>
      <c r="AE65" s="318"/>
      <c r="AF65" s="318"/>
      <c r="AH65" s="319"/>
      <c r="AJ65" s="318"/>
      <c r="AK65" s="318"/>
      <c r="AL65" s="318"/>
      <c r="AM65" s="318"/>
      <c r="AO65" s="320"/>
      <c r="AP65" s="320"/>
      <c r="AR65" s="321"/>
      <c r="AS65" s="321"/>
    </row>
    <row r="66" spans="2:45" x14ac:dyDescent="0.25">
      <c r="B66">
        <f t="shared" si="9"/>
        <v>27</v>
      </c>
      <c r="C66" t="str">
        <f ca="1">OFFSET('MP Calculations'!$D$38,MATCH($C$39,'MP Calculations'!$D$39:$D$129)+'Reduction amount'!B66,)</f>
        <v>2049-50</v>
      </c>
      <c r="D66" s="315">
        <f t="shared" si="0"/>
        <v>8728574.2357329857</v>
      </c>
      <c r="E66" s="315">
        <f t="shared" si="5"/>
        <v>2382366.2457319698</v>
      </c>
      <c r="F66" s="315">
        <f t="shared" si="1"/>
        <v>2145079.634619989</v>
      </c>
      <c r="G66" s="315">
        <f t="shared" si="6"/>
        <v>1008784.0585640641</v>
      </c>
      <c r="H66" s="315">
        <f t="shared" si="2"/>
        <v>16600111.590521693</v>
      </c>
      <c r="I66" s="315">
        <f t="shared" si="7"/>
        <v>2212760.5584799219</v>
      </c>
      <c r="J66" s="315">
        <f t="shared" si="3"/>
        <v>33077676.323650621</v>
      </c>
      <c r="L66" s="333">
        <v>26320496.085762318</v>
      </c>
      <c r="M66" s="311">
        <v>208042.86249999999</v>
      </c>
      <c r="N66" s="365">
        <v>63958805.488402441</v>
      </c>
      <c r="O66" s="366">
        <v>8585928.9353749994</v>
      </c>
      <c r="P66" s="312">
        <f t="shared" si="8"/>
        <v>72544734.423777446</v>
      </c>
      <c r="R66" s="49" t="str">
        <f t="shared" ca="1" si="4"/>
        <v>2049-50</v>
      </c>
      <c r="S66" s="359">
        <v>66505363.986589618</v>
      </c>
      <c r="T66" s="360">
        <f t="shared" si="10"/>
        <v>8.1685352882398032E-2</v>
      </c>
      <c r="U66" s="359">
        <v>16343940.949325405</v>
      </c>
      <c r="V66" s="360">
        <f t="shared" si="10"/>
        <v>3.4588670803059246E-2</v>
      </c>
      <c r="W66" s="344"/>
      <c r="X66" s="359">
        <f t="shared" ref="X66:Y68" si="12">X65</f>
        <v>363773601.523</v>
      </c>
      <c r="Y66" s="364">
        <f t="shared" si="12"/>
        <v>7.5870000000000007E-2</v>
      </c>
      <c r="AA66" s="363">
        <v>0.34769079457973701</v>
      </c>
      <c r="AB66" s="363">
        <v>0.13124616891793942</v>
      </c>
      <c r="AE66" s="318"/>
      <c r="AF66" s="318"/>
      <c r="AH66" s="319"/>
      <c r="AJ66" s="318"/>
      <c r="AK66" s="318"/>
      <c r="AL66" s="318"/>
      <c r="AM66" s="318"/>
      <c r="AO66" s="320"/>
      <c r="AP66" s="320"/>
      <c r="AR66" s="321"/>
      <c r="AS66" s="321"/>
    </row>
    <row r="67" spans="2:45" x14ac:dyDescent="0.25">
      <c r="B67">
        <f t="shared" si="9"/>
        <v>28</v>
      </c>
      <c r="C67" t="str">
        <f ca="1">OFFSET('MP Calculations'!$D$38,MATCH($C$39,'MP Calculations'!$D$39:$D$129)+'Reduction amount'!B67,)</f>
        <v>2050-51</v>
      </c>
      <c r="D67" s="315">
        <f t="shared" si="0"/>
        <v>8728574.2357329857</v>
      </c>
      <c r="E67" s="315">
        <f t="shared" si="5"/>
        <v>2382366.2457319698</v>
      </c>
      <c r="F67" s="315">
        <f t="shared" si="1"/>
        <v>2145079.634619989</v>
      </c>
      <c r="G67" s="315">
        <f t="shared" si="6"/>
        <v>1008784.0585640641</v>
      </c>
      <c r="H67" s="315">
        <f t="shared" si="2"/>
        <v>16572715.272107899</v>
      </c>
      <c r="I67" s="315">
        <f t="shared" si="7"/>
        <v>2212760.5584799219</v>
      </c>
      <c r="J67" s="315">
        <f t="shared" si="3"/>
        <v>33050280.005236827</v>
      </c>
      <c r="L67" s="333">
        <v>26320496.085762318</v>
      </c>
      <c r="M67" s="311">
        <v>208042.86249999999</v>
      </c>
      <c r="N67" s="365">
        <v>63958805.488402441</v>
      </c>
      <c r="O67" s="366">
        <v>8585928.9353749994</v>
      </c>
      <c r="P67" s="312">
        <f t="shared" si="8"/>
        <v>72544734.423777446</v>
      </c>
      <c r="R67" s="49" t="str">
        <f t="shared" ca="1" si="4"/>
        <v>2050-51</v>
      </c>
      <c r="S67" s="359">
        <v>66505363.986589618</v>
      </c>
      <c r="T67" s="360">
        <f t="shared" si="10"/>
        <v>8.1685352882398032E-2</v>
      </c>
      <c r="U67" s="359">
        <v>16343940.949325405</v>
      </c>
      <c r="V67" s="360">
        <f t="shared" si="10"/>
        <v>3.4588670803059246E-2</v>
      </c>
      <c r="W67" s="344"/>
      <c r="X67" s="359">
        <f t="shared" si="12"/>
        <v>363773601.523</v>
      </c>
      <c r="Y67" s="364">
        <f t="shared" si="12"/>
        <v>7.5870000000000007E-2</v>
      </c>
      <c r="AA67" s="363">
        <v>0.34711697628544974</v>
      </c>
      <c r="AB67" s="363">
        <v>0.13124616891793942</v>
      </c>
      <c r="AE67" s="318"/>
      <c r="AF67" s="318"/>
      <c r="AH67" s="319"/>
      <c r="AJ67" s="318"/>
      <c r="AK67" s="318"/>
      <c r="AL67" s="318"/>
      <c r="AM67" s="318"/>
      <c r="AO67" s="320"/>
      <c r="AP67" s="320"/>
      <c r="AR67" s="321"/>
      <c r="AS67" s="321"/>
    </row>
    <row r="68" spans="2:45" x14ac:dyDescent="0.25">
      <c r="B68">
        <f t="shared" si="9"/>
        <v>29</v>
      </c>
      <c r="C68" t="str">
        <f ca="1">OFFSET('MP Calculations'!$D$38,MATCH($C$39,'MP Calculations'!$D$39:$D$129)+'Reduction amount'!B68,)</f>
        <v>2051-52</v>
      </c>
      <c r="D68" s="315">
        <f t="shared" si="0"/>
        <v>8728574.2357329857</v>
      </c>
      <c r="E68" s="315">
        <f t="shared" si="5"/>
        <v>2382366.2457319698</v>
      </c>
      <c r="F68" s="315">
        <f t="shared" si="1"/>
        <v>2145079.634619989</v>
      </c>
      <c r="G68" s="315">
        <f t="shared" si="6"/>
        <v>1008784.0585640641</v>
      </c>
      <c r="H68" s="315">
        <f t="shared" si="2"/>
        <v>16545425.207682442</v>
      </c>
      <c r="I68" s="315">
        <f t="shared" si="7"/>
        <v>2212760.5584799219</v>
      </c>
      <c r="J68" s="315">
        <f t="shared" si="3"/>
        <v>33022989.940811373</v>
      </c>
      <c r="L68" s="333">
        <v>26320496.085762318</v>
      </c>
      <c r="M68" s="311">
        <v>208042.86249999999</v>
      </c>
      <c r="N68" s="365">
        <v>63958805.488402441</v>
      </c>
      <c r="O68" s="366">
        <v>8585928.9353749994</v>
      </c>
      <c r="P68" s="312">
        <f t="shared" si="8"/>
        <v>72544734.423777446</v>
      </c>
      <c r="R68" s="49" t="str">
        <f t="shared" ca="1" si="4"/>
        <v>2051-52</v>
      </c>
      <c r="S68" s="359">
        <v>66505363.986589618</v>
      </c>
      <c r="T68" s="360">
        <f t="shared" si="10"/>
        <v>8.1685352882398032E-2</v>
      </c>
      <c r="U68" s="359">
        <v>16343940.949325405</v>
      </c>
      <c r="V68" s="360">
        <f t="shared" si="10"/>
        <v>3.4588670803059246E-2</v>
      </c>
      <c r="W68" s="344"/>
      <c r="X68" s="359">
        <f t="shared" si="12"/>
        <v>363773601.523</v>
      </c>
      <c r="Y68" s="364">
        <f t="shared" si="12"/>
        <v>7.5870000000000007E-2</v>
      </c>
      <c r="AA68" s="363">
        <v>0.34654538349027619</v>
      </c>
      <c r="AB68" s="363">
        <v>0.13124616891793942</v>
      </c>
      <c r="AE68" s="318"/>
      <c r="AF68" s="318"/>
      <c r="AH68" s="319"/>
      <c r="AJ68" s="318"/>
      <c r="AK68" s="318"/>
      <c r="AL68" s="318"/>
      <c r="AM68" s="318"/>
      <c r="AO68" s="320"/>
      <c r="AP68" s="320"/>
      <c r="AR68" s="321"/>
      <c r="AS68" s="321"/>
    </row>
    <row r="70" spans="2:45" x14ac:dyDescent="0.25">
      <c r="L70" s="334" t="s">
        <v>1266</v>
      </c>
      <c r="X70" s="334" t="s">
        <v>1284</v>
      </c>
    </row>
  </sheetData>
  <mergeCells count="5">
    <mergeCell ref="AA37:AB37"/>
    <mergeCell ref="L37:M37"/>
    <mergeCell ref="N37:P37"/>
    <mergeCell ref="S37:V37"/>
    <mergeCell ref="X37:Y37"/>
  </mergeCells>
  <dataValidations disablePrompts="1" count="2">
    <dataValidation type="list" allowBlank="1" showInputMessage="1" showErrorMessage="1" sqref="O9" xr:uid="{FAE802D0-4C79-4415-B235-5236E886FC58}">
      <formula1>$O$10:$O$11</formula1>
    </dataValidation>
    <dataValidation type="list" allowBlank="1" showInputMessage="1" showErrorMessage="1" sqref="L9" xr:uid="{5D4583EB-B71D-4DAF-96F4-3270D69E31C4}">
      <formula1>"1 Demand, 2 Demand zero out"</formula1>
    </dataValidation>
  </dataValidations>
  <hyperlinks>
    <hyperlink ref="J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1:AD40"/>
  <sheetViews>
    <sheetView showGridLines="0" topLeftCell="A8" workbookViewId="0">
      <selection activeCell="D30" sqref="D30:K30"/>
    </sheetView>
  </sheetViews>
  <sheetFormatPr defaultRowHeight="11.5" x14ac:dyDescent="0.25"/>
  <cols>
    <col min="1" max="2" width="2.69921875" customWidth="1"/>
    <col min="3" max="3" width="28.59765625" customWidth="1"/>
    <col min="4" max="11" width="17.59765625" customWidth="1"/>
    <col min="13" max="13" width="9.09765625" customWidth="1"/>
    <col min="16" max="16" width="9.09765625" customWidth="1"/>
  </cols>
  <sheetData>
    <row r="1" spans="1:30" hidden="1" x14ac:dyDescent="0.25"/>
    <row r="2" spans="1:30" hidden="1" x14ac:dyDescent="0.25"/>
    <row r="3" spans="1:30" ht="20" x14ac:dyDescent="0.4">
      <c r="C3" s="171" t="s">
        <v>108</v>
      </c>
      <c r="M3" s="174"/>
    </row>
    <row r="4" spans="1:30" hidden="1" x14ac:dyDescent="0.25"/>
    <row r="6" spans="1:30" x14ac:dyDescent="0.25">
      <c r="C6" t="s">
        <v>196</v>
      </c>
      <c r="G6" s="174" t="s">
        <v>113</v>
      </c>
    </row>
    <row r="8" spans="1:30" x14ac:dyDescent="0.25">
      <c r="C8" t="s">
        <v>206</v>
      </c>
    </row>
    <row r="9" spans="1:30" hidden="1" x14ac:dyDescent="0.25"/>
    <row r="10" spans="1:30" hidden="1" x14ac:dyDescent="0.25">
      <c r="C10" t="s">
        <v>169</v>
      </c>
      <c r="J10" s="213" t="str">
        <f>ADDRESS(ROW('MP Calculations'!$F$22),COLUMN('MP Calculations'!$F$22))</f>
        <v>$F$22</v>
      </c>
      <c r="K10" t="str">
        <f ca="1">"on the "&amp;MID(CELL("filename",'MP Calculations'!$A$1),FIND("]",CELL("filename",'MP Calculations'!$A$1))+1,255)&amp;" worksheet."</f>
        <v>on the MP Calculations worksheet.</v>
      </c>
    </row>
    <row r="11" spans="1:30" hidden="1" x14ac:dyDescent="0.25"/>
    <row r="12" spans="1:30" hidden="1" x14ac:dyDescent="0.25">
      <c r="C12" s="88" t="s">
        <v>77</v>
      </c>
    </row>
    <row r="13" spans="1:30" hidden="1" x14ac:dyDescent="0.25">
      <c r="D13" s="237" t="s">
        <v>190</v>
      </c>
    </row>
    <row r="14" spans="1:30" hidden="1" x14ac:dyDescent="0.25">
      <c r="D14" s="87"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3"/>
      <c r="B16" s="83"/>
      <c r="C16" s="83" t="s">
        <v>70</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8" spans="3:12" x14ac:dyDescent="0.25">
      <c r="C18" s="322" t="s">
        <v>103</v>
      </c>
      <c r="D18" s="58" t="s">
        <v>1259</v>
      </c>
    </row>
    <row r="19" spans="3:12" x14ac:dyDescent="0.25">
      <c r="C19" s="323" t="s">
        <v>1260</v>
      </c>
      <c r="D19" s="324">
        <v>0.13308332963113895</v>
      </c>
      <c r="F19" s="54" t="s">
        <v>1280</v>
      </c>
      <c r="G19" s="349">
        <v>2</v>
      </c>
    </row>
    <row r="21" spans="3:12" x14ac:dyDescent="0.25">
      <c r="C21" t="s">
        <v>1261</v>
      </c>
      <c r="D21" s="325" t="s">
        <v>302</v>
      </c>
      <c r="E21" s="325" t="s">
        <v>1285</v>
      </c>
      <c r="F21" s="325" t="s">
        <v>1286</v>
      </c>
      <c r="G21" s="325" t="s">
        <v>1289</v>
      </c>
      <c r="H21" s="325" t="s">
        <v>1287</v>
      </c>
      <c r="I21" s="49"/>
      <c r="J21" s="49"/>
      <c r="K21" s="49"/>
      <c r="L21" s="49"/>
    </row>
    <row r="22" spans="3:12" x14ac:dyDescent="0.25">
      <c r="C22" t="s">
        <v>1262</v>
      </c>
      <c r="D22" s="326">
        <v>183.11</v>
      </c>
      <c r="E22" s="326">
        <v>198.28</v>
      </c>
      <c r="F22" s="326">
        <v>186.21</v>
      </c>
      <c r="G22" s="326">
        <v>197.12</v>
      </c>
      <c r="H22" s="326">
        <v>193.75</v>
      </c>
    </row>
    <row r="23" spans="3:12" x14ac:dyDescent="0.25">
      <c r="C23" t="s">
        <v>1263</v>
      </c>
      <c r="D23" s="327">
        <f>$D$19*D22</f>
        <v>24.368888488757854</v>
      </c>
      <c r="E23" s="327">
        <f t="shared" ref="E23:G23" si="0">$D$19*E22</f>
        <v>26.387762599262231</v>
      </c>
      <c r="F23" s="327">
        <f t="shared" si="0"/>
        <v>24.781446810614383</v>
      </c>
      <c r="G23" s="327">
        <f t="shared" si="0"/>
        <v>26.233385936890109</v>
      </c>
      <c r="H23" s="327">
        <f>$D$19*H22</f>
        <v>25.784895116033169</v>
      </c>
    </row>
    <row r="24" spans="3:12" x14ac:dyDescent="0.25">
      <c r="F24" s="329"/>
      <c r="G24" s="329"/>
    </row>
    <row r="25" spans="3:12" x14ac:dyDescent="0.25">
      <c r="C25" s="322" t="s">
        <v>103</v>
      </c>
      <c r="D25" s="58" t="s">
        <v>1264</v>
      </c>
    </row>
    <row r="26" spans="3:12" x14ac:dyDescent="0.25">
      <c r="C26" s="323" t="s">
        <v>1260</v>
      </c>
      <c r="D26" s="324">
        <v>0.1612411611568344</v>
      </c>
      <c r="E26" s="84"/>
      <c r="F26" s="54" t="s">
        <v>1280</v>
      </c>
      <c r="G26" s="349">
        <v>2</v>
      </c>
    </row>
    <row r="28" spans="3:12" x14ac:dyDescent="0.25">
      <c r="C28" t="s">
        <v>1261</v>
      </c>
      <c r="D28" s="325" t="s">
        <v>1290</v>
      </c>
      <c r="E28" s="325" t="s">
        <v>1291</v>
      </c>
      <c r="F28" s="325" t="s">
        <v>302</v>
      </c>
      <c r="G28" s="325" t="s">
        <v>1285</v>
      </c>
      <c r="H28" s="325" t="s">
        <v>1286</v>
      </c>
      <c r="I28" s="325" t="s">
        <v>1289</v>
      </c>
      <c r="J28" s="325" t="s">
        <v>1287</v>
      </c>
      <c r="K28" s="325" t="s">
        <v>1288</v>
      </c>
    </row>
    <row r="29" spans="3:12" x14ac:dyDescent="0.25">
      <c r="C29" t="s">
        <v>1262</v>
      </c>
      <c r="D29" s="326">
        <v>148.69999999999999</v>
      </c>
      <c r="E29" s="326">
        <v>182.4</v>
      </c>
      <c r="F29" s="326">
        <v>183.11</v>
      </c>
      <c r="G29" s="326">
        <v>198.28</v>
      </c>
      <c r="H29" s="326">
        <v>186.21</v>
      </c>
      <c r="I29" s="326">
        <v>197.12</v>
      </c>
      <c r="J29" s="326">
        <v>193.75</v>
      </c>
      <c r="K29" s="326">
        <v>179.69</v>
      </c>
    </row>
    <row r="30" spans="3:12" x14ac:dyDescent="0.25">
      <c r="C30" t="s">
        <v>1263</v>
      </c>
      <c r="D30" s="327">
        <f>$D$26*D29</f>
        <v>23.976560664021275</v>
      </c>
      <c r="E30" s="327">
        <f t="shared" ref="E30:K30" si="1">$D$26*E29</f>
        <v>29.410387795006596</v>
      </c>
      <c r="F30" s="327">
        <f t="shared" si="1"/>
        <v>29.52486901942795</v>
      </c>
      <c r="G30" s="327">
        <f t="shared" si="1"/>
        <v>31.970897434177125</v>
      </c>
      <c r="H30" s="327">
        <f t="shared" si="1"/>
        <v>30.024716619014136</v>
      </c>
      <c r="I30" s="327">
        <f t="shared" si="1"/>
        <v>31.783857687235198</v>
      </c>
      <c r="J30" s="327">
        <f t="shared" si="1"/>
        <v>31.240474974136664</v>
      </c>
      <c r="K30" s="327">
        <f t="shared" si="1"/>
        <v>28.973424248271574</v>
      </c>
    </row>
    <row r="31" spans="3:12" x14ac:dyDescent="0.25">
      <c r="F31" s="329"/>
      <c r="G31" s="329"/>
    </row>
    <row r="32" spans="3:12" x14ac:dyDescent="0.25">
      <c r="C32" s="322" t="s">
        <v>103</v>
      </c>
      <c r="D32" s="58" t="s">
        <v>1265</v>
      </c>
    </row>
    <row r="33" spans="3:8" x14ac:dyDescent="0.25">
      <c r="C33" s="323" t="s">
        <v>1260</v>
      </c>
      <c r="D33" s="324">
        <v>0.41937576922255521</v>
      </c>
      <c r="E33" s="328"/>
      <c r="F33" s="54" t="s">
        <v>1280</v>
      </c>
      <c r="G33" s="349">
        <v>2</v>
      </c>
    </row>
    <row r="35" spans="3:8" x14ac:dyDescent="0.25">
      <c r="C35" t="s">
        <v>1261</v>
      </c>
      <c r="D35" s="325" t="s">
        <v>302</v>
      </c>
      <c r="E35" s="325" t="s">
        <v>1285</v>
      </c>
      <c r="F35" s="325" t="s">
        <v>1286</v>
      </c>
      <c r="G35" s="325" t="s">
        <v>1287</v>
      </c>
      <c r="H35" s="325" t="s">
        <v>1288</v>
      </c>
    </row>
    <row r="36" spans="3:8" x14ac:dyDescent="0.25">
      <c r="C36" t="s">
        <v>1262</v>
      </c>
      <c r="D36" s="326">
        <v>183.11</v>
      </c>
      <c r="E36" s="326">
        <v>198.28</v>
      </c>
      <c r="F36" s="326">
        <v>186.21</v>
      </c>
      <c r="G36" s="326">
        <v>193.75</v>
      </c>
      <c r="H36" s="326">
        <v>179.69</v>
      </c>
    </row>
    <row r="37" spans="3:8" x14ac:dyDescent="0.25">
      <c r="C37" t="s">
        <v>1263</v>
      </c>
      <c r="D37" s="327">
        <f>$D$33*D36</f>
        <v>76.791897102342091</v>
      </c>
      <c r="E37" s="327">
        <f t="shared" ref="E37:G37" si="2">$D$33*E36</f>
        <v>83.15382752144825</v>
      </c>
      <c r="F37" s="327">
        <f t="shared" si="2"/>
        <v>78.091961986932006</v>
      </c>
      <c r="G37" s="327">
        <f t="shared" si="2"/>
        <v>81.25405528687007</v>
      </c>
      <c r="H37" s="327">
        <f>$D$33*H36</f>
        <v>75.357631971600938</v>
      </c>
    </row>
    <row r="38" spans="3:8" x14ac:dyDescent="0.25">
      <c r="F38" s="329"/>
      <c r="G38" s="329"/>
    </row>
    <row r="40" spans="3:8" x14ac:dyDescent="0.25">
      <c r="C40" s="58" t="s">
        <v>1281</v>
      </c>
      <c r="D40" s="350" t="str">
        <f>IF(AND(G19=G26,G26=G33,G19=G33),"OK","ERROR - Inconsistant ET profile")</f>
        <v>OK</v>
      </c>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3.3984375" customWidth="1"/>
    <col min="13" max="13" width="9.09765625" customWidth="1"/>
    <col min="16" max="16" width="9.09765625" customWidth="1"/>
  </cols>
  <sheetData>
    <row r="3" spans="1:30" ht="20" x14ac:dyDescent="0.4">
      <c r="C3" s="171" t="s">
        <v>218</v>
      </c>
      <c r="M3" s="174"/>
    </row>
    <row r="6" spans="1:30" x14ac:dyDescent="0.25">
      <c r="C6" t="s">
        <v>196</v>
      </c>
      <c r="G6" s="248" t="s">
        <v>235</v>
      </c>
    </row>
    <row r="8" spans="1:30" x14ac:dyDescent="0.25">
      <c r="C8" t="s">
        <v>219</v>
      </c>
    </row>
    <row r="10" spans="1:30" x14ac:dyDescent="0.25">
      <c r="C10" t="s">
        <v>169</v>
      </c>
      <c r="J10" s="213" t="str">
        <f>ADDRESS(ROW('MP Calculations'!$G$22),COLUMN('MP Calculations'!$G$22))</f>
        <v>$G$22</v>
      </c>
      <c r="K10" t="str">
        <f ca="1">"on the "&amp;MID(CELL("filename",'MP Calculations'!$A$1),FIND("]",CELL("filename",'MP Calculations'!$A$1))+1,255)&amp;" worksheet."</f>
        <v>on the MP Calculations worksheet.</v>
      </c>
    </row>
    <row r="12" spans="1:30" x14ac:dyDescent="0.25">
      <c r="C12" s="88" t="s">
        <v>77</v>
      </c>
    </row>
    <row r="13" spans="1:30" x14ac:dyDescent="0.25">
      <c r="D13" s="87" t="s">
        <v>236</v>
      </c>
    </row>
    <row r="14" spans="1:30" x14ac:dyDescent="0.25">
      <c r="D14" s="87"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3"/>
      <c r="B16" s="83"/>
      <c r="C16" s="83" t="s">
        <v>70</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2" t="s">
        <v>178</v>
      </c>
    </row>
    <row r="6" spans="3:7" x14ac:dyDescent="0.25">
      <c r="C6" t="s">
        <v>196</v>
      </c>
      <c r="G6" s="174" t="s">
        <v>113</v>
      </c>
    </row>
    <row r="8" spans="3:7" x14ac:dyDescent="0.25">
      <c r="C8" s="58" t="s">
        <v>179</v>
      </c>
      <c r="G8" s="174"/>
    </row>
    <row r="10" spans="3:7" x14ac:dyDescent="0.25">
      <c r="C10" t="s">
        <v>180</v>
      </c>
      <c r="D10" t="s">
        <v>181</v>
      </c>
    </row>
    <row r="12" spans="3:7" x14ac:dyDescent="0.25">
      <c r="C12" t="s">
        <v>182</v>
      </c>
      <c r="D12" t="s">
        <v>183</v>
      </c>
    </row>
    <row r="14" spans="3:7" x14ac:dyDescent="0.25">
      <c r="C14" t="s">
        <v>184</v>
      </c>
      <c r="D14" t="s">
        <v>185</v>
      </c>
    </row>
    <row r="16" spans="3:7" x14ac:dyDescent="0.25">
      <c r="C16" t="s">
        <v>186</v>
      </c>
      <c r="D16" t="s">
        <v>254</v>
      </c>
    </row>
    <row r="18" spans="3:4" x14ac:dyDescent="0.25">
      <c r="C18" t="s">
        <v>187</v>
      </c>
      <c r="D18" t="s">
        <v>263</v>
      </c>
    </row>
    <row r="20" spans="3:4" x14ac:dyDescent="0.25">
      <c r="C20" t="s">
        <v>188</v>
      </c>
      <c r="D20" t="s">
        <v>255</v>
      </c>
    </row>
    <row r="22" spans="3:4" x14ac:dyDescent="0.25">
      <c r="D22" t="s">
        <v>62</v>
      </c>
    </row>
    <row r="24" spans="3:4" x14ac:dyDescent="0.25">
      <c r="C24" s="58" t="s">
        <v>256</v>
      </c>
    </row>
    <row r="26" spans="3:4" x14ac:dyDescent="0.25">
      <c r="C26" t="s">
        <v>264</v>
      </c>
    </row>
    <row r="28" spans="3:4" x14ac:dyDescent="0.25">
      <c r="C28" t="s">
        <v>257</v>
      </c>
      <c r="D28" t="s">
        <v>258</v>
      </c>
    </row>
    <row r="30" spans="3:4" x14ac:dyDescent="0.25">
      <c r="C30" t="s">
        <v>259</v>
      </c>
      <c r="D30" t="s">
        <v>260</v>
      </c>
    </row>
    <row r="32" spans="3:4" x14ac:dyDescent="0.25">
      <c r="C32" t="s">
        <v>261</v>
      </c>
      <c r="D32" t="s">
        <v>262</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BE67830C-BBB8-468D-985B-96FBC720F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daf1f68-63ae-4574-8325-2993fa162e81"/>
    <ds:schemaRef ds:uri="http://purl.org/dc/terms/"/>
    <ds:schemaRef ds:uri="http://schemas.microsoft.com/office/infopath/2007/PartnerControls"/>
    <ds:schemaRef ds:uri="37dbf6c8-2d13-4cc8-b9cc-158f7eeca0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2023-11-30T23:00:32Z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